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8535" windowWidth="28755" windowHeight="172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22"/>
  <c r="K1625"/>
  <c r="K1611"/>
  <c r="K1622"/>
  <c r="M304" i="11"/>
  <c r="G1606" i="46"/>
  <c r="G1602"/>
  <c r="G1617"/>
  <c r="G1631"/>
  <c r="G1610"/>
  <c r="K1635"/>
  <c r="G1611"/>
  <c r="K1637"/>
  <c r="K1638"/>
  <c r="K1609"/>
  <c r="M1609" s="1"/>
  <c r="G1635"/>
  <c r="K1608"/>
  <c r="G1624"/>
  <c r="G1637"/>
  <c r="M291" i="11"/>
  <c r="G1621" i="46"/>
  <c r="G1623"/>
  <c r="G1625"/>
  <c r="G1634"/>
  <c r="G1636"/>
  <c r="G1638"/>
  <c r="K1604"/>
  <c r="M1604" s="1"/>
  <c r="K1629"/>
  <c r="G1628"/>
  <c r="K1636"/>
  <c r="K1617"/>
  <c r="K1631"/>
  <c r="K1612"/>
  <c r="K1610"/>
  <c r="M1610" s="1"/>
  <c r="K1621"/>
  <c r="K1634"/>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24"/>
  <c r="M1602"/>
  <c r="M1622"/>
  <c r="M1631"/>
  <c r="M1617"/>
  <c r="M1634"/>
  <c r="M1611"/>
  <c r="M1638"/>
  <c r="M1606"/>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O29" s="1"/>
  <c r="C839" i="46" l="1"/>
  <c r="A490"/>
  <c r="A524"/>
  <c r="P93"/>
  <c r="H3" i="6"/>
  <c r="H912" i="46" s="1"/>
  <c r="E825"/>
  <c r="A3"/>
  <c r="A1" i="47"/>
  <c r="D823" i="46"/>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E839"/>
  <c r="B826"/>
  <c r="B839"/>
  <c r="K704"/>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F820"/>
  <c r="F826" s="1"/>
  <c r="O297" i="11"/>
  <c r="O310"/>
  <c r="O284"/>
  <c r="G820" i="46"/>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39" l="1"/>
  <c r="G839"/>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7"/>
  <c r="B836"/>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Q16" s="1"/>
  <c r="Q650" i="46" s="1"/>
  <c r="P17" i="36"/>
  <c r="Q17" s="1"/>
  <c r="Q651" i="46" s="1"/>
  <c r="P18" i="36"/>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D29" i="8"/>
  <c r="E29"/>
  <c r="F29"/>
  <c r="G29"/>
  <c r="H29"/>
  <c r="I29"/>
  <c r="J29"/>
  <c r="K29"/>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68" i="46" l="1"/>
  <c r="H833"/>
  <c r="G833"/>
  <c r="F833"/>
  <c r="E833"/>
  <c r="D833"/>
  <c r="K833"/>
  <c r="J833"/>
  <c r="I833"/>
  <c r="C40" i="8"/>
  <c r="C844" i="46" s="1"/>
  <c r="FW48" i="36"/>
  <c r="J85" s="1"/>
  <c r="L1561" i="46"/>
  <c r="M67"/>
  <c r="L243" i="1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C897" i="46" l="1"/>
  <c r="B897"/>
  <c r="J891"/>
  <c r="B891"/>
  <c r="J862"/>
  <c r="B862"/>
  <c r="G891"/>
  <c r="I862"/>
  <c r="F891"/>
  <c r="H862"/>
  <c r="E891"/>
  <c r="G862"/>
  <c r="D891"/>
  <c r="F862"/>
  <c r="D40" i="8"/>
  <c r="D862" i="46"/>
  <c r="I891"/>
  <c r="K862"/>
  <c r="C862"/>
  <c r="H891"/>
  <c r="K891"/>
  <c r="C891"/>
  <c r="E862"/>
  <c r="I58" i="36"/>
  <c r="I60" s="1"/>
  <c r="I62" s="1"/>
  <c r="F49" i="6" s="1"/>
  <c r="F958" i="46" s="1"/>
  <c r="I1523"/>
  <c r="H406"/>
  <c r="H66" i="36"/>
  <c r="O104"/>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Q15" s="1"/>
  <c r="Q649" i="46" s="1"/>
  <c r="M95" i="36"/>
  <c r="Q95" s="1"/>
  <c r="H96"/>
  <c r="I96"/>
  <c r="I98" s="1"/>
  <c r="I100" s="1"/>
  <c r="M94"/>
  <c r="Q94" s="1"/>
  <c r="D897" i="46" l="1"/>
  <c r="D844"/>
  <c r="E40" i="8"/>
  <c r="Q11" i="36"/>
  <c r="Q645" i="46" s="1"/>
  <c r="Q10" i="36"/>
  <c r="Q644" i="46" s="1"/>
  <c r="Q14" i="36"/>
  <c r="Q648" i="46" s="1"/>
  <c r="Q13" i="36"/>
  <c r="Q647" i="46" s="1"/>
  <c r="Q12" i="36"/>
  <c r="Q646" i="46" s="1"/>
  <c r="Q56" i="36"/>
  <c r="H76" i="46"/>
  <c r="H74" s="1"/>
  <c r="O398"/>
  <c r="O397"/>
  <c r="H407"/>
  <c r="Q89" i="36"/>
  <c r="Q59"/>
  <c r="H77" i="46"/>
  <c r="L1524"/>
  <c r="P1508" s="1"/>
  <c r="P1501" s="1"/>
  <c r="I1524"/>
  <c r="O1508" s="1"/>
  <c r="O1501" s="1"/>
  <c r="Q97" i="36"/>
  <c r="P75" i="46"/>
  <c r="Q99" i="36"/>
  <c r="P77" i="46"/>
  <c r="Q65" i="36"/>
  <c r="I75" i="46"/>
  <c r="Q61" i="36"/>
  <c r="H79" i="46"/>
  <c r="Q64" i="36"/>
  <c r="I76" i="46"/>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H98" i="36"/>
  <c r="E897" i="46" l="1"/>
  <c r="E844"/>
  <c r="F40" i="8"/>
  <c r="H50" i="7"/>
  <c r="H54" s="1"/>
  <c r="H56" s="1"/>
  <c r="O399" i="46"/>
  <c r="E100" i="15"/>
  <c r="H78" i="46"/>
  <c r="H80" s="1"/>
  <c r="P76"/>
  <c r="P78" s="1"/>
  <c r="P83" s="1"/>
  <c r="F45" i="7"/>
  <c r="F69" i="46"/>
  <c r="F43" i="15"/>
  <c r="L1350" i="46"/>
  <c r="L1349"/>
  <c r="K1350"/>
  <c r="K1349"/>
  <c r="P163"/>
  <c r="P139" i="7"/>
  <c r="P138"/>
  <c r="P162" i="46"/>
  <c r="F457"/>
  <c r="L31" i="11"/>
  <c r="L32"/>
  <c r="K1485" i="46"/>
  <c r="L1562"/>
  <c r="L1563" s="1"/>
  <c r="P95"/>
  <c r="P92"/>
  <c r="P71" i="7"/>
  <c r="P68"/>
  <c r="F536" i="46"/>
  <c r="D546"/>
  <c r="J457"/>
  <c r="L244" i="11"/>
  <c r="L245" s="1"/>
  <c r="K167"/>
  <c r="J158" i="36"/>
  <c r="J157"/>
  <c r="J159"/>
  <c r="Q58"/>
  <c r="K1549" i="46"/>
  <c r="K231" i="11"/>
  <c r="I962" i="46"/>
  <c r="K1486"/>
  <c r="K168" i="11"/>
  <c r="F44" i="7"/>
  <c r="F68" i="46"/>
  <c r="F883"/>
  <c r="F881"/>
  <c r="F877"/>
  <c r="G875"/>
  <c r="F876"/>
  <c r="E878"/>
  <c r="E884"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28" i="8"/>
  <c r="F832" i="46" s="1"/>
  <c r="M98" i="36"/>
  <c r="P566" i="46" s="1"/>
  <c r="P567" s="1"/>
  <c r="P569" s="1"/>
  <c r="H100" i="36"/>
  <c r="M100" s="1"/>
  <c r="P50" i="7"/>
  <c r="P52" s="1"/>
  <c r="P54" s="1"/>
  <c r="P59" s="1"/>
  <c r="Q96" i="36"/>
  <c r="F844" i="46" l="1"/>
  <c r="G40" i="8"/>
  <c r="J20"/>
  <c r="F49"/>
  <c r="G49"/>
  <c r="G78"/>
  <c r="D20"/>
  <c r="I78"/>
  <c r="H20"/>
  <c r="I20"/>
  <c r="K20"/>
  <c r="I49"/>
  <c r="E78"/>
  <c r="D78"/>
  <c r="E20"/>
  <c r="J78"/>
  <c r="C49"/>
  <c r="E49"/>
  <c r="J49"/>
  <c r="H78"/>
  <c r="F20"/>
  <c r="C20"/>
  <c r="K7"/>
  <c r="G20"/>
  <c r="B49"/>
  <c r="F78"/>
  <c r="H49"/>
  <c r="P781" i="46"/>
  <c r="P147" i="36"/>
  <c r="C78" i="8"/>
  <c r="K49"/>
  <c r="B78"/>
  <c r="D49"/>
  <c r="P30" i="11"/>
  <c r="P352" s="1"/>
  <c r="P356" s="1"/>
  <c r="O1348" i="46"/>
  <c r="O1670" s="1"/>
  <c r="O1324" s="1"/>
  <c r="J566"/>
  <c r="J567" s="1"/>
  <c r="J569" s="1"/>
  <c r="P1348"/>
  <c r="P1670" s="1"/>
  <c r="M566"/>
  <c r="M567" s="1"/>
  <c r="M569" s="1"/>
  <c r="J152" i="15"/>
  <c r="J153" s="1"/>
  <c r="J155" s="1"/>
  <c r="F458" i="46"/>
  <c r="J458"/>
  <c r="G546"/>
  <c r="J44" i="15"/>
  <c r="P43"/>
  <c r="P457" i="46"/>
  <c r="P53" i="6"/>
  <c r="J574" i="46"/>
  <c r="F878"/>
  <c r="F884" s="1"/>
  <c r="G883"/>
  <c r="G881"/>
  <c r="G877"/>
  <c r="H875"/>
  <c r="G876"/>
  <c r="K5" i="8"/>
  <c r="O30" i="11"/>
  <c r="J160" i="15"/>
  <c r="Q98" i="36"/>
  <c r="F44" i="15"/>
  <c r="P152"/>
  <c r="P153" s="1"/>
  <c r="P155" s="1"/>
  <c r="M152"/>
  <c r="M153" s="1"/>
  <c r="M155" s="1"/>
  <c r="B21" i="8"/>
  <c r="G28"/>
  <c r="G832" i="46" s="1"/>
  <c r="Q100" i="36"/>
  <c r="G132" i="15"/>
  <c r="F897" i="46" l="1"/>
  <c r="G844"/>
  <c r="H40" i="8"/>
  <c r="P157" i="36"/>
  <c r="N148"/>
  <c r="N149"/>
  <c r="P791" i="46"/>
  <c r="N782"/>
  <c r="N783"/>
  <c r="O352" i="11"/>
  <c r="U1348" i="46"/>
  <c r="U1670" s="1"/>
  <c r="U1324" s="1"/>
  <c r="P1324"/>
  <c r="P1674"/>
  <c r="J570"/>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G897" l="1"/>
  <c r="H844"/>
  <c r="I40" i="8"/>
  <c r="P799" i="46"/>
  <c r="N791"/>
  <c r="F120" i="15"/>
  <c r="F119"/>
  <c r="B19" i="8"/>
  <c r="N157" i="36"/>
  <c r="P165"/>
  <c r="J577" i="46"/>
  <c r="J579" s="1"/>
  <c r="J581" s="1"/>
  <c r="J583" s="1"/>
  <c r="G574"/>
  <c r="J875"/>
  <c r="I881"/>
  <c r="I877"/>
  <c r="I876"/>
  <c r="I883"/>
  <c r="H878"/>
  <c r="H884" s="1"/>
  <c r="P6" i="11"/>
  <c r="O6"/>
  <c r="J163" i="15"/>
  <c r="J165" s="1"/>
  <c r="J167" s="1"/>
  <c r="J169" s="1"/>
  <c r="G160"/>
  <c r="I28" i="8"/>
  <c r="I832" i="46" s="1"/>
  <c r="I897" l="1"/>
  <c r="H897"/>
  <c r="M585"/>
  <c r="J587"/>
  <c r="M171" i="15"/>
  <c r="J173"/>
  <c r="I844" i="46"/>
  <c r="J40" i="8"/>
  <c r="G19"/>
  <c r="B77"/>
  <c r="C19"/>
  <c r="F19"/>
  <c r="G77"/>
  <c r="I19"/>
  <c r="I48"/>
  <c r="I77"/>
  <c r="C77"/>
  <c r="D48"/>
  <c r="E48"/>
  <c r="D77"/>
  <c r="B48"/>
  <c r="K77"/>
  <c r="D19"/>
  <c r="H19"/>
  <c r="J48"/>
  <c r="E19"/>
  <c r="G48"/>
  <c r="E77"/>
  <c r="J19"/>
  <c r="J77"/>
  <c r="F77"/>
  <c r="C48"/>
  <c r="F48"/>
  <c r="K48"/>
  <c r="H77"/>
  <c r="K19"/>
  <c r="H48"/>
  <c r="B35"/>
  <c r="B22"/>
  <c r="I878" i="46"/>
  <c r="I884" s="1"/>
  <c r="J883"/>
  <c r="J881"/>
  <c r="J877"/>
  <c r="K875"/>
  <c r="J876"/>
  <c r="J28" i="8"/>
  <c r="J832" i="46" s="1"/>
  <c r="J897" l="1"/>
  <c r="J396"/>
  <c r="L396" s="1"/>
  <c r="J397"/>
  <c r="L397" s="1"/>
  <c r="J6" i="7"/>
  <c r="J41" i="3"/>
  <c r="L41" s="1"/>
  <c r="J40"/>
  <c r="L40" s="1"/>
  <c r="E99" i="15"/>
  <c r="J844" i="46"/>
  <c r="K40" i="8"/>
  <c r="C64"/>
  <c r="C51"/>
  <c r="H35"/>
  <c r="H22"/>
  <c r="I93"/>
  <c r="I80"/>
  <c r="F93"/>
  <c r="F80"/>
  <c r="D35"/>
  <c r="D22"/>
  <c r="I64"/>
  <c r="I51"/>
  <c r="J93"/>
  <c r="J80"/>
  <c r="B64"/>
  <c r="B51"/>
  <c r="G64"/>
  <c r="G51"/>
  <c r="I35"/>
  <c r="I22"/>
  <c r="H64"/>
  <c r="H51"/>
  <c r="G93"/>
  <c r="G80"/>
  <c r="E93"/>
  <c r="E80"/>
  <c r="F35"/>
  <c r="F22"/>
  <c r="H93"/>
  <c r="H80"/>
  <c r="E64"/>
  <c r="E51"/>
  <c r="C35"/>
  <c r="C22"/>
  <c r="K64"/>
  <c r="K51"/>
  <c r="E35"/>
  <c r="E22"/>
  <c r="D64"/>
  <c r="D51"/>
  <c r="B93"/>
  <c r="B80"/>
  <c r="K93"/>
  <c r="K80"/>
  <c r="J35"/>
  <c r="J22"/>
  <c r="K35"/>
  <c r="K22"/>
  <c r="D93"/>
  <c r="D80"/>
  <c r="F64"/>
  <c r="F51"/>
  <c r="J64"/>
  <c r="J51"/>
  <c r="C93"/>
  <c r="C80"/>
  <c r="G35"/>
  <c r="G22"/>
  <c r="K876" i="46"/>
  <c r="K883"/>
  <c r="K881"/>
  <c r="K877"/>
  <c r="J878"/>
  <c r="J884" s="1"/>
  <c r="K28" i="8"/>
  <c r="K832" i="46" s="1"/>
  <c r="K897" l="1"/>
  <c r="K844"/>
  <c r="B69" i="8"/>
  <c r="K878" i="46"/>
  <c r="K884" s="1"/>
  <c r="B57" i="8"/>
  <c r="B861" i="46" s="1"/>
  <c r="B873" l="1"/>
  <c r="C69" i="8"/>
  <c r="C57"/>
  <c r="C861" i="46" s="1"/>
  <c r="C873" l="1"/>
  <c r="D69" i="8"/>
  <c r="D57"/>
  <c r="D861" i="46" s="1"/>
  <c r="D873" l="1"/>
  <c r="E69" i="8"/>
  <c r="E57"/>
  <c r="E861" i="46" s="1"/>
  <c r="E873" l="1"/>
  <c r="F69" i="8"/>
  <c r="F57"/>
  <c r="F861" i="46" s="1"/>
  <c r="F873" l="1"/>
  <c r="G69" i="8"/>
  <c r="G57"/>
  <c r="G861" i="46" s="1"/>
  <c r="G873" l="1"/>
  <c r="H69" i="8"/>
  <c r="H57"/>
  <c r="H861" i="46" s="1"/>
  <c r="H873" l="1"/>
  <c r="I69" i="8"/>
  <c r="I57"/>
  <c r="I861" i="46" s="1"/>
  <c r="I873" l="1"/>
  <c r="J69" i="8"/>
  <c r="J57"/>
  <c r="J861" i="46" s="1"/>
  <c r="J873" l="1"/>
  <c r="K69" i="8"/>
  <c r="K57"/>
  <c r="K861" i="46" s="1"/>
  <c r="K873" l="1"/>
  <c r="B98" i="8"/>
  <c r="B86"/>
  <c r="B890" i="46" s="1"/>
  <c r="B902" l="1"/>
  <c r="C98" i="8"/>
  <c r="C86"/>
  <c r="C890" i="46" s="1"/>
  <c r="C902" l="1"/>
  <c r="D98" i="8"/>
  <c r="D86"/>
  <c r="D890" i="46" s="1"/>
  <c r="D902" l="1"/>
  <c r="E98" i="8"/>
  <c r="E86"/>
  <c r="E890" i="46" s="1"/>
  <c r="E902" l="1"/>
  <c r="F98" i="8"/>
  <c r="F86"/>
  <c r="F890" i="46" s="1"/>
  <c r="F902" l="1"/>
  <c r="G98" i="8"/>
  <c r="G86"/>
  <c r="G890" i="46" s="1"/>
  <c r="G902" l="1"/>
  <c r="H98" i="8"/>
  <c r="H86"/>
  <c r="H890" i="46" s="1"/>
  <c r="H902" l="1"/>
  <c r="I98" i="8"/>
  <c r="I86"/>
  <c r="I890" i="46" s="1"/>
  <c r="I902" l="1"/>
  <c r="J98" i="8"/>
  <c r="J86"/>
  <c r="J890" i="46" s="1"/>
  <c r="J902" l="1"/>
  <c r="K98" i="8"/>
  <c r="K902" i="46" s="1"/>
  <c r="K86" i="8"/>
  <c r="K890" i="46" s="1"/>
  <c r="B30" i="8" l="1"/>
  <c r="C23"/>
  <c r="C827" i="46" s="1"/>
  <c r="D23" i="8"/>
  <c r="D30" s="1"/>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D59" i="8"/>
  <c r="B81"/>
  <c r="B885" i="46" s="1"/>
  <c r="C81" i="8"/>
  <c r="C885" i="46" s="1"/>
  <c r="D81" i="8"/>
  <c r="D885" i="46" s="1"/>
  <c r="E81" i="8"/>
  <c r="E885" i="46" s="1"/>
  <c r="F81" i="8"/>
  <c r="F885" i="46" s="1"/>
  <c r="G81" i="8"/>
  <c r="G885" i="46" s="1"/>
  <c r="H81" i="8"/>
  <c r="H885" i="46" s="1"/>
  <c r="I81" i="8"/>
  <c r="I885" i="46" s="1"/>
  <c r="J81" i="8"/>
  <c r="J885" i="46" s="1"/>
  <c r="K81" i="8"/>
  <c r="K885" i="46" s="1"/>
  <c r="D88" i="8"/>
  <c r="E59" l="1"/>
  <c r="E88"/>
  <c r="I61"/>
  <c r="H61"/>
  <c r="C60"/>
  <c r="B60"/>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<sst xmlns="http://schemas.openxmlformats.org/spreadsheetml/2006/main" count="10635" uniqueCount="3858">
  <si>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</si>
  <si>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</si>
  <si>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</si>
  <si>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</si>
  <si>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</si>
  <si>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</si>
  <si>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</si>
  <si>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</si>
  <si>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</si>
  <si>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</si>
  <si>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</si>
  <si>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</si>
  <si>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</si>
  <si>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</si>
  <si>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</si>
  <si>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</si>
  <si>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</si>
  <si>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</si>
  <si>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</si>
  <si>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</si>
  <si>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</si>
  <si>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</si>
  <si>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</si>
  <si>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</si>
  <si>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</si>
  <si>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</si>
  <si>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</si>
  <si>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</si>
  <si>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</si>
  <si>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</si>
  <si>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</si>
  <si>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</si>
  <si>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</si>
  <si>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</si>
  <si>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</si>
  <si>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</si>
  <si>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</si>
  <si>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</si>
  <si>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</si>
  <si>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</si>
  <si>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</si>
  <si>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</si>
  <si>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</si>
  <si>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</si>
  <si>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</si>
  <si>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</si>
  <si>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</si>
  <si>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</si>
  <si>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</si>
  <si>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</si>
  <si>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</si>
  <si>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</si>
  <si>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</si>
  <si>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</si>
  <si>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</si>
  <si>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</si>
  <si>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</si>
  <si>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</si>
  <si>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</si>
  <si>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</si>
  <si>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</si>
  <si>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</si>
  <si>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</si>
  <si>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</si>
  <si>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</si>
  <si>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</si>
  <si>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</si>
  <si>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</si>
  <si>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</si>
  <si>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</si>
  <si>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</si>
  <si>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</si>
  <si>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</si>
  <si>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</si>
  <si>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</si>
  <si>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</si>
  <si>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</si>
  <si>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</si>
  <si>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</si>
  <si>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</si>
  <si>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</si>
  <si>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</si>
  <si>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</si>
  <si>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</si>
  <si>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</si>
  <si>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</si>
  <si>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</si>
  <si>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</si>
  <si>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</si>
  <si>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</si>
  <si>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</si>
  <si>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</si>
  <si>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</si>
  <si>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</si>
  <si>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</si>
  <si>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</si>
  <si>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</si>
  <si>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</si>
  <si>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</si>
  <si>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</si>
  <si>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</si>
  <si>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</si>
  <si>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</si>
  <si>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</si>
  <si>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</si>
  <si>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</si>
  <si>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</si>
  <si>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</si>
  <si>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</si>
  <si>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</si>
  <si>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</si>
  <si>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</si>
  <si>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</si>
  <si>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</si>
  <si>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</si>
  <si>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</si>
  <si>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</si>
  <si>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</si>
  <si>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</si>
  <si>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</si>
  <si>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</si>
  <si>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</si>
  <si>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</si>
  <si>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</si>
  <si>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</si>
  <si>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</si>
  <si>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</si>
  <si>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</si>
  <si>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</si>
  <si>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</si>
  <si>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</si>
  <si>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</si>
  <si>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</si>
  <si>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</si>
  <si>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</si>
  <si>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</si>
  <si>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</si>
  <si>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</si>
  <si>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</si>
  <si>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</si>
  <si>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</si>
  <si>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</si>
  <si>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</si>
  <si>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</si>
  <si>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</si>
  <si>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</si>
  <si>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</si>
  <si>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</si>
  <si>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</si>
  <si>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</si>
  <si>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</si>
  <si>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</si>
  <si>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</si>
  <si>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</si>
  <si>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</si>
  <si>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</si>
  <si>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</si>
  <si>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</si>
  <si>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</si>
  <si>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</si>
  <si>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</si>
  <si>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</si>
  <si>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</si>
  <si>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</si>
  <si>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</si>
  <si>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</si>
  <si>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</si>
  <si>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</si>
  <si>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</si>
  <si>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</si>
  <si>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</si>
  <si>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</si>
  <si>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</si>
  <si>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</si>
  <si>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</si>
  <si>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</si>
  <si>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</si>
  <si>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</si>
  <si>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</si>
  <si>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</si>
  <si>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</si>
  <si>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</si>
  <si>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</si>
  <si>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</si>
  <si>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</si>
  <si>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</si>
  <si>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</si>
  <si>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</si>
  <si>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</si>
  <si>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</si>
  <si>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</si>
  <si>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</si>
  <si>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</si>
  <si>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</si>
  <si>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</si>
  <si>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</si>
  <si>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</si>
  <si>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</si>
  <si>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</si>
  <si>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</si>
  <si>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</si>
  <si>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</si>
  <si>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</si>
  <si>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</si>
  <si>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</si>
  <si>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</si>
  <si>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</si>
  <si>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</si>
  <si>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</si>
  <si>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</si>
  <si>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</si>
  <si>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</si>
  <si>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</si>
  <si>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</si>
  <si>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</si>
  <si>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</si>
  <si>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</si>
  <si>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</si>
  <si>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</si>
  <si>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</si>
  <si>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</si>
  <si>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</si>
  <si>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</si>
  <si>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</si>
  <si>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</si>
  <si>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</si>
  <si>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</si>
  <si>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</si>
  <si>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</si>
  <si>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</si>
  <si>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</si>
  <si>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</si>
  <si>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</si>
  <si>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</si>
  <si>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</si>
  <si>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</si>
  <si>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</si>
  <si>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</si>
  <si>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</si>
  <si>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</si>
  <si>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</si>
  <si>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</si>
  <si>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</si>
  <si>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</si>
  <si>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</si>
  <si>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</si>
  <si>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</si>
  <si>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</si>
  <si>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</si>
  <si>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</si>
  <si>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</si>
  <si>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</si>
  <si>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</si>
  <si>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</si>
  <si>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</si>
  <si>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</si>
  <si>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</si>
  <si>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</si>
  <si>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</si>
  <si>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</si>
  <si>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</si>
  <si>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</si>
  <si>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</si>
  <si>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</si>
  <si>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</si>
  <si>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</si>
  <si>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</si>
  <si>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</si>
  <si>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</si>
  <si>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</si>
  <si>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</si>
  <si>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</si>
  <si>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</si>
  <si>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</si>
  <si>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</si>
  <si>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</si>
  <si>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</si>
  <si>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</si>
  <si>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</si>
  <si>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</si>
  <si>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</si>
  <si>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</si>
  <si>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</si>
  <si>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</si>
  <si>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</si>
  <si>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</si>
  <si>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</si>
  <si>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</si>
  <si>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</si>
  <si>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</si>
  <si>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</si>
  <si>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</si>
  <si>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</si>
  <si>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</si>
  <si>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</si>
  <si>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</si>
  <si>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</si>
  <si>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</si>
  <si>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</si>
  <si>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</si>
  <si>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</si>
  <si>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</si>
  <si>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</si>
  <si>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</si>
  <si>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</si>
  <si>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</si>
  <si>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</si>
  <si>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</si>
  <si>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</si>
  <si>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</si>
  <si>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</si>
  <si>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</si>
  <si>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</si>
  <si>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</si>
  <si>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</si>
  <si>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</si>
  <si>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</si>
  <si>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</si>
  <si>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</si>
  <si>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</si>
  <si>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</si>
  <si>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</si>
  <si>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</si>
  <si>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</si>
  <si>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</si>
  <si>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</si>
  <si>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</si>
  <si>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</si>
  <si>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</si>
  <si>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</si>
  <si>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</si>
  <si>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</si>
  <si>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</si>
  <si>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</si>
  <si>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</si>
  <si>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</si>
  <si>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</si>
  <si>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</si>
  <si>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</si>
  <si>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</si>
  <si>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</si>
  <si>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</si>
  <si>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</si>
  <si>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</si>
  <si>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</si>
  <si>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</si>
  <si>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</si>
  <si>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</si>
  <si>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</si>
  <si>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</si>
  <si>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</si>
  <si>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</si>
  <si>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</si>
  <si>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</si>
  <si>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</si>
  <si>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</si>
  <si>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</si>
  <si>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</si>
  <si>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</si>
  <si>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</si>
  <si>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</si>
  <si>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</si>
  <si>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</si>
  <si>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</si>
  <si>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</si>
  <si>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</si>
  <si>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</si>
  <si>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</si>
  <si>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</si>
  <si>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</si>
  <si>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</si>
  <si>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</si>
  <si>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</si>
  <si>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</si>
  <si>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</si>
  <si>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</si>
  <si>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</si>
  <si>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</si>
  <si>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</si>
  <si>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</si>
  <si>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</si>
  <si>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</si>
  <si>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</si>
  <si>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</si>
  <si>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</si>
  <si>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</si>
  <si>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</si>
  <si>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</si>
  <si>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</si>
  <si>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</si>
  <si>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</si>
  <si>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</si>
  <si>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</si>
  <si>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</si>
  <si>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</si>
  <si>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</si>
  <si>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</si>
  <si>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</si>
  <si>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</si>
  <si>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</si>
  <si>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</si>
  <si>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</si>
  <si>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</si>
  <si>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</si>
  <si>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</si>
  <si>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</si>
  <si>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</si>
  <si>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</si>
  <si>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</si>
  <si>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</si>
  <si>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</si>
  <si>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</si>
  <si>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</si>
  <si>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</si>
  <si>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</si>
  <si>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</si>
  <si>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</si>
  <si>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</si>
  <si>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</si>
  <si>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</si>
  <si>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</si>
  <si>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</si>
  <si>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</si>
  <si>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</si>
  <si>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</si>
  <si>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</si>
  <si>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</si>
  <si>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</si>
  <si>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</si>
  <si>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</si>
  <si>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</si>
  <si>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</si>
  <si>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</si>
  <si>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</si>
  <si>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</si>
  <si>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</si>
  <si>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</si>
  <si>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</si>
  <si>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</si>
  <si>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</si>
  <si>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</si>
  <si>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</si>
  <si>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</si>
  <si>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</si>
  <si>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</si>
  <si>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</si>
  <si>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</si>
  <si>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</si>
  <si>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</si>
  <si>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</si>
  <si>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</si>
  <si>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</si>
  <si>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</si>
  <si>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</si>
  <si>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</si>
  <si>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</si>
  <si>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</si>
  <si>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</si>
  <si>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</si>
  <si>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</si>
  <si>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</si>
  <si>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</si>
  <si>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</si>
  <si>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</si>
  <si>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</si>
  <si>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</si>
  <si>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</si>
  <si>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</si>
  <si>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</si>
  <si>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</si>
  <si>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</si>
  <si>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</si>
  <si>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</si>
  <si>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</si>
  <si>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</si>
  <si>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</si>
  <si>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</si>
  <si>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</si>
  <si>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</si>
  <si>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</si>
  <si>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</si>
  <si>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</si>
  <si>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</si>
  <si>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</si>
  <si>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</si>
  <si>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</si>
  <si>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</si>
  <si>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</si>
  <si>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</si>
  <si>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</si>
  <si>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</si>
  <si>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</si>
  <si>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</si>
  <si>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</si>
  <si>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</si>
  <si>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</si>
  <si>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</si>
  <si>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</si>
  <si>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</si>
  <si>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</si>
  <si>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</si>
  <si>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</si>
  <si>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</si>
  <si>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</si>
  <si>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</si>
  <si>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</si>
  <si>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</si>
  <si>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</si>
  <si>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</si>
  <si>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</si>
  <si>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</si>
  <si>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</si>
  <si>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</si>
  <si>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</si>
  <si>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</si>
  <si>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</si>
  <si>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</si>
  <si>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</si>
  <si>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</si>
  <si>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</si>
  <si>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</si>
  <si>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</si>
  <si>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</si>
  <si>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</si>
  <si>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</si>
  <si>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</si>
  <si>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</si>
  <si>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</si>
  <si>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</si>
  <si>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</si>
  <si>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</si>
  <si>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</si>
  <si>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</si>
  <si>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</si>
  <si>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</si>
  <si>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</si>
  <si>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</si>
  <si>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</si>
  <si>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</si>
  <si>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</si>
  <si>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</si>
  <si>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</si>
  <si>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</si>
  <si>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</si>
  <si>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</si>
  <si>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</si>
  <si>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</si>
  <si>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</si>
  <si>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</si>
  <si>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</si>
  <si>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</si>
  <si>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</si>
  <si>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</si>
  <si>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</si>
  <si>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</si>
  <si>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</si>
  <si>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</si>
  <si>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</si>
  <si>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</si>
  <si>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</si>
  <si>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</si>
  <si>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</si>
  <si>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</si>
  <si>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</si>
  <si>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</si>
  <si>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</si>
  <si>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</si>
  <si>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</si>
  <si>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</si>
  <si>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</si>
  <si>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</si>
  <si>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</si>
  <si>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</si>
  <si>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</si>
  <si>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</si>
  <si>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</si>
  <si>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</si>
  <si>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</si>
  <si>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</si>
  <si>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</si>
  <si>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</si>
  <si>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</si>
  <si>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</si>
  <si>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</si>
  <si>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</si>
  <si>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</si>
  <si>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</si>
  <si>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</si>
  <si>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</si>
  <si>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</si>
  <si>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</si>
  <si>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</si>
  <si>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</si>
  <si>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</si>
  <si>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</si>
  <si>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</si>
  <si>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</si>
  <si>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</si>
  <si>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</si>
  <si>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</si>
  <si>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</si>
  <si>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</si>
  <si>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</si>
  <si>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</si>
  <si>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</si>
  <si>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</si>
  <si>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</si>
  <si>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</si>
  <si>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</si>
  <si>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</si>
  <si>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</si>
  <si>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</si>
  <si>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</si>
  <si>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</si>
  <si>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</si>
  <si>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</si>
  <si>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</si>
  <si>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</si>
  <si>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</si>
  <si>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</si>
  <si>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</si>
  <si>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</si>
  <si>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</si>
  <si>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</si>
  <si>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</si>
  <si>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</si>
  <si>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</si>
  <si>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</si>
  <si>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</si>
  <si>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</si>
  <si>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</si>
  <si>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</si>
  <si>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</si>
  <si>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</si>
  <si>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</si>
  <si>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</si>
  <si>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</si>
  <si>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</si>
  <si>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</si>
  <si>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</si>
  <si>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</si>
  <si>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</si>
  <si>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</si>
  <si>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</si>
  <si>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</si>
  <si>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</si>
  <si>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</si>
  <si>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</si>
  <si>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</si>
  <si>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</si>
  <si>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</si>
  <si>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</si>
  <si>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</si>
  <si>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</si>
  <si>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</si>
  <si>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</si>
  <si>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</si>
  <si>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</si>
  <si>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</si>
  <si>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</si>
  <si>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</si>
  <si>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</si>
  <si>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</si>
  <si>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</si>
  <si>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</si>
  <si>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</si>
  <si>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</si>
  <si>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</si>
  <si>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</si>
  <si>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</si>
  <si>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</si>
  <si>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</si>
  <si>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</si>
  <si>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</si>
  <si>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</si>
  <si>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</si>
  <si>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</si>
  <si>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</si>
  <si>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</si>
  <si>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</si>
  <si>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</si>
  <si>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</si>
  <si>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</si>
  <si>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</si>
  <si>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</si>
  <si>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</si>
  <si>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</si>
  <si>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</si>
  <si>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</si>
  <si>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</si>
  <si>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</si>
  <si>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</si>
  <si>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</si>
  <si>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</si>
  <si>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</si>
  <si>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</si>
  <si>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</si>
  <si>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</si>
  <si>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</si>
  <si>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</si>
  <si>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</si>
  <si>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</si>
  <si>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</si>
  <si>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</si>
  <si>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</si>
  <si>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</si>
  <si>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</si>
  <si>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</si>
  <si>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</si>
  <si>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</si>
  <si>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</si>
  <si>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</si>
  <si>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</si>
  <si>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</si>
  <si>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</si>
  <si>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</si>
  <si>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</si>
  <si>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</si>
  <si>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</si>
  <si>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</si>
  <si>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</si>
  <si>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</si>
  <si>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</si>
  <si>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</si>
  <si>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</si>
  <si>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</si>
  <si>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</si>
  <si>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</si>
  <si>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</si>
  <si>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</si>
  <si>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</si>
  <si>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</si>
  <si>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</si>
  <si>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</si>
  <si>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</si>
  <si>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</si>
  <si>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</si>
  <si>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</si>
  <si>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</si>
  <si>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</si>
  <si>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</si>
  <si>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</si>
  <si>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</si>
  <si>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</si>
  <si>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</si>
  <si>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</si>
  <si>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</si>
  <si>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</si>
  <si>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</si>
  <si>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</si>
  <si>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</si>
  <si>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</si>
  <si>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</si>
  <si>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</si>
  <si>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</si>
  <si>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</si>
  <si>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</si>
  <si>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</si>
  <si>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</si>
  <si>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</si>
  <si>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</si>
  <si>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</si>
  <si>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</si>
  <si>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</si>
  <si>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</si>
  <si>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</si>
  <si>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</si>
  <si>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</si>
  <si>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</si>
  <si>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</si>
  <si>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</si>
  <si>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</si>
  <si>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</si>
  <si>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</si>
  <si>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</si>
  <si>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</si>
  <si>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</si>
  <si>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</si>
  <si>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</si>
  <si>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</si>
  <si>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</si>
  <si>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</si>
  <si>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</si>
  <si>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</si>
  <si>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</si>
  <si>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</si>
  <si>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</si>
  <si>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</si>
  <si>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</si>
  <si>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</si>
  <si>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</si>
  <si>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</si>
  <si>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</si>
  <si>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</si>
  <si>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</si>
  <si>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</si>
  <si>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</si>
  <si>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</si>
  <si>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</si>
  <si>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</si>
  <si>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</si>
  <si>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</si>
  <si>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</si>
  <si>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</si>
  <si>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</si>
  <si>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</si>
  <si>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</si>
  <si>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</si>
  <si>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</si>
  <si>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</si>
  <si>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</si>
  <si>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</si>
  <si>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</si>
  <si>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</si>
  <si>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</si>
  <si>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</si>
  <si>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</si>
  <si>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</si>
  <si>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</si>
  <si>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</si>
  <si>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</si>
  <si>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</si>
  <si>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</si>
  <si>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</si>
  <si>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</si>
  <si>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</si>
  <si>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</si>
  <si>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</si>
  <si>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</si>
  <si>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</si>
  <si>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</si>
  <si>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</si>
  <si>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</si>
  <si>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</si>
  <si>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</si>
  <si>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</si>
  <si>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</si>
  <si>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</si>
  <si>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</si>
  <si>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</si>
  <si>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</si>
  <si>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</si>
  <si>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</si>
  <si>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</si>
  <si>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</si>
  <si>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</si>
  <si>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</si>
  <si>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</si>
  <si>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</si>
  <si>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</si>
  <si>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</si>
  <si>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</si>
  <si>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</si>
  <si>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</si>
  <si>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</si>
  <si>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</si>
  <si>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</si>
  <si>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</si>
  <si>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</si>
  <si>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</si>
  <si>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</si>
  <si>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</si>
  <si>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</si>
  <si>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</si>
  <si>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</si>
  <si>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</si>
  <si>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</si>
  <si>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</si>
  <si>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</si>
  <si>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</si>
  <si>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</si>
  <si>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</si>
  <si>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</si>
  <si>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</si>
  <si>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</si>
  <si>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</si>
  <si>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</si>
  <si>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</si>
  <si>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</si>
  <si>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</si>
  <si>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</si>
  <si>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</si>
  <si>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</si>
  <si>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</si>
  <si>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</si>
  <si>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</si>
  <si>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</si>
  <si>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</si>
  <si>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</si>
  <si>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</si>
  <si>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</si>
  <si>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</si>
  <si>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</si>
  <si>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</si>
  <si>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</si>
  <si>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</si>
  <si>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</si>
  <si>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</si>
  <si>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</si>
  <si>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</si>
  <si>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</si>
  <si>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</si>
  <si>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</si>
  <si>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</si>
  <si>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</si>
  <si>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</si>
  <si>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</si>
  <si>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</si>
  <si>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</si>
  <si>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</si>
  <si>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</si>
  <si>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</si>
  <si>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</si>
  <si>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</si>
  <si>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</si>
  <si>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</si>
  <si>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</si>
  <si>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</si>
  <si>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</si>
  <si>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</si>
  <si>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</si>
  <si>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</si>
  <si>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</si>
  <si>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</si>
  <si>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</si>
  <si>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</si>
  <si>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</si>
  <si>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</si>
  <si>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</si>
  <si>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</si>
  <si>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</si>
  <si>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</si>
  <si>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</si>
  <si>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</si>
  <si>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</si>
  <si>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</si>
  <si>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</si>
  <si>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</si>
  <si>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</si>
  <si>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</si>
  <si>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</si>
  <si>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</si>
  <si>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</si>
  <si>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</si>
  <si>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</si>
  <si>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</si>
  <si>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</si>
  <si>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</si>
  <si>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</si>
  <si>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</si>
  <si>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</si>
  <si>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</si>
  <si>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</si>
  <si>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</si>
  <si>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</si>
  <si>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</si>
  <si>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</si>
  <si>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</si>
  <si>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</si>
  <si>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</si>
  <si>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</si>
  <si>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</si>
  <si>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</si>
  <si>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</si>
  <si>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</si>
  <si>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</si>
  <si>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</si>
  <si>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</si>
  <si>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</si>
  <si>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</si>
  <si>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</si>
  <si>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</si>
  <si>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</si>
  <si>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</si>
  <si>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</si>
  <si>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</si>
  <si>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</si>
  <si>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</si>
  <si>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</si>
  <si>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</si>
  <si>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</si>
  <si>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</si>
  <si>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</si>
  <si>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</si>
  <si>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</si>
  <si>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</si>
  <si>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</si>
  <si>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</si>
  <si>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</si>
  <si>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</si>
  <si>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</si>
  <si>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</si>
  <si>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</si>
  <si>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</si>
  <si>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</si>
  <si>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</si>
  <si>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</si>
  <si>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</si>
  <si>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</si>
  <si>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</si>
  <si>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</si>
  <si>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</si>
  <si>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</si>
  <si>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</si>
  <si>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</si>
  <si>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</si>
  <si>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</si>
  <si>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</si>
  <si>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</si>
  <si>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</si>
  <si>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</si>
  <si>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</si>
  <si>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</si>
  <si>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</si>
  <si>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</si>
  <si>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</si>
  <si>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</si>
  <si>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</si>
  <si>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</si>
  <si>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</si>
  <si>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</si>
  <si>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</si>
  <si>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</si>
  <si>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</si>
  <si>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</si>
  <si>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</si>
  <si>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</si>
  <si>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</si>
  <si>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</si>
  <si>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</si>
  <si>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</si>
  <si>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</si>
  <si>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</si>
  <si>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</si>
  <si>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</si>
  <si>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</si>
  <si>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</si>
  <si>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</si>
  <si>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</si>
  <si>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</si>
  <si>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</si>
  <si>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</si>
  <si>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</si>
  <si>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</si>
  <si>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</si>
  <si>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</si>
  <si>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</si>
  <si>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</si>
  <si>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</si>
  <si>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</si>
  <si>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</si>
  <si>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</si>
  <si>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</si>
  <si>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</si>
  <si>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</si>
  <si>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</si>
  <si>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</si>
  <si>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</si>
  <si>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</si>
  <si>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</si>
  <si>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</si>
  <si>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</si>
  <si>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</si>
  <si>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</si>
  <si>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</si>
  <si>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</si>
  <si>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</si>
  <si>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</si>
  <si>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</si>
  <si>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</si>
  <si>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</si>
  <si>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</si>
  <si>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</si>
  <si>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</si>
  <si>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</si>
  <si>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</si>
  <si>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</si>
  <si>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</si>
  <si>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</si>
  <si>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</si>
  <si>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</si>
  <si>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</si>
  <si>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</si>
  <si>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</si>
  <si>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</si>
  <si>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</si>
  <si>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</si>
  <si>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</si>
  <si>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</si>
  <si>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</si>
  <si>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</si>
  <si>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</si>
  <si>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</si>
  <si>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</si>
  <si>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</si>
  <si>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</si>
  <si>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</si>
  <si>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</si>
  <si>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</si>
  <si>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</si>
  <si>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</si>
  <si>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</si>
  <si>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</si>
  <si>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</si>
  <si>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</si>
  <si>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</si>
  <si>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</si>
  <si>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</si>
  <si>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</si>
  <si>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</si>
  <si>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</si>
  <si>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</si>
  <si>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</si>
  <si>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</si>
  <si>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</si>
  <si>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</si>
  <si>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</si>
  <si>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</si>
  <si>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</si>
  <si>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</si>
  <si>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</si>
  <si>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</si>
  <si>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</si>
  <si>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</si>
  <si>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</si>
  <si>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</si>
  <si>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</si>
  <si>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</si>
  <si>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</si>
  <si>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</si>
  <si>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</si>
  <si>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</si>
  <si>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</si>
  <si>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</si>
  <si>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</si>
  <si>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</si>
  <si>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</si>
  <si>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</si>
  <si>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</si>
  <si>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</si>
  <si>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</si>
  <si>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</si>
  <si>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</si>
  <si>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</si>
  <si>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</si>
  <si>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</si>
  <si>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</si>
  <si>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</si>
  <si>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</si>
  <si>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</si>
  <si>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</si>
  <si>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</si>
  <si>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</si>
  <si>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</si>
  <si>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</si>
  <si>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</si>
  <si>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</si>
  <si>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</si>
  <si>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</si>
  <si>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</si>
  <si>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</si>
  <si>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</si>
  <si>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</si>
  <si>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</si>
  <si>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</si>
  <si>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</si>
  <si>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</si>
  <si>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</si>
  <si>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</si>
  <si>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</si>
  <si>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</si>
  <si>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</si>
  <si>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</si>
  <si>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</si>
  <si>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</si>
  <si>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</si>
  <si>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</si>
  <si>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</si>
  <si>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</si>
  <si>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</si>
  <si>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</si>
  <si>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</si>
  <si>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</si>
  <si>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</si>
  <si>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</si>
  <si>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</si>
  <si>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</si>
  <si>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</si>
  <si>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</si>
  <si>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</si>
  <si>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</si>
  <si>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</si>
  <si>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</si>
  <si>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</si>
  <si>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</si>
  <si>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</si>
  <si>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</si>
  <si>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</si>
  <si>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</si>
  <si>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</si>
  <si>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</si>
  <si>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</si>
  <si>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</si>
  <si>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</si>
  <si>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</si>
  <si>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</si>
  <si>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</si>
  <si>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</si>
  <si>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</si>
  <si>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</si>
  <si>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</si>
  <si>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</si>
  <si>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</si>
  <si>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</si>
  <si>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</si>
  <si>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</si>
  <si>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</si>
  <si>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</si>
  <si>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</si>
  <si>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</si>
  <si>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</si>
  <si>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</si>
  <si>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</si>
  <si>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</si>
  <si>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</si>
  <si>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</si>
  <si>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</si>
  <si>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</si>
  <si>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</si>
  <si>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</si>
  <si>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</si>
  <si>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</si>
  <si>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</si>
  <si>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</si>
  <si>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</si>
  <si>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</si>
  <si>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</si>
  <si>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</si>
  <si>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</si>
  <si>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</si>
  <si>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</si>
  <si>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</si>
  <si>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</si>
  <si>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</si>
  <si>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</si>
  <si>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</si>
  <si>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</si>
  <si>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</si>
  <si>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</si>
  <si>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</si>
  <si>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</si>
  <si>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</si>
  <si>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</si>
  <si>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</si>
  <si>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</si>
  <si>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</si>
  <si>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</si>
  <si>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</si>
  <si>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</si>
  <si>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</si>
  <si>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</si>
  <si>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</si>
  <si>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</si>
  <si>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</si>
  <si>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</si>
  <si>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</si>
  <si>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</si>
  <si>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</si>
  <si>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</si>
  <si>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</si>
  <si>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</si>
  <si>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</si>
  <si>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</si>
  <si>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</si>
  <si>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</si>
  <si>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</si>
  <si>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</si>
  <si>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</si>
  <si>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</si>
  <si>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</si>
  <si>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</si>
  <si>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</si>
  <si>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</si>
  <si>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</si>
  <si>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</si>
  <si>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</si>
  <si>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</si>
  <si>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</si>
  <si>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</si>
  <si>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</si>
  <si>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</si>
  <si>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</si>
  <si>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</si>
  <si>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</si>
  <si>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</si>
  <si>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</si>
  <si>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</si>
  <si>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</si>
  <si>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</si>
  <si>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</si>
  <si>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</si>
  <si>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</si>
  <si>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</si>
  <si>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</si>
  <si>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</si>
  <si>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</si>
  <si>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</si>
  <si>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</si>
  <si>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</si>
  <si>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</si>
  <si>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</si>
  <si>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</si>
  <si>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</si>
  <si>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</si>
  <si>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</si>
  <si>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</si>
  <si>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</si>
  <si>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</si>
  <si>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</si>
  <si>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</si>
  <si>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</si>
  <si>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</si>
  <si>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</si>
  <si>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</si>
  <si>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</si>
  <si>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</si>
  <si>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</si>
  <si>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</si>
  <si>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</si>
  <si>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</si>
  <si>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</si>
  <si>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</si>
  <si>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</si>
  <si>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</si>
  <si>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</si>
  <si>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</si>
  <si>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</si>
  <si>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</si>
  <si>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</si>
  <si>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</si>
  <si>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</si>
  <si>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</si>
  <si>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</si>
  <si>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</si>
  <si>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</si>
  <si>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</si>
  <si>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</si>
  <si>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</si>
  <si>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</si>
  <si>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</si>
  <si>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</si>
  <si>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</si>
  <si>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</si>
  <si>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</si>
  <si>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</si>
  <si>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</si>
  <si>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</si>
  <si>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</si>
  <si>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</si>
  <si>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</si>
  <si>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</si>
  <si>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</si>
  <si>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</si>
  <si>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</si>
  <si>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</si>
  <si>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</si>
  <si>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</si>
  <si>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</si>
  <si>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</si>
  <si>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</si>
  <si>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</si>
  <si>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</si>
  <si>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</si>
  <si>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</si>
  <si>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</si>
  <si>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</si>
  <si>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</si>
  <si>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</si>
  <si>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</si>
  <si>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</si>
  <si>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</si>
  <si>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</si>
  <si>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</si>
  <si>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</si>
  <si>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</si>
  <si>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</si>
  <si>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</si>
  <si>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</si>
  <si>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</si>
  <si>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</si>
  <si>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</si>
  <si>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</si>
  <si>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</si>
  <si>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</si>
  <si>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</si>
  <si>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</si>
  <si>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</si>
  <si>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</si>
  <si>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</si>
  <si>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</si>
  <si>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</si>
  <si>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</si>
  <si>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</si>
  <si>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</si>
  <si>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</si>
  <si>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</si>
  <si>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</si>
  <si>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</si>
  <si>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</si>
  <si>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</si>
  <si>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</si>
  <si>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</si>
  <si>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</si>
  <si>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</si>
  <si>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</si>
  <si>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</si>
  <si>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</si>
  <si>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</si>
  <si>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</si>
  <si>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</si>
  <si>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</si>
  <si>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</si>
  <si>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</si>
  <si>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</si>
  <si>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</si>
  <si>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</si>
  <si>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</si>
  <si>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</si>
  <si>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</si>
  <si>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</si>
  <si>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</si>
  <si>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</si>
  <si>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</si>
  <si>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</si>
  <si>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</si>
  <si>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</si>
  <si>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</si>
  <si>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</si>
  <si>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</si>
  <si>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</si>
  <si>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</si>
  <si>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</si>
  <si>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</si>
  <si>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</si>
  <si>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</si>
  <si>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</si>
  <si>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</si>
  <si>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</si>
  <si>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</si>
  <si>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</si>
  <si>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</si>
  <si>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</si>
  <si>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</si>
  <si>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</si>
  <si>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</si>
  <si>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</si>
  <si>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</si>
  <si>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</si>
  <si>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</si>
  <si>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</si>
  <si>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</si>
  <si>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</si>
  <si>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</si>
  <si>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</si>
  <si>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</si>
  <si>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</si>
  <si>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</si>
  <si>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</si>
  <si>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</si>
  <si>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</si>
  <si>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</si>
  <si>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</si>
  <si>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</si>
  <si>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</si>
  <si>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</si>
  <si>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</si>
  <si>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</si>
  <si>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</si>
  <si>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</si>
  <si>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</si>
  <si>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</si>
  <si>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</si>
  <si>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</si>
  <si>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</si>
  <si>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</si>
  <si>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</si>
  <si>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</si>
  <si>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</si>
  <si>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</si>
  <si>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</si>
  <si>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</si>
  <si>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</si>
  <si>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</si>
  <si>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</si>
  <si>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</si>
  <si>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</si>
  <si>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</si>
  <si>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</si>
  <si>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</si>
  <si>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</si>
  <si>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</si>
  <si>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</si>
  <si>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</si>
  <si>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</si>
  <si>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</si>
  <si>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</si>
  <si>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</si>
  <si>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</si>
  <si>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</si>
  <si>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</si>
  <si>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</si>
  <si>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</si>
  <si>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</si>
  <si>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</si>
  <si>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</si>
  <si>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</si>
  <si>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</si>
  <si>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</si>
  <si>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</si>
  <si>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</si>
  <si>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</si>
  <si>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</si>
  <si>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</si>
  <si>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</si>
  <si>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</si>
  <si>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</si>
  <si>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</si>
  <si>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</si>
  <si>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</si>
  <si>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</si>
  <si>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</si>
  <si>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</si>
  <si>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</si>
  <si>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</si>
  <si>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</si>
  <si>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</si>
  <si>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</si>
  <si>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</si>
  <si>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</si>
  <si>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</si>
  <si>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</si>
  <si>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</si>
  <si>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</si>
  <si>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</si>
  <si>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</si>
  <si>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</si>
  <si>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</si>
  <si>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</si>
  <si>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</si>
  <si>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</si>
  <si>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</si>
  <si>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</si>
  <si>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</si>
  <si>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</si>
  <si>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</si>
  <si>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</si>
  <si>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</si>
  <si>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</si>
  <si>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</si>
  <si>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</si>
  <si>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</si>
  <si>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</si>
  <si>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</si>
  <si>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</si>
  <si>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</si>
  <si>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</si>
  <si>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</si>
  <si>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</si>
  <si>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</si>
  <si>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</si>
  <si>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</si>
  <si>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</si>
  <si>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</si>
  <si>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</si>
  <si>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</si>
  <si>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</si>
  <si>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</si>
  <si>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</si>
  <si>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</si>
  <si>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</si>
  <si>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</si>
  <si>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</si>
  <si>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</si>
  <si>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</si>
  <si>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</si>
  <si>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</si>
  <si>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</si>
  <si>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</si>
  <si>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</si>
  <si>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</si>
  <si>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</si>
  <si>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</si>
  <si>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</si>
  <si>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</si>
  <si>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</si>
  <si>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</si>
  <si>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</si>
  <si>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</si>
  <si>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</si>
  <si>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</si>
  <si>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</si>
  <si>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</si>
  <si>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</si>
  <si>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</si>
  <si>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</si>
  <si>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</si>
  <si>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</si>
  <si>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</si>
  <si>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</si>
  <si>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</si>
  <si>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</si>
  <si>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</si>
  <si>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</si>
  <si>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</si>
  <si>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</si>
  <si>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</si>
  <si>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</si>
  <si>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</si>
  <si>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</si>
  <si>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</si>
  <si>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</si>
  <si>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</si>
  <si>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</si>
  <si>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</si>
  <si>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</si>
  <si>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</si>
  <si>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</si>
  <si>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</si>
  <si>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</si>
  <si>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</si>
  <si>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</si>
  <si>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</si>
  <si>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</si>
  <si>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</si>
  <si>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</si>
  <si>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</si>
  <si>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</si>
  <si>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</si>
  <si>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</si>
  <si>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</si>
  <si>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</si>
  <si>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</si>
  <si>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</si>
  <si>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</si>
  <si>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</si>
  <si>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</si>
  <si>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</si>
  <si>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</si>
  <si>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</si>
  <si>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</si>
  <si>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</si>
  <si>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</si>
  <si>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</si>
  <si>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</si>
  <si>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</si>
  <si>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</si>
  <si>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</si>
  <si>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</si>
  <si>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</si>
  <si>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</si>
  <si>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</si>
  <si>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</si>
  <si>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</si>
  <si>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</si>
  <si>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</si>
  <si>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</si>
  <si>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</si>
  <si>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</si>
  <si>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</si>
  <si>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</si>
  <si>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</si>
  <si>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</si>
  <si>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</si>
  <si>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</si>
  <si>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</si>
  <si>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</si>
  <si>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</si>
  <si>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</si>
  <si>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</si>
  <si>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</si>
  <si>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</si>
  <si>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</si>
  <si>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</si>
  <si>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</si>
  <si>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</si>
  <si>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</si>
  <si>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</si>
  <si>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</si>
  <si>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</si>
  <si>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</si>
  <si>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</si>
  <si>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</si>
  <si>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</si>
  <si>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</si>
  <si>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</si>
  <si>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</si>
  <si>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</si>
  <si>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</si>
  <si>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</si>
  <si>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</si>
  <si>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</si>
  <si>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</si>
  <si>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</si>
  <si>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</si>
  <si>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</si>
  <si>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</si>
  <si>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</si>
  <si>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</si>
  <si>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</si>
  <si>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</si>
  <si>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</si>
  <si>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</si>
  <si>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</si>
  <si>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</si>
  <si>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</si>
  <si>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</si>
  <si>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</si>
  <si>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</si>
  <si>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</si>
  <si>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</si>
  <si>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</si>
  <si>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</si>
  <si>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</si>
  <si>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</si>
  <si>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</si>
  <si>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</si>
  <si>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</si>
  <si>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</si>
  <si>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</si>
  <si>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</si>
  <si>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</si>
  <si>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</si>
  <si>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</si>
  <si>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</si>
  <si>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</si>
  <si>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</si>
  <si>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</si>
  <si>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</si>
  <si>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</si>
  <si>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</si>
  <si>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</si>
  <si>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</si>
  <si>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</si>
  <si>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</si>
  <si>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</si>
  <si>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</si>
  <si>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</si>
  <si>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</si>
  <si>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</si>
  <si>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</si>
  <si>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</si>
  <si>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</si>
  <si>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</si>
  <si>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</si>
  <si>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</si>
  <si>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</si>
  <si>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</si>
  <si>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</si>
  <si>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</si>
  <si>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</si>
  <si>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</si>
  <si>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</si>
  <si>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</si>
  <si>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</si>
  <si>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</si>
  <si>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</si>
  <si>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</si>
  <si>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</si>
  <si>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</si>
  <si>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</si>
  <si>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</si>
  <si>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</si>
  <si>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</si>
  <si>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</si>
  <si>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</si>
  <si>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</si>
  <si>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</si>
  <si>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</si>
  <si>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</si>
  <si>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</si>
  <si>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</si>
  <si>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</si>
  <si>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</si>
  <si>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</si>
  <si>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</si>
  <si>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</si>
  <si>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</si>
  <si>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</si>
  <si>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</si>
  <si>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</si>
  <si>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</si>
  <si>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</si>
  <si>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</si>
  <si>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</si>
  <si>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</si>
  <si>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</si>
  <si>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</si>
  <si>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</si>
  <si>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</si>
  <si>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</si>
  <si>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</si>
  <si>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</si>
  <si>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</si>
  <si>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</si>
  <si>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</si>
  <si>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</si>
  <si>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</si>
  <si>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</si>
  <si>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</si>
  <si>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</si>
  <si>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</si>
  <si>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</si>
  <si>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</si>
  <si>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</si>
  <si>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</si>
  <si>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</si>
  <si>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</si>
  <si>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</si>
  <si>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</si>
  <si>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</si>
  <si>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</si>
  <si>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</si>
  <si>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</si>
  <si>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</si>
  <si>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</si>
  <si>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</si>
  <si>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</si>
  <si>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</si>
  <si>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</si>
  <si>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</si>
  <si>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</si>
  <si>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</si>
  <si>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</si>
  <si>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</si>
  <si>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</si>
  <si>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</si>
  <si>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</si>
  <si>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</si>
  <si>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</si>
  <si>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</si>
  <si>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</si>
  <si>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</si>
  <si>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</si>
  <si>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</si>
  <si>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</si>
  <si>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</si>
  <si>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</si>
  <si>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</si>
  <si>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</si>
  <si>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</si>
  <si>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</si>
  <si>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</si>
  <si>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</si>
  <si>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</si>
  <si>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</si>
  <si>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</si>
  <si>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</si>
  <si>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</si>
  <si>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</si>
  <si>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</si>
  <si>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</si>
  <si>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</si>
  <si>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</si>
  <si>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</si>
  <si>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</si>
  <si>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</si>
  <si>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</si>
  <si>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</si>
  <si>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</si>
  <si>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</si>
  <si>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</si>
  <si>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</si>
  <si>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</si>
  <si>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</si>
  <si>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</si>
  <si>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</si>
  <si>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</si>
  <si>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</si>
  <si>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</si>
  <si>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</si>
  <si>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</si>
  <si>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</si>
  <si>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</si>
  <si>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</si>
  <si>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</si>
  <si>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</si>
  <si>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</si>
  <si>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</si>
  <si>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</si>
  <si>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</si>
  <si>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</si>
  <si>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</si>
  <si>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</si>
  <si>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</si>
  <si>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</si>
  <si>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</si>
  <si>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</si>
  <si>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</si>
  <si>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</si>
  <si>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</si>
  <si>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</si>
  <si>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</si>
  <si>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</si>
  <si>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</si>
  <si>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</si>
  <si>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</si>
  <si>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</si>
  <si>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</si>
  <si>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</si>
  <si>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</si>
  <si>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</si>
  <si>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</si>
  <si>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</si>
  <si>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</si>
  <si>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</si>
  <si>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</si>
  <si>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</si>
  <si>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</si>
  <si>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</si>
  <si>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</si>
  <si>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</si>
  <si>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</si>
  <si>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</si>
  <si>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</si>
  <si>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</si>
  <si>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</si>
  <si>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</si>
  <si>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</si>
  <si>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</si>
  <si>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</si>
  <si>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</si>
  <si>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</si>
  <si>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</si>
  <si>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</si>
  <si>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</si>
  <si>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</si>
  <si>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</si>
  <si>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</si>
  <si>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</si>
  <si>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</si>
  <si>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</si>
  <si>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</si>
  <si>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</si>
  <si>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</si>
  <si>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</si>
  <si>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</si>
  <si>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</si>
  <si>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</si>
  <si>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</si>
  <si>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</si>
  <si>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</si>
  <si>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</si>
  <si>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</si>
  <si>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</si>
  <si>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</si>
  <si>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</si>
  <si>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</si>
  <si>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</si>
  <si>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</si>
  <si>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</si>
  <si>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</si>
  <si>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</si>
  <si>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</si>
  <si>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</si>
  <si>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</si>
  <si>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</si>
  <si>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</si>
  <si>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</si>
  <si>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</si>
  <si>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</si>
  <si>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</si>
  <si>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</si>
  <si>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</si>
  <si>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</si>
  <si>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</si>
  <si>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</si>
  <si>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</si>
  <si>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</si>
  <si>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</si>
  <si>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</si>
  <si>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</si>
  <si>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</si>
  <si>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</si>
  <si>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</si>
  <si>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</si>
  <si>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</si>
  <si>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</si>
  <si>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</si>
  <si>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</si>
  <si>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</si>
  <si>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</si>
  <si>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</si>
  <si>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</si>
  <si>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</si>
  <si>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</si>
  <si>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</si>
  <si>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</si>
  <si>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</si>
  <si>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</si>
  <si>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</si>
  <si>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</si>
  <si>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</si>
  <si>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</si>
  <si>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</si>
  <si>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</si>
  <si>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</si>
  <si>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</si>
  <si>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</si>
  <si>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</si>
  <si>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</si>
  <si>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</si>
  <si>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</si>
  <si>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</si>
  <si>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</si>
  <si>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</si>
  <si>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</si>
  <si>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</si>
  <si>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</si>
  <si>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</si>
  <si>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</si>
  <si>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</si>
  <si>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</si>
  <si>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</si>
  <si>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</si>
  <si>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</si>
  <si>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</si>
  <si>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</si>
  <si>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</si>
  <si>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</si>
  <si>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</si>
  <si>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</si>
  <si>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</si>
  <si>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</si>
  <si>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</si>
  <si>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</si>
  <si>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</si>
  <si>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</si>
  <si>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</si>
  <si>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</si>
  <si>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</si>
  <si>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</si>
  <si>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</si>
  <si>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</si>
  <si>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</si>
  <si>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</si>
  <si>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</si>
  <si>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</si>
  <si>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</si>
  <si>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</si>
  <si>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</si>
  <si>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</si>
  <si>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</si>
  <si>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</si>
  <si>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</si>
  <si>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</si>
  <si>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</si>
  <si>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</si>
  <si>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</si>
  <si>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</si>
  <si>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</si>
  <si>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</si>
  <si>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</si>
  <si>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</si>
  <si>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</si>
  <si>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</si>
  <si>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</si>
  <si>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</si>
  <si>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</si>
  <si>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</si>
  <si>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</si>
  <si>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</si>
  <si>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</si>
  <si>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</si>
  <si>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</si>
  <si>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</si>
  <si>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</si>
  <si>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</si>
  <si>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</si>
  <si>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</si>
  <si>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</si>
  <si>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</si>
  <si>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</si>
  <si>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</si>
  <si>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</si>
  <si>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</si>
  <si>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</si>
  <si>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</si>
  <si>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</si>
  <si>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</si>
  <si>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</si>
  <si>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</si>
  <si>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</si>
  <si>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</si>
  <si>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</si>
  <si>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</si>
  <si>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</si>
  <si>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</si>
  <si>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</si>
  <si>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</si>
  <si>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</si>
  <si>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</si>
  <si>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</si>
  <si>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</si>
  <si>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</si>
  <si>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</si>
  <si>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</si>
  <si>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</si>
  <si>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</si>
  <si>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</si>
  <si>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</si>
  <si>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</si>
  <si>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</si>
  <si>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</si>
  <si>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</si>
  <si>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</si>
  <si>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</si>
  <si>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</si>
  <si>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</si>
  <si>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</si>
  <si>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</si>
  <si>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</si>
  <si>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</si>
  <si>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</si>
  <si>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</si>
  <si>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</si>
  <si>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</si>
  <si>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</si>
  <si>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</si>
  <si>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</si>
  <si>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</si>
  <si>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</si>
  <si>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</si>
  <si>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</si>
  <si>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</si>
  <si>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</si>
  <si>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</si>
  <si>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</si>
  <si>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</si>
  <si>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</si>
  <si>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</si>
  <si>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</si>
  <si>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</si>
  <si>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</si>
  <si>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</si>
  <si>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</si>
  <si>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</si>
  <si>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</si>
  <si>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</si>
  <si>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</si>
  <si>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</si>
  <si>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</si>
  <si>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</si>
  <si>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</si>
  <si>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</si>
  <si>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</si>
  <si>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</si>
  <si>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</si>
  <si>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</si>
  <si>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</si>
  <si>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</si>
  <si>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</si>
  <si>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</si>
  <si>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</si>
  <si>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</si>
  <si>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</si>
  <si>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</si>
  <si>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</si>
  <si>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</si>
  <si>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</si>
  <si>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</si>
  <si>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</si>
  <si>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</si>
  <si>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</si>
  <si>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</si>
  <si>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</si>
  <si>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</si>
  <si>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</si>
  <si>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</si>
  <si>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</si>
  <si>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</si>
  <si>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</si>
  <si>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</si>
  <si>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</si>
  <si>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</si>
  <si>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</si>
  <si>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</si>
  <si>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</si>
  <si>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</si>
  <si>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</si>
  <si>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</si>
  <si>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</si>
  <si>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</si>
  <si>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</si>
  <si>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</si>
  <si>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</si>
  <si>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</si>
  <si>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</si>
  <si>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</si>
  <si>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</si>
  <si>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</si>
  <si>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</si>
  <si>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</si>
  <si>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</si>
  <si>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</si>
  <si>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</si>
  <si>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</si>
  <si>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</si>
  <si>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</si>
  <si>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</si>
  <si>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</si>
  <si>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</si>
  <si>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</si>
  <si>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</si>
  <si>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</si>
  <si>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</si>
  <si>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</si>
  <si>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</si>
  <si>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</si>
  <si>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</si>
  <si>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</si>
  <si>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</si>
  <si>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</si>
  <si>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</si>
  <si>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</si>
  <si>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</si>
  <si>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</si>
  <si>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</si>
  <si>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</si>
  <si>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</si>
  <si>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</si>
  <si>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</si>
  <si>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</si>
  <si>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</si>
  <si>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</si>
  <si>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</si>
  <si>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</si>
  <si>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</si>
  <si>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</si>
  <si>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</si>
  <si>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</si>
  <si>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</si>
  <si>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</si>
  <si>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</si>
  <si>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</si>
  <si>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</si>
  <si>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</si>
  <si>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</si>
  <si>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</si>
  <si>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</si>
  <si>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</si>
  <si>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</si>
  <si>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</si>
  <si>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</si>
  <si>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</si>
  <si>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</si>
  <si>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</si>
  <si>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</si>
  <si>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</si>
  <si>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</si>
  <si>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</si>
  <si>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</si>
  <si>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</si>
  <si>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</si>
  <si>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</si>
  <si>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</si>
  <si>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</si>
  <si>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</si>
  <si>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</si>
  <si>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</si>
  <si>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</si>
  <si>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</si>
  <si>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</si>
  <si>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</si>
  <si>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</si>
  <si>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</si>
  <si>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</si>
  <si>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</si>
  <si>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</si>
  <si>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</si>
  <si>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</si>
  <si>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</si>
  <si>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</si>
  <si>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</si>
  <si>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</si>
  <si>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</si>
  <si>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</si>
  <si>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</si>
  <si>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</si>
  <si>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</si>
  <si>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</si>
  <si>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</si>
  <si>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</si>
  <si>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</si>
  <si>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</si>
  <si>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</si>
  <si>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</si>
  <si>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</si>
  <si>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</si>
  <si>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</si>
  <si>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</si>
  <si>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</si>
  <si>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</si>
  <si>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</si>
  <si>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</si>
  <si>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</si>
  <si>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</si>
  <si>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</si>
  <si>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</si>
  <si>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</si>
  <si>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</si>
  <si>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</si>
  <si>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</si>
  <si>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</si>
  <si>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</si>
  <si>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</si>
  <si>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</si>
  <si>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</si>
  <si>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</si>
  <si>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</si>
  <si>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</si>
  <si>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</si>
  <si>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</si>
  <si>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</si>
  <si>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</si>
  <si>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</si>
  <si>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</si>
  <si>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</si>
  <si>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</si>
  <si>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</si>
  <si>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</si>
  <si>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</si>
  <si>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</si>
  <si>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</si>
  <si>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</si>
  <si>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</si>
  <si>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</si>
  <si>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</si>
  <si>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</si>
  <si>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</si>
  <si>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</si>
  <si>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</si>
  <si>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</si>
  <si>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</si>
  <si>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</si>
  <si>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</si>
  <si>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</si>
  <si>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</si>
  <si>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</si>
  <si>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</si>
  <si>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</si>
  <si>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</si>
  <si>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</si>
  <si>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</si>
  <si>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</si>
  <si>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</si>
  <si>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</si>
  <si>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</si>
  <si>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</si>
  <si>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</si>
  <si>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</si>
  <si>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</si>
  <si>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</si>
  <si>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</si>
  <si>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</si>
  <si>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</si>
  <si>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</si>
  <si>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</si>
  <si>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</si>
  <si>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</si>
  <si>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</si>
  <si>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</si>
  <si>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</si>
  <si>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</si>
  <si>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</si>
  <si>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</si>
  <si>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</si>
  <si>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</si>
  <si>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</si>
  <si>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</si>
  <si>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</si>
  <si>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</si>
  <si>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</si>
  <si>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</si>
  <si>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</si>
  <si>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</si>
  <si>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</si>
  <si>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</si>
  <si>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</si>
  <si>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</si>
  <si>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</si>
  <si>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</si>
  <si>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</si>
  <si>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</si>
  <si>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</si>
  <si>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</si>
  <si>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</si>
  <si>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</si>
  <si>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</si>
  <si>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</si>
  <si>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</si>
  <si>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</si>
  <si>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</si>
  <si>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</si>
  <si>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</si>
  <si>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</si>
  <si>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</si>
  <si>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</si>
  <si>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</si>
  <si>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</si>
  <si>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</si>
  <si>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</si>
  <si>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</si>
  <si>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</si>
  <si>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</si>
  <si>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</si>
  <si>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</si>
  <si>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</si>
  <si>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</si>
  <si>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</si>
  <si>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</si>
  <si>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</si>
  <si>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</si>
  <si>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</si>
  <si>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</si>
  <si>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</si>
  <si>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</si>
  <si>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</si>
  <si>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</si>
  <si>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</si>
  <si>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</si>
  <si>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</si>
  <si>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</si>
  <si>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</si>
  <si>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</si>
  <si>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</si>
  <si>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</si>
  <si>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</si>
  <si>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</si>
  <si>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</si>
  <si>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</si>
  <si>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</si>
  <si>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</si>
  <si>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</si>
  <si>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</si>
  <si>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</si>
  <si>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</si>
  <si>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</si>
  <si>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</si>
  <si>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</si>
  <si>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</si>
  <si>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</si>
  <si>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</si>
  <si>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</si>
  <si>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</si>
  <si>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</si>
  <si>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</si>
  <si>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</si>
  <si>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</si>
  <si>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</si>
  <si>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</si>
  <si>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</si>
  <si>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</si>
  <si>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</si>
  <si>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</si>
  <si>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</si>
  <si>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</si>
  <si>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</si>
  <si>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</si>
  <si>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</si>
  <si>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</si>
  <si>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</si>
  <si>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</si>
  <si>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</si>
  <si>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</si>
  <si>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</si>
  <si>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</si>
  <si>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</si>
  <si>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</si>
  <si>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</si>
  <si>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</si>
  <si>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</si>
  <si>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</si>
  <si>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</si>
  <si>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</si>
  <si>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</si>
  <si>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</si>
  <si>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</si>
  <si>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</si>
  <si>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</si>
  <si>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</si>
  <si>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</si>
  <si>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</si>
  <si>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</si>
  <si>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</si>
  <si>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</si>
  <si>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</si>
  <si>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</si>
  <si>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</si>
  <si>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</si>
  <si>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</si>
  <si>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</si>
  <si>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</si>
  <si>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</si>
  <si>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</si>
  <si>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</si>
  <si>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</si>
  <si>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</si>
  <si>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</si>
  <si>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</si>
  <si>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</si>
  <si>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</si>
  <si>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</si>
  <si>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</si>
  <si>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</si>
  <si>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</si>
  <si>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</si>
  <si>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</si>
  <si>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</si>
  <si>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</si>
  <si>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</si>
  <si>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</si>
  <si>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</si>
  <si>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</si>
  <si>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</si>
  <si>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</si>
  <si>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</si>
  <si>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</si>
  <si>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</si>
  <si>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</si>
  <si>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</si>
  <si>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</si>
  <si>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</si>
  <si>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</si>
  <si>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</si>
  <si>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</si>
  <si>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</si>
  <si>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</si>
  <si>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</si>
  <si>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</si>
  <si>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</si>
  <si>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</si>
  <si>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</si>
  <si>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</si>
  <si>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</si>
  <si>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</si>
  <si>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</si>
  <si>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</si>
  <si>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</si>
  <si>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</si>
  <si>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</si>
  <si>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</si>
  <si>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</si>
  <si>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</si>
  <si>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</si>
  <si>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</si>
  <si>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</si>
  <si>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</si>
  <si>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</si>
  <si>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</si>
  <si>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</si>
  <si>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</si>
  <si>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</si>
  <si>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</si>
  <si>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</si>
  <si>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</si>
  <si>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</si>
  <si>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</si>
  <si>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</si>
  <si>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</si>
  <si>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</si>
  <si>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</si>
  <si>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</si>
  <si>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</si>
  <si>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</si>
  <si>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</si>
  <si>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</si>
  <si>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</si>
  <si>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</si>
  <si>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</si>
  <si>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</si>
  <si>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</si>
  <si>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</si>
  <si>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</si>
  <si>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</si>
  <si>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</si>
  <si>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</si>
  <si>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</si>
  <si>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</si>
  <si>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</si>
  <si>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</si>
  <si>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</si>
  <si>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</si>
  <si>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</si>
  <si>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</si>
  <si>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</si>
  <si>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</si>
  <si>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</si>
  <si>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</si>
  <si>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</si>
  <si>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</si>
  <si>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</si>
  <si>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</si>
  <si>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</si>
  <si>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</si>
  <si>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</si>
  <si>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</si>
  <si>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</si>
  <si>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</si>
  <si>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</si>
  <si>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</si>
  <si>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</si>
  <si>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</si>
  <si>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</si>
  <si>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</si>
  <si>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</si>
  <si>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</si>
  <si>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</si>
  <si>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</si>
  <si>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</si>
  <si>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</si>
  <si>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</si>
  <si>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</si>
  <si>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</si>
  <si>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</si>
  <si>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</si>
  <si>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</si>
  <si>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</si>
  <si>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</si>
  <si>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</si>
  <si>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</si>
  <si>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</si>
  <si>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</si>
  <si>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</si>
  <si>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</si>
  <si>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</si>
  <si>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</si>
  <si>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</si>
  <si>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</si>
  <si>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</si>
  <si>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</si>
  <si>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</si>
  <si>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</si>
  <si>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</si>
  <si>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</si>
  <si>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</si>
  <si>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</si>
  <si>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</si>
  <si>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</si>
  <si>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</si>
  <si>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</si>
  <si>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</si>
  <si>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</si>
  <si>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</si>
  <si>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</si>
  <si>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</si>
  <si>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</si>
  <si>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</si>
  <si>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</si>
  <si>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</si>
  <si>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</si>
  <si>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</si>
  <si>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</si>
  <si>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</si>
  <si>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</si>
  <si>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</si>
  <si>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</si>
  <si>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</si>
  <si>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</si>
  <si>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</si>
  <si>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</si>
  <si>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</si>
  <si>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</si>
  <si>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</si>
  <si>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</si>
  <si>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</si>
  <si>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</si>
  <si>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</si>
  <si>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</si>
  <si>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</si>
  <si>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</si>
  <si>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</si>
  <si>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</si>
  <si>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</si>
  <si>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</si>
  <si>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</si>
  <si>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</si>
  <si>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</si>
  <si>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</si>
  <si>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</si>
  <si>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</si>
  <si>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</si>
  <si>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</si>
  <si>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</si>
  <si>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</si>
  <si>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</si>
  <si>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</si>
  <si>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</si>
  <si>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</si>
  <si>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</si>
  <si>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</si>
  <si>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</si>
  <si>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</si>
  <si>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</si>
  <si>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</si>
  <si>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</si>
  <si>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</si>
  <si>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</si>
  <si>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</si>
  <si>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</si>
  <si>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</si>
  <si>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</si>
  <si>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</si>
  <si>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</si>
  <si>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</si>
  <si>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</si>
  <si>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</si>
  <si>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</si>
  <si>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</si>
  <si>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</si>
  <si>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</si>
  <si>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</si>
  <si>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</si>
  <si>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</si>
  <si>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</si>
  <si>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</si>
  <si>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</si>
  <si>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</si>
  <si>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</si>
  <si>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</si>
  <si>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</si>
  <si>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</si>
  <si>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</si>
  <si>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</si>
  <si>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</si>
  <si>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</si>
  <si>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</si>
  <si>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</si>
  <si>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</si>
  <si>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</si>
  <si>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</si>
  <si>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</si>
  <si>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</si>
  <si>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</si>
  <si>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</si>
  <si>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</si>
  <si>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</si>
  <si>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</si>
  <si>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</si>
  <si>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</si>
  <si>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</si>
  <si>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</si>
  <si>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</si>
  <si>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</si>
  <si>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</si>
  <si>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</si>
  <si>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</si>
  <si>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</si>
  <si>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</si>
  <si>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</si>
  <si>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</si>
  <si>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</si>
  <si>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</si>
  <si>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</si>
  <si>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</si>
  <si>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</si>
  <si>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</si>
  <si>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</si>
  <si>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</si>
  <si>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</si>
  <si>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</si>
  <si>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</si>
  <si>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</si>
  <si>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</si>
  <si>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</si>
  <si>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</si>
  <si>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</si>
  <si>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</si>
  <si>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</si>
  <si>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</si>
  <si>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</si>
  <si>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</si>
  <si>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</si>
  <si>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</si>
  <si>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</si>
  <si>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</si>
  <si>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</si>
  <si>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</si>
  <si>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</si>
  <si>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</si>
  <si>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</si>
  <si>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</si>
  <si>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</si>
  <si>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</si>
  <si>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</si>
  <si>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</si>
  <si>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</si>
  <si>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</si>
  <si>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</si>
  <si>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</si>
  <si>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</si>
  <si>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</si>
  <si>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</si>
  <si>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</si>
  <si>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</si>
  <si>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</si>
  <si>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</si>
  <si>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</si>
  <si>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</si>
  <si>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</si>
  <si>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</si>
  <si>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</si>
  <si>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</si>
  <si>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</si>
  <si>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</si>
  <si>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</si>
  <si>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</si>
  <si>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</si>
  <si>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</si>
  <si>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</si>
  <si>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</si>
  <si>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</si>
  <si>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</si>
  <si>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</si>
  <si>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</si>
  <si>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</si>
  <si>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</si>
  <si>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</si>
  <si>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</si>
  <si>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</si>
  <si>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</si>
  <si>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</si>
  <si>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</si>
  <si>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</si>
  <si>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</si>
  <si>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</si>
  <si>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</si>
  <si>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</si>
  <si>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</si>
  <si>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</si>
  <si>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</si>
  <si>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</si>
  <si>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</si>
  <si>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</si>
  <si>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</si>
  <si>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</si>
  <si>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</si>
  <si>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</si>
  <si>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</si>
  <si>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</si>
  <si>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</si>
  <si>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</si>
  <si>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</si>
  <si>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</si>
  <si>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</si>
  <si>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</si>
  <si>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</si>
  <si>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</si>
  <si>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</si>
  <si>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</si>
  <si>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</si>
  <si>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</si>
  <si>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</si>
  <si>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</si>
  <si>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</si>
  <si>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</si>
  <si>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</si>
  <si>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</si>
  <si>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</si>
  <si>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</si>
  <si>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</si>
  <si>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</si>
  <si>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</si>
  <si>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</si>
  <si>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</si>
  <si>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</si>
  <si>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</si>
  <si>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</si>
  <si>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</si>
  <si>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</si>
  <si>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</si>
  <si>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</si>
  <si>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</si>
  <si>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</si>
  <si>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</si>
  <si>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</si>
  <si>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</si>
  <si>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</si>
  <si>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</si>
  <si>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</si>
  <si>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</si>
  <si>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</si>
  <si>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</si>
  <si>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</si>
  <si>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</si>
  <si>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</si>
  <si>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</si>
  <si>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</si>
  <si>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</si>
  <si>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</si>
  <si>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</si>
  <si>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</si>
  <si>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</si>
  <si>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</si>
  <si>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</si>
  <si>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</si>
  <si>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</si>
  <si>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</si>
  <si>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</si>
  <si>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</si>
  <si>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</si>
  <si>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</si>
  <si>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</si>
  <si>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</si>
  <si>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</si>
  <si>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</si>
  <si>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</si>
  <si>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</si>
  <si>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</si>
  <si>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</si>
  <si>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</si>
  <si>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</si>
  <si>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</si>
  <si>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</si>
  <si>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</si>
  <si>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</si>
  <si>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</si>
  <si>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</si>
  <si>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</si>
  <si>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</si>
  <si>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</si>
  <si>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</si>
  <si>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</si>
  <si>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</si>
  <si>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</si>
  <si>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</si>
  <si>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</si>
  <si>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</si>
  <si>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</si>
  <si>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</si>
  <si>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</si>
  <si>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</si>
  <si>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</si>
  <si>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</si>
  <si>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</si>
  <si>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</si>
  <si>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</si>
  <si>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</si>
  <si>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</si>
  <si>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</si>
  <si>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</si>
  <si>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</si>
  <si>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</si>
  <si>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</si>
  <si>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</si>
  <si>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</si>
  <si>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</si>
  <si>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</si>
  <si>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</si>
  <si>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</si>
  <si>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</si>
  <si>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</si>
  <si>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</si>
  <si>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</si>
  <si>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</si>
  <si>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</si>
  <si>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</si>
  <si>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</si>
  <si>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</si>
  <si>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</si>
  <si>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</si>
  <si>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</si>
  <si>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</si>
  <si>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</si>
  <si>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</si>
  <si>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</si>
  <si>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</si>
  <si>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</si>
  <si>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</si>
  <si>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</si>
  <si>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</si>
  <si>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</si>
  <si>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</si>
  <si>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</si>
  <si>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</si>
  <si>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</si>
  <si>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</si>
  <si>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</si>
  <si>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</si>
  <si>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</si>
  <si>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</si>
  <si>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</si>
  <si>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</si>
  <si>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</si>
  <si>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</si>
  <si>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</si>
  <si>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</si>
  <si>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</si>
  <si>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</si>
  <si>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</si>
  <si>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</si>
  <si>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</si>
  <si>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</si>
  <si>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</si>
  <si>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</si>
  <si>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</si>
  <si>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</si>
  <si>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</si>
  <si>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</si>
  <si>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</si>
  <si>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</si>
  <si>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</si>
  <si>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</si>
  <si>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</si>
  <si>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</si>
  <si>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</si>
  <si>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</si>
  <si>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</si>
  <si>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</si>
  <si>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</si>
  <si>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</si>
  <si>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</si>
  <si>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</si>
  <si>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</si>
  <si>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</si>
  <si>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</si>
  <si>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</si>
  <si>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</si>
  <si>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</si>
  <si>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</si>
  <si>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</si>
  <si>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</si>
  <si>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</si>
  <si>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</si>
  <si>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</si>
  <si>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</si>
  <si>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</si>
  <si>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</si>
  <si>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</si>
  <si>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</si>
  <si>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</si>
  <si>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</si>
  <si>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</si>
  <si>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</si>
  <si>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</si>
  <si>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</si>
  <si>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</si>
  <si>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</si>
  <si>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</si>
  <si>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</si>
  <si>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</si>
  <si>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</si>
  <si>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</si>
  <si>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</si>
  <si>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</si>
  <si>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</si>
  <si>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</si>
  <si>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</si>
  <si>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</si>
  <si>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</si>
  <si>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</si>
  <si>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</si>
  <si>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</si>
  <si>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</si>
  <si>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</si>
  <si>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</si>
  <si>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</si>
  <si>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</si>
  <si>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</si>
  <si>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</si>
  <si>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</si>
  <si>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</si>
  <si>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</si>
  <si>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</si>
  <si>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</si>
  <si>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</si>
  <si>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</si>
  <si>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</si>
  <si>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</si>
  <si>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</si>
  <si>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</si>
  <si>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</si>
  <si>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</si>
  <si>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</si>
  <si>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</si>
  <si>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</si>
  <si>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</si>
  <si>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</si>
  <si>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</si>
  <si>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</si>
  <si>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</si>
  <si>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</si>
  <si>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</si>
  <si>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</si>
  <si>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</si>
  <si>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</si>
  <si>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</si>
  <si>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</si>
  <si>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</si>
  <si>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</si>
  <si>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</si>
  <si>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</si>
  <si>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</si>
  <si>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</si>
  <si>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</si>
  <si>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</si>
  <si>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</si>
  <si>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</si>
  <si>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</si>
  <si>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</si>
  <si>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</si>
  <si>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</si>
  <si>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</si>
  <si>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</si>
  <si>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</si>
  <si>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</si>
  <si>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</si>
  <si>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</si>
  <si>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</si>
  <si>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</si>
  <si>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</si>
  <si>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</si>
  <si>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</si>
  <si>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</si>
  <si>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</si>
  <si>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</si>
  <si>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</si>
  <si>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</si>
  <si>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</si>
  <si>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</si>
  <si>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</si>
  <si>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</si>
  <si>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</si>
  <si>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</si>
  <si>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</si>
  <si>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</si>
  <si>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</si>
  <si>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</si>
  <si>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</si>
  <si>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</si>
  <si>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</si>
  <si>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</si>
  <si>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</si>
  <si>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</si>
  <si>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</si>
  <si>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</si>
  <si>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</si>
  <si>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</si>
  <si>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</si>
  <si>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</si>
  <si>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</si>
  <si>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</si>
  <si>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</si>
  <si>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</si>
  <si>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</si>
  <si>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</si>
  <si>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</si>
  <si>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</si>
  <si>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</si>
  <si>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</si>
  <si>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</si>
  <si>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</si>
  <si>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</si>
  <si>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</si>
  <si>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</si>
  <si>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</si>
  <si>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</si>
  <si>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</si>
  <si>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</si>
  <si>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</si>
  <si>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</si>
  <si>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</si>
  <si>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</si>
  <si>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</si>
  <si>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</si>
  <si>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</si>
  <si>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</si>
  <si>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</si>
  <si>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</si>
  <si>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</si>
  <si>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</si>
  <si>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</si>
  <si>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</si>
  <si>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</si>
  <si>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</si>
  <si>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</si>
  <si>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</si>
  <si>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</si>
  <si>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</si>
  <si>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</si>
  <si>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</si>
  <si>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</si>
  <si>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</si>
  <si>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</si>
  <si>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</si>
  <si>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</si>
  <si>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</si>
  <si>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</si>
  <si>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</si>
  <si>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</si>
  <si>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</si>
  <si>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</si>
  <si>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</si>
  <si>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</si>
  <si>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</si>
  <si>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</si>
  <si>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</si>
  <si>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</si>
  <si>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</si>
  <si>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</si>
  <si>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</si>
  <si>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</si>
  <si>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</si>
  <si>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</si>
  <si>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</si>
  <si>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</si>
  <si>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</si>
  <si>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</si>
  <si>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</si>
  <si>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</si>
  <si>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</si>
  <si>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</si>
  <si>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</si>
  <si>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</si>
  <si>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</si>
  <si>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</si>
  <si>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</si>
  <si>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</si>
  <si>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</si>
  <si>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</si>
  <si>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</si>
  <si>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</si>
  <si>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</si>
  <si>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</si>
  <si>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</si>
  <si>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</si>
  <si>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</si>
  <si>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</si>
  <si>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</si>
  <si>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</si>
  <si>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</si>
  <si>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</si>
  <si>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</si>
  <si>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</si>
  <si>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</si>
  <si>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</si>
  <si>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</si>
  <si>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</si>
  <si>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</si>
  <si>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</si>
  <si>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</si>
  <si>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</si>
  <si>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</si>
  <si>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</si>
  <si>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</si>
  <si>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</si>
  <si>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</si>
  <si>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</si>
  <si>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</si>
  <si>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</si>
  <si>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</si>
  <si>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</si>
  <si>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</si>
  <si>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</si>
  <si>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</si>
  <si>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</si>
  <si>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</si>
  <si>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</si>
  <si>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</si>
  <si>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</si>
  <si>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</si>
  <si>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</si>
  <si>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</si>
  <si>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</si>
  <si>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</si>
  <si>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</si>
  <si>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</si>
  <si>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</si>
  <si>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</si>
  <si>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</si>
  <si>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</si>
  <si>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</si>
  <si>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</si>
  <si>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</si>
  <si>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</si>
  <si>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</si>
  <si>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</si>
  <si>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</si>
  <si>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</si>
  <si>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</si>
  <si>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</si>
  <si>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</si>
  <si>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</si>
  <si>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</si>
  <si>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</si>
  <si>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</si>
  <si>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</si>
  <si>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</si>
  <si>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</si>
  <si>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</si>
  <si>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</si>
  <si>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</si>
  <si>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</si>
  <si>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</si>
  <si>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</si>
  <si>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</si>
  <si>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</si>
  <si>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</si>
  <si>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</si>
  <si>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</si>
  <si>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</si>
  <si>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</si>
  <si>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</si>
  <si>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</si>
  <si>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</si>
  <si>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</si>
  <si>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</si>
  <si>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</si>
  <si>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</si>
  <si>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</si>
  <si>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</si>
  <si>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</si>
  <si>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</si>
  <si>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</si>
  <si>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</si>
  <si>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</si>
  <si>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</si>
  <si>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</si>
  <si>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</si>
  <si>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</si>
  <si>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</si>
  <si>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</si>
  <si>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</si>
  <si>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</si>
  <si>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</si>
  <si>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</si>
  <si>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</si>
  <si>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</si>
  <si>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</si>
  <si>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</si>
  <si>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</si>
  <si>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</si>
  <si>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</si>
  <si>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</si>
  <si>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</si>
  <si>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</si>
  <si>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</si>
  <si>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</si>
  <si>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</si>
  <si>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</si>
  <si>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</si>
  <si>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</si>
  <si>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</si>
  <si>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</si>
  <si>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</si>
  <si>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</si>
  <si>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</si>
  <si>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</si>
  <si>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</si>
  <si>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</si>
  <si>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</si>
  <si>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</si>
  <si>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</si>
  <si>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</si>
  <si>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</si>
  <si>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</si>
  <si>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</si>
  <si>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</si>
  <si>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</si>
  <si>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</si>
  <si>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</si>
  <si>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</si>
  <si>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</si>
  <si>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</si>
  <si>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</si>
  <si>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</si>
  <si>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</si>
  <si>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</si>
  <si>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</si>
  <si>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</si>
  <si>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</si>
  <si>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</si>
  <si>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</si>
  <si>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</si>
  <si>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</si>
  <si>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</si>
  <si>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</si>
  <si>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</si>
  <si>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</si>
  <si>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</si>
  <si>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</si>
  <si>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</si>
  <si>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</si>
  <si>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</si>
  <si>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</si>
  <si>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</si>
  <si>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</si>
  <si>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</si>
  <si>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</si>
  <si>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</si>
  <si>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</si>
  <si>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</si>
  <si>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</si>
  <si>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</si>
  <si>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</si>
  <si>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</si>
  <si>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</si>
  <si>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</si>
  <si>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</si>
  <si>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</si>
  <si>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</si>
  <si>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</si>
  <si>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</si>
  <si>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</si>
  <si>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</si>
  <si>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</si>
  <si>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</si>
  <si>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</si>
  <si>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</si>
  <si>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</si>
  <si>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</si>
  <si>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</si>
  <si>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</si>
  <si>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</si>
  <si>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</si>
  <si>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</si>
  <si>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</si>
  <si>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</si>
  <si>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</si>
  <si>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</si>
  <si>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</si>
  <si>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</si>
  <si>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</si>
  <si>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</si>
  <si>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</si>
  <si>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</si>
  <si>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</si>
  <si>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</si>
  <si>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</si>
  <si>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</si>
  <si>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</si>
  <si>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</si>
  <si>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</si>
  <si>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</si>
  <si>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</si>
  <si>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</si>
  <si>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</si>
  <si>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</si>
  <si>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</si>
  <si>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</si>
  <si>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</si>
  <si>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</si>
  <si>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</si>
  <si>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</si>
  <si>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</si>
  <si>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</si>
  <si>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</si>
  <si>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</si>
  <si>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</si>
  <si>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</si>
  <si>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</si>
  <si>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</si>
  <si>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</si>
  <si>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</si>
  <si>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</si>
  <si>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</si>
  <si>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</si>
  <si>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</si>
  <si>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</si>
  <si>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</si>
  <si>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</si>
  <si>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</si>
  <si>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</si>
  <si>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</si>
  <si>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</si>
  <si>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</si>
  <si>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</si>
  <si>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</si>
  <si>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</si>
  <si>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</si>
  <si>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</si>
  <si>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</si>
  <si>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</si>
  <si>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</si>
  <si>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</si>
  <si>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</si>
  <si>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</si>
  <si>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</si>
  <si>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</si>
  <si>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</si>
  <si>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</si>
  <si>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</si>
  <si>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</si>
  <si>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</si>
  <si>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</si>
  <si>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</si>
  <si>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</si>
  <si>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</si>
  <si>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</si>
  <si>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</si>
  <si>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</si>
  <si>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</si>
  <si>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</si>
  <si>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</si>
  <si>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</si>
  <si>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</si>
  <si>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</si>
  <si>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</si>
  <si>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</si>
  <si>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</si>
  <si>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</si>
  <si>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</si>
  <si>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</si>
  <si>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</si>
  <si>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</si>
  <si>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</si>
  <si>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</si>
  <si>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</si>
  <si>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</si>
  <si>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</si>
  <si>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</si>
  <si>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</si>
  <si>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</si>
  <si>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</si>
  <si>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</si>
  <si>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</si>
  <si>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</si>
  <si>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</si>
  <si>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</si>
  <si>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</si>
  <si>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</si>
  <si>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</si>
  <si>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</si>
  <si>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</si>
  <si>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</si>
  <si>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</si>
  <si>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</si>
  <si>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</si>
  <si>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</si>
  <si>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</si>
  <si>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</si>
  <si>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</si>
  <si>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</si>
  <si>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</si>
  <si>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</si>
  <si>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</si>
  <si>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</si>
  <si>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</si>
  <si>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</si>
  <si>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</si>
  <si>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</si>
  <si>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</si>
  <si>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</si>
  <si>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</si>
  <si>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</si>
  <si>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</si>
  <si>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</si>
  <si>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</si>
  <si>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</si>
  <si>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</si>
  <si>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</si>
  <si>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</si>
  <si>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</si>
  <si>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</si>
  <si>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</si>
  <si>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</si>
  <si>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</si>
  <si>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</si>
  <si>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</si>
  <si>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</si>
  <si>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</si>
  <si>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</si>
  <si>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</si>
  <si>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</si>
  <si>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</si>
  <si>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</si>
  <si>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</si>
  <si>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</si>
  <si>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</si>
  <si>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</si>
  <si>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</si>
  <si>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</si>
  <si>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</si>
  <si>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</si>
  <si>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</si>
  <si>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</si>
  <si>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</si>
  <si>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</si>
  <si>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</si>
  <si>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</si>
  <si>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</si>
  <si>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</si>
  <si>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</si>
  <si>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</si>
  <si>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</si>
  <si>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</si>
  <si>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</si>
  <si>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</si>
  <si>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</si>
  <si>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</si>
  <si>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</si>
  <si>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</si>
  <si>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</si>
  <si>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</si>
  <si>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</si>
  <si>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</si>
  <si>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</si>
  <si>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</si>
  <si>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</si>
  <si>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</si>
  <si>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</si>
  <si>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</si>
  <si>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</si>
  <si>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</si>
  <si>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</si>
  <si>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</si>
  <si>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</si>
  <si>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</si>
  <si>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</si>
  <si>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</si>
  <si>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</si>
  <si>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</si>
  <si>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</si>
  <si>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</si>
  <si>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</si>
  <si>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</si>
  <si>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</si>
  <si>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</si>
  <si>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</si>
  <si>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</si>
  <si>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</si>
  <si>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</si>
  <si>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</si>
  <si>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</si>
  <si>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</si>
  <si>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</si>
  <si>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</si>
  <si>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</si>
  <si>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</si>
  <si>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</si>
  <si>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</si>
  <si>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</si>
  <si>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</si>
  <si>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</si>
  <si>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</si>
  <si>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</si>
  <si>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</si>
  <si>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</si>
  <si>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</si>
  <si>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</si>
  <si>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</si>
  <si>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</si>
  <si>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</si>
  <si>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</si>
  <si>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</si>
  <si>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</si>
  <si>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</si>
  <si>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</si>
  <si>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</si>
  <si>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</si>
  <si>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</si>
  <si>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</si>
  <si>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</si>
  <si>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</si>
  <si>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</si>
  <si>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</si>
  <si>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</si>
  <si>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</si>
  <si>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</si>
  <si>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</si>
  <si>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</si>
  <si>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</si>
  <si>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</si>
  <si>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</si>
  <si>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</si>
  <si>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</si>
  <si>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</si>
  <si>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</si>
  <si>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</si>
  <si>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</si>
  <si>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</si>
  <si>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</si>
  <si>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</si>
  <si>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</si>
  <si>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</si>
  <si>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</si>
  <si>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</si>
  <si>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</si>
  <si>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</si>
  <si>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</si>
  <si>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</si>
  <si>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</si>
  <si>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</si>
  <si>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</si>
  <si>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</si>
  <si>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</si>
  <si>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</si>
  <si>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</si>
  <si>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</si>
  <si>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</si>
  <si>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</si>
  <si>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</si>
  <si>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Kenneth G Blankesnhip</t>
  </si>
  <si>
    <t>Managing Partner</t>
  </si>
  <si>
    <t>3715 Northside Parkway, BLDG 200, STE 175</t>
  </si>
  <si>
    <t>Ken@PrestwickCompanies.com</t>
  </si>
  <si>
    <t>North Grove Apartments</t>
  </si>
  <si>
    <t>Within City Limits</t>
  </si>
  <si>
    <t>Kenneth G Blankenship</t>
  </si>
  <si>
    <t>Wiley A Tucker III</t>
  </si>
  <si>
    <t>Richard D. Lee</t>
  </si>
  <si>
    <t>2-Story Walkup</t>
  </si>
  <si>
    <t>Acquisition/Rehab</t>
  </si>
  <si>
    <t>PNA</t>
  </si>
  <si>
    <t>DCA Cost Review</t>
  </si>
  <si>
    <t>Tax and Insurance Escrow</t>
  </si>
  <si>
    <t>DDA/QCT</t>
  </si>
  <si>
    <t>North Grove, LP</t>
  </si>
  <si>
    <t>3715 Northside Pkwy, Bdlg 200, Ste 175</t>
  </si>
  <si>
    <t>ken@prestwickcompanies.com</t>
  </si>
  <si>
    <t>Ken Blankenship</t>
  </si>
  <si>
    <t>Manger</t>
  </si>
  <si>
    <t>3715 Northside Pkwy, Bldg 200, Ste 175</t>
  </si>
  <si>
    <t>Managing Member</t>
  </si>
  <si>
    <t>Prestwick Development Company, LLC</t>
  </si>
  <si>
    <t>Prestwick Construction Company, LLC</t>
  </si>
  <si>
    <t>Ray Dotson</t>
  </si>
  <si>
    <t>President</t>
  </si>
  <si>
    <t>ray@prestwickcompanies.com</t>
  </si>
  <si>
    <t>VP</t>
  </si>
  <si>
    <t>Arnall Golden Gregory</t>
  </si>
  <si>
    <t>171 17th Street, Suite 2100</t>
  </si>
  <si>
    <t>Jeff Adams</t>
  </si>
  <si>
    <t>Partner</t>
  </si>
  <si>
    <t>jeff.adams@agg.com</t>
  </si>
  <si>
    <t>Cohn Reznick</t>
  </si>
  <si>
    <t>3560 Lenox Rd, Suite 2800</t>
  </si>
  <si>
    <t>Timothy Kemper</t>
  </si>
  <si>
    <t>timothy.kemper@cohnreznick.com</t>
  </si>
  <si>
    <t>Robert Byington</t>
  </si>
  <si>
    <t>For Profit</t>
  </si>
  <si>
    <t>198  Old Hull road</t>
  </si>
  <si>
    <t>301</t>
  </si>
  <si>
    <t>33.9759302, -83.36041469999998</t>
  </si>
  <si>
    <t>Nancey Denson</t>
  </si>
  <si>
    <t>Mayor</t>
  </si>
  <si>
    <t>Nacey.Denson@athensclarkecounty.com</t>
  </si>
  <si>
    <t>420 Forest Heights Dr.</t>
  </si>
  <si>
    <t>NA</t>
  </si>
  <si>
    <t>Family</t>
  </si>
  <si>
    <t>North Grove Apartments GP, LLC</t>
  </si>
  <si>
    <t>GA-95-06201</t>
  </si>
  <si>
    <t>GA-95-06215</t>
  </si>
  <si>
    <t>The members of Prestwick Development Company LLC are also members of  Prestwick Construction Company LLC.</t>
  </si>
  <si>
    <t>MF</t>
  </si>
  <si>
    <t>Georgia Department of Community Affairs</t>
  </si>
  <si>
    <t>other admin</t>
  </si>
  <si>
    <t>Agree</t>
  </si>
  <si>
    <t>Birthday parties, Holiday theme parties, resident forums, etc.</t>
  </si>
  <si>
    <t>Contract/Option</t>
  </si>
  <si>
    <t>Documentation regarding the site being accessible by a paved road is included in Tab 9</t>
  </si>
  <si>
    <t>The property is an existing apartment community. The property is currently zoned C-G (Commercial General) but the property was built before the current standards and is grandfathered in as a legal non-confirming use. A copy of the zoning letter and relevant sections of the Zoning Ordinance are included in Tab 10</t>
  </si>
  <si>
    <t>Georgia Power</t>
  </si>
  <si>
    <t>Athens Clarke County Water System</t>
  </si>
  <si>
    <t>Project is currently all electric (NO GAS) and after rehabilitation, will remain all electric (NO GAS). Electricity is currently on our site. The Availability Letter is included in Tab 11</t>
  </si>
  <si>
    <t>Athens Banner-Herald</t>
  </si>
  <si>
    <t>Gazebo</t>
  </si>
  <si>
    <t>On-site laundry</t>
  </si>
  <si>
    <t>Furnished Exercise / Fitness Center</t>
  </si>
  <si>
    <t>Covered Pavillion with Picnic/Barbeque</t>
  </si>
  <si>
    <t>Substantial Gut Rehab</t>
  </si>
  <si>
    <t>Ray Engineering</t>
  </si>
  <si>
    <t>Approved Architectural Waiver is included in Tab 17</t>
  </si>
  <si>
    <t>Real Property Research Group</t>
  </si>
  <si>
    <t>There are (0) projects located inside a 2-mile radius that were developed for years 2009-2013</t>
  </si>
  <si>
    <t>15.75% of our units are set-aside at the 50% Rent Level. This is evident in our rent schedule in Part VI of the Core Application</t>
  </si>
  <si>
    <t xml:space="preserve">The site scores 12 points for desireable / undesireable activities. This is evident with the supplied certification in Tab 24. </t>
  </si>
  <si>
    <t>Athens Transit offers scheduled bus service and has a bus stop 800ft from the property entrance . This is evident with the supplied documentation in Tab 25</t>
  </si>
  <si>
    <t>Earth Craft House Renovation</t>
  </si>
  <si>
    <t>The project will be seeking the EarthCraft Multi-family certification. The applicable scoring sheet is located in Tab 27</t>
  </si>
  <si>
    <t xml:space="preserve"> http://ga-athensclarkecounty2.civicplus.com/414/Economic-Development-Programs</t>
  </si>
  <si>
    <t>Published local govt public mtg</t>
  </si>
  <si>
    <t>2 year, 7 months</t>
  </si>
  <si>
    <t>6,7,29</t>
  </si>
  <si>
    <t>1 through 29</t>
  </si>
  <si>
    <t>We have agreed to forego the cancellation option for at least 5 years as evident above</t>
  </si>
  <si>
    <t>This section is not applicable to this application</t>
  </si>
  <si>
    <t>GEC Consultants</t>
  </si>
  <si>
    <t>www.AthensClarkeCounty.com</t>
  </si>
  <si>
    <t>Prestwick Development Company</t>
  </si>
  <si>
    <t>GA-95-062</t>
  </si>
  <si>
    <t>Enterprise Community Investments</t>
  </si>
  <si>
    <t>Amortizing</t>
  </si>
  <si>
    <t>N/A to this application</t>
  </si>
  <si>
    <t>Racially mixed</t>
  </si>
  <si>
    <t>301 (subject tract), 1303, 1403, 1404, 1405, 302, 1, 19</t>
  </si>
  <si>
    <t>Lender Front End</t>
  </si>
  <si>
    <t>Lender Underwriting</t>
  </si>
  <si>
    <t>DCA Determination Fee</t>
  </si>
  <si>
    <t>2014PA-052</t>
  </si>
  <si>
    <t>North Grove GP, LLC</t>
  </si>
  <si>
    <t>Enterprise Community Investments, Inc.</t>
  </si>
  <si>
    <t>10227 Wincopin Circle</t>
  </si>
  <si>
    <t>www.enterprisecommunity.com</t>
  </si>
  <si>
    <t>Steve Smith</t>
  </si>
  <si>
    <t>ssmith@enterprisecommunity.com</t>
  </si>
  <si>
    <t>Terri Benskin</t>
  </si>
  <si>
    <t>COO</t>
  </si>
  <si>
    <t>terri.benskin@ledic.com</t>
  </si>
  <si>
    <t>2650 Thousand Oaks Blvd</t>
  </si>
  <si>
    <t>Memphis</t>
  </si>
  <si>
    <t>www.ledic.com</t>
  </si>
  <si>
    <t>2215 Bemiss Road, Suite E</t>
  </si>
  <si>
    <t>www.studio8design.biz</t>
  </si>
  <si>
    <t xml:space="preserve">Members of Prestwick Development Company are also members of the GP entity and members of Prestwick Construction Company, LLC, the contractor for the project. </t>
  </si>
  <si>
    <t>Possible HUD Section 811 PBRA</t>
  </si>
  <si>
    <t>rbyington@studio8design.biz</t>
  </si>
  <si>
    <t>LEDIC Management will identify the needs of the community and provide Social and Recreational Programming. Some examples that will be provided are the following, Birthday parties, Holiday Theme parties, Resident Forums, etc.</t>
  </si>
  <si>
    <t>2-3 Months</t>
  </si>
  <si>
    <t>The availabiloty and capacity letter is included in Tab 12</t>
  </si>
  <si>
    <t xml:space="preserve">Documentation regarding local government and community engagement is located in Tab 13. </t>
  </si>
  <si>
    <t xml:space="preserve">HOME Contract Addendum is located in Tab 8. </t>
  </si>
  <si>
    <t>A copy of the LIHTC Acquisition and Rehabilitation Legal Opinion is located in tab 22</t>
  </si>
  <si>
    <t>7,29</t>
  </si>
  <si>
    <t>7, 29</t>
  </si>
  <si>
    <t>13-29</t>
  </si>
  <si>
    <t>The application contains two active plans that support this section. As such, each plan has the required documentaiton submitted seperately in tab 29.</t>
  </si>
  <si>
    <t>Property is located in Athens Clake County. There has not been a 4%, 9% or HOME project within 2 miles of the site in the last 5 DCA funding cycles</t>
  </si>
  <si>
    <t xml:space="preserve">Applicant has partnered with Advatage, one of the premier Behavioral Health Service Providers in the Athens arae. Evidence of the MOU and Advatage's experience and capacity is provided in tab 36. Additionally, Applicant executed MOUs with two other qualified providers. Their respective experience and capacity are also provided in Tab 36.  </t>
  </si>
  <si>
    <t xml:space="preserve">Documentation that the average occupancy is at least 90% for the 6 month period prior to application submission is located in Tab 38. Documentation that the property's compliance period began at least 18 years prior to the application deadline is located in Tab 38. Construction hard costs are 47.36% of the Total Development Costs. This is evident by dividing total construction hard costs by the total development costs in Part IV - Uses of Funds. </t>
  </si>
  <si>
    <t xml:space="preserve">Documentation is located in Tab 40 - Workforce Housing Need. The report was provided, plus a screen shot of the "OnTheMap" website beause the website-generated report only provides the data output and not the address of the site. The screen shot shows the address. </t>
  </si>
  <si>
    <t>9/23/11, 10/4/2011</t>
  </si>
  <si>
    <t>Athens Banner Herald</t>
  </si>
  <si>
    <t>N/A-CS</t>
  </si>
  <si>
    <t>Common</t>
  </si>
  <si>
    <t>DCA's "Equity Check" calculation is incorrect. The Federal Investor receives 99.98% of the federal tax credits in a transaction. The State LP receives .01% and the GP receives .01% of the federal credits. Therefore, only 99.98% of the federal credits should be used in the calculation. The calculation should be:  $1,000,000 X 10 X .90 X .9998 = $8,998,200 as shown above in our permanent sources.</t>
  </si>
  <si>
    <t>LEDIC Management Company</t>
  </si>
  <si>
    <t>Per DCA's Guidance regarding Integrated Supportive Housing Points, we have completed the HOME/HUD environmental questionaire.</t>
  </si>
  <si>
    <t xml:space="preserve">Applicant was deemed qualified without conditions on their pre-application qualification determination request. Applicant has changed the management company from Boyd to LEDIC since the pre-application was submitted. The required documentation showing this change is included in Tab 18. </t>
  </si>
  <si>
    <t>Community and Southern Bank</t>
  </si>
  <si>
    <t>www.prestwickcompanies.com</t>
  </si>
  <si>
    <t>3715 Northside Pkwy, Building 400, Ste 120</t>
  </si>
  <si>
    <t>www.agg.com</t>
  </si>
  <si>
    <t>www.cohnreznick.com</t>
  </si>
  <si>
    <t>Studio 8 Design</t>
  </si>
  <si>
    <t>Utility Allowance documantation included in Tab 1. Each unit is individually metered. Applicant will take over the payment for water and sewer charges.</t>
  </si>
  <si>
    <t xml:space="preserve">Insurance in the above Operating Budget are based on actual insurance cost of the property. A copy of the 2014 insuarance bill is located in Tab 1 of the application. Property Taxes are based on the 2013 tax bill for the property, which is also included in Tab 1 of the application. 
</t>
  </si>
  <si>
    <t>Road way, Railway, Aircraft Noise</t>
  </si>
  <si>
    <t xml:space="preserve">The entity with site control and the Applicant is North Grove, LP. </t>
  </si>
  <si>
    <t>26.D(4). The number is zero however (0) will not show in the cell.  26.E. This information is included in the Advisory / Counseling Services and Proposed Notifications document which is attached to the back of the Relocation Plan that is included in Tab 23</t>
  </si>
  <si>
    <t xml:space="preserve">Permitting Costs were determined by Athens-Clarke County and based on the dollar amount of the proposed work scope. We contacted Fay Lamb with the Athens-Clarke County Building Department and she provided an estimate based on the total construction costs. Please see Tab 42 for an email from Fay with the permit fee estimate from Athens-Clarke County.  
Construction Cost estimate is based on multiple sources including: actual costs of a rehab project we own that is currently being constructed, our construction company has provided us with estimates based on the current market. Site is located within a QCT, which provides the project with a basis boost. 
Section I - Development Budget - Water and Sewer Tap Fees: Applicant is rehabilitating an existing apartment complex so no additional tap fees will be required. 
</t>
  </si>
  <si>
    <t>Permits</t>
  </si>
  <si>
    <t>Email from Athens Clarke County regarding the estimated costs for building permits</t>
  </si>
  <si>
    <t>Core App Tab IV</t>
  </si>
  <si>
    <t xml:space="preserve">Secion XIII-B: Applicant is choosing to waive its Qualified Contract Right in exchange for 1 points in Scoring Section IX A - 11(A). Therefore, "Yes" was selected in Section XIII-B. 
Section XIII-D: 127 units are rentable. 1 additional unit is a non-revenue/manager unit is not included i the 127 unit count. </t>
  </si>
  <si>
    <t xml:space="preserve">Applicant was deemed qualified without conditions on their pre-application qualification determination request. The required documentation showing this change is included in Tab 18. </t>
  </si>
  <si>
    <t>Project Name: North Grove Apartments
Project Address: 198 Hull Road, Athens, GA
Total Units: 128
Total Low Income Units: 127
Project Type: Rehabilitation
Tenancy: Multi-family
DEVELOPMENT SUMMARY
North Grove Apartments is a proposed rehabilitation of an existing family development in Athens, Clarke County, Georgia. The project was originally developed as a Low Income Housing Tax Credit (“LIHTC”) development and has completed the initial 15-year compliance period. As such, the project is a candidate for the preservation point item.
The renovated property will offer a total of 128 units, 127 of which will be available for rent and one of which will be a non-revenue/manager unit. All existing buildings will be renovated. The community building will be demolished and a new center will be built to provide improved property amenities to the residents. 12 of the existing 2BR units will be converted to 1BR units in order to provide 15% (20 units) of the total units as 1BRs in order to satisfy the requirements of Integrated Supportive Health/Section 811 Rental Assistance program.
The improvements being made to the residential buildings and the amenities will not only significantly enhance the aesthetic appearance  of the property, but it will provide a better environment for families to grow and prosper. Upgraded living quarters, fitness facilities and business centers all create an environment condusive to personal growth.  
Because all units will be substantially rehabilitated, all current households will move. Most residents will transfer to a comparable unit on the site. 
BUILDING FEATURES, COMMON AREAS AND AMENITIES
The project will be enrolled in the EarthCraft Multifamily program, ensuring sustainable development and energy efficiency. Residential building improvements will include new roofing, new windows and the replacement or refurbishment of existing exteriors. Site improvements will be made as needed. Community spaces will include a new community building with community room and kitchenette, laundry center, furnished fitness center, business center and a covered porch for outside gatherings. Offices for on-site management will also be provided. A covered pavilion with picnic and barbeque facilities will be located on the site, along with a playground for children. 
THE APARTMENTS
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1” blinds.
.</t>
  </si>
  <si>
    <t>The members of the General Partner, North Grove GP, LLC are also members of Prestwick Construction Company, LLC.</t>
  </si>
  <si>
    <t>2014-006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</si>
</sst>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s>
  <cellStyleXfs count="34">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10" fontId="4" fillId="3" borderId="105"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5" fillId="0" borderId="120">
      <alignment horizontal="left" vertical="center"/>
    </xf>
    <xf numFmtId="0" fontId="5" fillId="0" borderId="104">
      <alignment horizontal="left" vertical="center"/>
    </xf>
    <xf numFmtId="0" fontId="5" fillId="0" borderId="108">
      <alignment horizontal="left" vertical="center"/>
    </xf>
    <xf numFmtId="0" fontId="5" fillId="0" borderId="112">
      <alignment horizontal="left" vertical="center"/>
    </xf>
    <xf numFmtId="10" fontId="4" fillId="3" borderId="109" applyNumberFormat="0" applyBorder="0" applyAlignment="0" applyProtection="0"/>
    <xf numFmtId="0" fontId="5" fillId="0" borderId="116">
      <alignment horizontal="left" vertical="center"/>
    </xf>
    <xf numFmtId="10" fontId="4" fillId="3" borderId="113" applyNumberFormat="0" applyBorder="0" applyAlignment="0" applyProtection="0"/>
    <xf numFmtId="10" fontId="4" fillId="3" borderId="124" applyNumberFormat="0" applyBorder="0" applyAlignment="0" applyProtection="0"/>
    <xf numFmtId="0" fontId="5" fillId="0" borderId="114">
      <alignment horizontal="left" vertical="center"/>
    </xf>
    <xf numFmtId="10" fontId="4" fillId="3" borderId="115" applyNumberFormat="0" applyBorder="0" applyAlignment="0" applyProtection="0"/>
    <xf numFmtId="10" fontId="4" fillId="3" borderId="117" applyNumberFormat="0" applyBorder="0" applyAlignment="0" applyProtection="0"/>
    <xf numFmtId="10" fontId="4" fillId="3" borderId="128" applyNumberFormat="0" applyBorder="0" applyAlignment="0" applyProtection="0"/>
    <xf numFmtId="10" fontId="4" fillId="3" borderId="121" applyNumberFormat="0" applyBorder="0" applyAlignment="0" applyProtection="0"/>
    <xf numFmtId="0" fontId="5" fillId="0" borderId="127">
      <alignment horizontal="left" vertical="center"/>
    </xf>
    <xf numFmtId="0" fontId="5" fillId="0" borderId="131">
      <alignment horizontal="left" vertical="center"/>
    </xf>
    <xf numFmtId="10" fontId="4" fillId="3" borderId="132" applyNumberFormat="0" applyBorder="0" applyAlignment="0" applyProtection="0"/>
  </cellStyleXfs>
  <cellXfs count="2476">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5"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5"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6"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vertical="center"/>
    </xf>
    <xf numFmtId="164" fontId="13" fillId="0" borderId="16"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164" fontId="12" fillId="0" borderId="16" xfId="1" applyNumberFormat="1" applyFont="1" applyFill="1" applyBorder="1" applyAlignment="1" applyProtection="1">
      <alignment horizontal="right" vertical="center"/>
    </xf>
    <xf numFmtId="164" fontId="12" fillId="0" borderId="17"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2"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3" xfId="0" applyBorder="1" applyProtection="1"/>
    <xf numFmtId="0" fontId="4" fillId="0" borderId="0" xfId="0" applyFont="1" applyAlignment="1" applyProtection="1">
      <alignment horizont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2" fontId="54" fillId="0" borderId="85"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3"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8"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8"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7" fillId="0" borderId="0" xfId="0" applyFont="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1" fillId="0" borderId="0" xfId="0" applyFont="1" applyFill="1" applyProtection="1"/>
    <xf numFmtId="0" fontId="121" fillId="0" borderId="0" xfId="0" applyFont="1" applyProtection="1"/>
    <xf numFmtId="0" fontId="122" fillId="0" borderId="0" xfId="0" applyFont="1" applyFill="1" applyProtection="1"/>
    <xf numFmtId="0" fontId="119"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3" fillId="0" borderId="0" xfId="0" applyFont="1" applyFill="1" applyProtection="1"/>
    <xf numFmtId="0" fontId="110" fillId="0" borderId="0" xfId="0" applyFont="1" applyFill="1" applyBorder="1" applyAlignment="1" applyProtection="1">
      <alignment horizontal="left"/>
    </xf>
    <xf numFmtId="0" fontId="110" fillId="0" borderId="0" xfId="0" applyFont="1" applyFill="1" applyBorder="1" applyAlignment="1" applyProtection="1">
      <alignment wrapText="1"/>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32"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4"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6" fillId="0" borderId="0" xfId="0" applyFont="1" applyFill="1" applyAlignment="1" applyProtection="1">
      <alignment vertical="center"/>
    </xf>
    <xf numFmtId="0" fontId="106" fillId="0" borderId="0" xfId="0" applyFont="1" applyBorder="1" applyAlignment="1" applyProtection="1">
      <alignment horizontal="right" vertical="center"/>
    </xf>
    <xf numFmtId="0" fontId="136"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3" fillId="0" borderId="0" xfId="0" applyFont="1" applyProtection="1"/>
    <xf numFmtId="0" fontId="131" fillId="0" borderId="0" xfId="0" applyFont="1" applyFill="1" applyAlignment="1" applyProtection="1">
      <alignment vertical="center"/>
    </xf>
    <xf numFmtId="0" fontId="61"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78" fillId="0" borderId="0" xfId="0" applyFont="1" applyAlignment="1" applyProtection="1"/>
    <xf numFmtId="0" fontId="24" fillId="0" borderId="0" xfId="0" applyFont="1" applyFill="1" applyBorder="1" applyAlignment="1" applyProtection="1">
      <alignment horizontal="center"/>
    </xf>
    <xf numFmtId="0" fontId="105" fillId="0" borderId="0" xfId="0" applyFont="1" applyFill="1" applyBorder="1" applyAlignment="1" applyProtection="1">
      <alignment horizontal="left" vertical="center"/>
    </xf>
    <xf numFmtId="10" fontId="8" fillId="0" borderId="3" xfId="0" applyNumberFormat="1" applyFont="1" applyFill="1" applyBorder="1" applyAlignment="1" applyProtection="1">
      <alignment horizontal="center" vertical="center"/>
    </xf>
    <xf numFmtId="0" fontId="51" fillId="0" borderId="0" xfId="0" applyFont="1" applyFill="1" applyAlignment="1" applyProtection="1">
      <alignment horizontal="left" vertical="center"/>
    </xf>
    <xf numFmtId="0" fontId="27" fillId="0" borderId="0" xfId="0" applyFont="1" applyFill="1" applyAlignment="1" applyProtection="1">
      <alignment horizontal="center" vertical="top"/>
    </xf>
    <xf numFmtId="0" fontId="131" fillId="0" borderId="3"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42" fillId="0" borderId="0" xfId="0" applyFont="1" applyFill="1" applyBorder="1" applyAlignment="1" applyProtection="1">
      <alignment horizontal="center" vertical="center"/>
    </xf>
    <xf numFmtId="0" fontId="106" fillId="0" borderId="0" xfId="0" applyFont="1" applyFill="1" applyAlignment="1" applyProtection="1">
      <alignment vertical="center"/>
    </xf>
    <xf numFmtId="0" fontId="107" fillId="0" borderId="0" xfId="0" applyFont="1" applyAlignment="1" applyProtection="1">
      <alignment horizontal="center"/>
    </xf>
    <xf numFmtId="0" fontId="96" fillId="0" borderId="0" xfId="0" applyFont="1" applyAlignment="1" applyProtection="1">
      <alignment horizontal="center"/>
    </xf>
    <xf numFmtId="0" fontId="14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43" fillId="0" borderId="0" xfId="0" applyFont="1" applyProtection="1"/>
    <xf numFmtId="0" fontId="120" fillId="0" borderId="0" xfId="0" applyFont="1" applyProtection="1"/>
    <xf numFmtId="0" fontId="110" fillId="0" borderId="0" xfId="0" applyFont="1" applyBorder="1" applyAlignment="1" applyProtection="1">
      <alignment horizontal="center" vertical="top" wrapText="1"/>
    </xf>
    <xf numFmtId="0" fontId="120"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10" fillId="0" borderId="0" xfId="0" applyFont="1" applyProtection="1"/>
    <xf numFmtId="0" fontId="107" fillId="0" borderId="0" xfId="0" applyFont="1" applyBorder="1" applyProtection="1"/>
    <xf numFmtId="0" fontId="110" fillId="0" borderId="0" xfId="0" applyFont="1" applyAlignment="1" applyProtection="1">
      <alignment horizontal="left"/>
    </xf>
    <xf numFmtId="10" fontId="4" fillId="0" borderId="16" xfId="0" applyNumberFormat="1" applyFont="1" applyFill="1" applyBorder="1" applyAlignment="1" applyProtection="1">
      <alignment horizontal="center" vertical="center"/>
    </xf>
    <xf numFmtId="10" fontId="4" fillId="0" borderId="17" xfId="0" applyNumberFormat="1" applyFont="1" applyFill="1" applyBorder="1" applyAlignment="1" applyProtection="1">
      <alignment horizontal="center" vertical="center"/>
    </xf>
    <xf numFmtId="10" fontId="4" fillId="0" borderId="18" xfId="0" applyNumberFormat="1" applyFont="1" applyFill="1" applyBorder="1" applyAlignment="1" applyProtection="1">
      <alignment horizontal="center" vertical="center"/>
    </xf>
    <xf numFmtId="0" fontId="4" fillId="0" borderId="0" xfId="0" applyFont="1" applyBorder="1" applyAlignment="1" applyProtection="1">
      <alignment horizontal="right" vertical="top"/>
    </xf>
    <xf numFmtId="0" fontId="4" fillId="0" borderId="0" xfId="0" applyFont="1" applyFill="1" applyBorder="1" applyAlignment="1" applyProtection="1">
      <alignment horizontal="left" wrapText="1"/>
    </xf>
    <xf numFmtId="0" fontId="131" fillId="0" borderId="0" xfId="0" applyFont="1" applyFill="1" applyAlignment="1" applyProtection="1">
      <alignment horizontal="left" vertical="top"/>
    </xf>
    <xf numFmtId="0" fontId="62" fillId="0" borderId="0" xfId="0" quotePrefix="1" applyFont="1" applyFill="1" applyAlignment="1" applyProtection="1">
      <alignment vertical="center"/>
    </xf>
    <xf numFmtId="0" fontId="4" fillId="0" borderId="13" xfId="0" applyFont="1" applyFill="1" applyBorder="1" applyProtection="1"/>
    <xf numFmtId="0" fontId="4" fillId="0" borderId="0" xfId="0" applyFont="1" applyBorder="1" applyAlignment="1" applyProtection="1">
      <alignment horizontal="right" vertical="center"/>
    </xf>
    <xf numFmtId="0" fontId="24" fillId="0" borderId="0" xfId="0" applyFont="1" applyFill="1" applyAlignment="1" applyProtection="1">
      <alignment horizontal="center"/>
    </xf>
    <xf numFmtId="0" fontId="145" fillId="0" borderId="0" xfId="0" applyFont="1" applyFill="1" applyBorder="1" applyAlignment="1" applyProtection="1">
      <alignment horizontal="left"/>
    </xf>
    <xf numFmtId="0" fontId="145"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1" fillId="0" borderId="0" xfId="0" applyFont="1" applyFill="1" applyAlignment="1" applyProtection="1">
      <alignment horizontal="right"/>
    </xf>
    <xf numFmtId="10" fontId="4" fillId="0" borderId="89" xfId="0" applyNumberFormat="1" applyFont="1" applyFill="1" applyBorder="1" applyAlignment="1" applyProtection="1">
      <alignment horizontal="center" vertical="center"/>
    </xf>
    <xf numFmtId="0" fontId="106" fillId="0" borderId="0" xfId="0" applyFont="1" applyAlignment="1" applyProtection="1">
      <alignment vertical="top"/>
    </xf>
    <xf numFmtId="0" fontId="12" fillId="0" borderId="89" xfId="0" applyFont="1" applyFill="1" applyBorder="1" applyAlignment="1" applyProtection="1">
      <alignment horizontal="center" vertical="center"/>
    </xf>
    <xf numFmtId="10" fontId="14" fillId="0" borderId="16" xfId="0" applyNumberFormat="1" applyFont="1" applyFill="1" applyBorder="1" applyAlignment="1" applyProtection="1">
      <alignment horizontal="center"/>
    </xf>
    <xf numFmtId="10" fontId="14" fillId="0" borderId="18" xfId="0" applyNumberFormat="1" applyFont="1" applyFill="1" applyBorder="1" applyAlignment="1" applyProtection="1">
      <alignment horizontal="center"/>
    </xf>
    <xf numFmtId="0" fontId="110" fillId="0" borderId="0" xfId="0" applyFont="1" applyAlignment="1" applyProtection="1">
      <alignment vertical="center"/>
    </xf>
    <xf numFmtId="0" fontId="110" fillId="0" borderId="0" xfId="0" applyFont="1" applyFill="1" applyProtection="1"/>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20" fillId="0" borderId="0" xfId="0" applyFont="1" applyFill="1" applyBorder="1" applyAlignment="1" applyProtection="1">
      <alignment horizontal="left"/>
    </xf>
    <xf numFmtId="0" fontId="120" fillId="0" borderId="0" xfId="0" applyFont="1" applyAlignment="1" applyProtection="1">
      <alignment horizontal="left" vertical="center"/>
    </xf>
    <xf numFmtId="0" fontId="123" fillId="0" borderId="0" xfId="0" applyFont="1" applyAlignment="1" applyProtection="1">
      <alignment vertical="center"/>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145" fillId="0" borderId="0" xfId="0" applyFont="1" applyAlignment="1" applyProtection="1">
      <alignment horizontal="left" wrapText="1"/>
    </xf>
    <xf numFmtId="0" fontId="145" fillId="0" borderId="0" xfId="0" applyFont="1" applyFill="1" applyAlignment="1" applyProtection="1">
      <alignment horizontal="left" wrapText="1"/>
    </xf>
    <xf numFmtId="0" fontId="145" fillId="0" borderId="0" xfId="0" applyFont="1" applyAlignment="1" applyProtection="1">
      <alignment horizontal="center" wrapText="1"/>
    </xf>
    <xf numFmtId="0" fontId="145" fillId="0" borderId="0" xfId="0" applyFont="1" applyFill="1" applyProtection="1"/>
    <xf numFmtId="0" fontId="110" fillId="0" borderId="0" xfId="9" applyFont="1" applyFill="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10" fillId="0" borderId="0" xfId="9" applyFont="1" applyFill="1" applyProtection="1"/>
    <xf numFmtId="0" fontId="124" fillId="0" borderId="0" xfId="0" applyFont="1" applyFill="1" applyAlignment="1" applyProtection="1"/>
    <xf numFmtId="0" fontId="110" fillId="0" borderId="0" xfId="9" applyFont="1" applyProtection="1"/>
    <xf numFmtId="0" fontId="123" fillId="0" borderId="0" xfId="0" applyFont="1" applyFill="1" applyAlignment="1" applyProtection="1">
      <alignment horizontal="center"/>
    </xf>
    <xf numFmtId="0" fontId="10" fillId="0" borderId="0" xfId="0" applyFont="1" applyFill="1" applyBorder="1" applyAlignment="1" applyProtection="1">
      <alignment horizontal="right" vertical="top"/>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20" fillId="0" borderId="19" xfId="0" quotePrefix="1" applyFont="1" applyFill="1" applyBorder="1" applyAlignment="1" applyProtection="1">
      <alignment horizontal="left" vertical="top"/>
    </xf>
    <xf numFmtId="0" fontId="20" fillId="0" borderId="19" xfId="0" quotePrefix="1" applyFont="1" applyFill="1" applyBorder="1" applyAlignment="1" applyProtection="1">
      <alignment horizontal="left"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31" fillId="0" borderId="0" xfId="0" applyFont="1" applyFill="1" applyBorder="1" applyAlignment="1" applyProtection="1">
      <alignment horizontal="center" vertical="center"/>
    </xf>
    <xf numFmtId="0" fontId="105"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3" fontId="10" fillId="0" borderId="3" xfId="0" applyNumberFormat="1" applyFont="1" applyFill="1" applyBorder="1" applyAlignment="1" applyProtection="1">
      <alignment horizontal="center" vertical="center"/>
    </xf>
    <xf numFmtId="0" fontId="106" fillId="0" borderId="0" xfId="0" applyFont="1" applyAlignment="1" applyProtection="1"/>
    <xf numFmtId="0" fontId="10" fillId="0" borderId="0" xfId="0" quotePrefix="1" applyFont="1" applyFill="1" applyAlignment="1" applyProtection="1">
      <alignment horizontal="right" vertical="top"/>
    </xf>
    <xf numFmtId="0" fontId="54" fillId="0" borderId="0" xfId="0" applyFont="1" applyAlignment="1" applyProtection="1">
      <alignment horizontal="left"/>
    </xf>
    <xf numFmtId="0" fontId="4" fillId="0" borderId="0" xfId="0" applyFont="1" applyFill="1" applyAlignment="1" applyProtection="1">
      <alignment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xf numFmtId="0" fontId="51" fillId="0" borderId="100" xfId="0" applyFont="1" applyFill="1" applyBorder="1" applyAlignment="1" applyProtection="1">
      <alignment horizontal="center" vertical="center"/>
    </xf>
    <xf numFmtId="0" fontId="51" fillId="0" borderId="101" xfId="0" applyFont="1" applyFill="1" applyBorder="1" applyAlignment="1" applyProtection="1">
      <alignment horizontal="center" vertical="center"/>
    </xf>
    <xf numFmtId="0" fontId="51" fillId="0" borderId="19" xfId="0" applyFont="1" applyFill="1" applyBorder="1" applyAlignment="1" applyProtection="1">
      <alignment vertical="center" wrapText="1"/>
    </xf>
    <xf numFmtId="0" fontId="4" fillId="0" borderId="19" xfId="0" applyFont="1" applyFill="1" applyBorder="1" applyAlignment="1" applyProtection="1">
      <alignment vertical="center"/>
    </xf>
    <xf numFmtId="0" fontId="4" fillId="0" borderId="88" xfId="0" applyFont="1" applyFill="1" applyBorder="1" applyAlignment="1" applyProtection="1">
      <alignment horizontal="left" wrapText="1"/>
    </xf>
    <xf numFmtId="0" fontId="8" fillId="13" borderId="3" xfId="0" applyFont="1" applyFill="1" applyBorder="1" applyAlignment="1" applyProtection="1">
      <alignment horizontal="center" vertical="center" wrapText="1"/>
    </xf>
    <xf numFmtId="0" fontId="106" fillId="0" borderId="0" xfId="0" applyFont="1" applyFill="1" applyAlignment="1" applyProtection="1">
      <alignment horizontal="center" vertical="center"/>
    </xf>
    <xf numFmtId="0" fontId="131"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38" fontId="10" fillId="0" borderId="89"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11" fillId="0" borderId="0" xfId="0" applyFont="1" applyFill="1" applyBorder="1" applyProtection="1"/>
    <xf numFmtId="0" fontId="111" fillId="0" borderId="0" xfId="0" applyFont="1" applyFill="1" applyBorder="1" applyAlignment="1" applyProtection="1">
      <alignment horizontal="center"/>
    </xf>
    <xf numFmtId="0" fontId="111"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xf>
    <xf numFmtId="0" fontId="96" fillId="0" borderId="0" xfId="0" applyFont="1" applyFill="1" applyBorder="1" applyProtection="1"/>
    <xf numFmtId="0" fontId="100" fillId="0" borderId="0" xfId="0" applyFont="1" applyFill="1" applyBorder="1" applyAlignment="1" applyProtection="1">
      <alignment horizontal="center" vertical="center"/>
    </xf>
    <xf numFmtId="0" fontId="123" fillId="0" borderId="0" xfId="0" applyFont="1" applyFill="1" applyBorder="1" applyAlignment="1" applyProtection="1">
      <alignment vertical="center"/>
    </xf>
    <xf numFmtId="0" fontId="100" fillId="0" borderId="0" xfId="0" applyFont="1" applyFill="1" applyBorder="1" applyAlignment="1" applyProtection="1">
      <alignment horizontal="left" vertical="center"/>
    </xf>
    <xf numFmtId="0" fontId="151"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3" fillId="0" borderId="0" xfId="0" applyFont="1" applyFill="1" applyBorder="1" applyAlignment="1" applyProtection="1">
      <alignment horizontal="center" vertical="center"/>
    </xf>
    <xf numFmtId="0" fontId="123" fillId="0" borderId="0" xfId="0" applyFont="1" applyFill="1" applyBorder="1" applyProtection="1"/>
    <xf numFmtId="0" fontId="123"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left" vertical="center"/>
    </xf>
    <xf numFmtId="0" fontId="107"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right" vertical="center"/>
    </xf>
    <xf numFmtId="0" fontId="12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right" vertical="center"/>
    </xf>
    <xf numFmtId="0" fontId="123" fillId="0" borderId="0" xfId="0" applyFont="1" applyFill="1" applyBorder="1" applyAlignment="1" applyProtection="1">
      <alignment horizontal="center"/>
    </xf>
    <xf numFmtId="0" fontId="123" fillId="0" borderId="0" xfId="0" applyNumberFormat="1" applyFont="1" applyFill="1" applyBorder="1" applyAlignment="1" applyProtection="1">
      <alignment horizontal="left" vertical="center"/>
    </xf>
    <xf numFmtId="0" fontId="123" fillId="0" borderId="0" xfId="0" quotePrefix="1" applyFont="1" applyFill="1" applyBorder="1" applyAlignment="1" applyProtection="1">
      <alignment horizontal="center" vertical="center"/>
    </xf>
    <xf numFmtId="164" fontId="123"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vertical="top"/>
    </xf>
    <xf numFmtId="0" fontId="110" fillId="0" borderId="0" xfId="0" applyFont="1" applyFill="1" applyBorder="1" applyAlignment="1" applyProtection="1">
      <alignment vertical="center"/>
    </xf>
    <xf numFmtId="38" fontId="123" fillId="0" borderId="0" xfId="0" applyNumberFormat="1" applyFont="1" applyFill="1" applyBorder="1" applyAlignment="1" applyProtection="1">
      <alignment horizontal="left" vertical="center"/>
    </xf>
    <xf numFmtId="0" fontId="100" fillId="0" borderId="0" xfId="0" applyFont="1" applyFill="1" applyBorder="1" applyAlignment="1" applyProtection="1">
      <alignment horizontal="center"/>
    </xf>
    <xf numFmtId="0" fontId="154" fillId="0" borderId="0" xfId="0" applyFont="1" applyFill="1" applyBorder="1" applyAlignment="1" applyProtection="1">
      <alignment vertical="center"/>
    </xf>
    <xf numFmtId="0" fontId="153" fillId="0" borderId="0" xfId="6" applyFont="1" applyFill="1" applyBorder="1" applyAlignment="1" applyProtection="1">
      <alignment vertical="center"/>
    </xf>
    <xf numFmtId="1" fontId="123" fillId="0" borderId="0" xfId="1" applyNumberFormat="1" applyFont="1" applyFill="1" applyBorder="1" applyAlignment="1" applyProtection="1">
      <alignment horizontal="center" vertical="center"/>
    </xf>
    <xf numFmtId="0" fontId="123" fillId="0" borderId="0" xfId="1" applyNumberFormat="1" applyFont="1" applyFill="1" applyBorder="1" applyAlignment="1" applyProtection="1">
      <alignment horizontal="left" vertical="center"/>
    </xf>
    <xf numFmtId="0" fontId="123" fillId="0" borderId="0" xfId="0" quotePrefix="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00" fillId="0" borderId="0" xfId="0" applyFont="1" applyFill="1" applyBorder="1" applyProtection="1"/>
    <xf numFmtId="0" fontId="123" fillId="0" borderId="0" xfId="0" applyFont="1" applyFill="1" applyBorder="1" applyAlignment="1" applyProtection="1">
      <alignment horizontal="left"/>
    </xf>
    <xf numFmtId="3" fontId="123" fillId="0" borderId="0" xfId="1" applyNumberFormat="1" applyFont="1" applyFill="1" applyBorder="1" applyAlignment="1" applyProtection="1">
      <alignment horizontal="center" vertical="center"/>
    </xf>
    <xf numFmtId="0" fontId="123" fillId="0" borderId="0" xfId="0" applyFont="1" applyFill="1" applyBorder="1" applyAlignment="1" applyProtection="1"/>
    <xf numFmtId="0" fontId="100" fillId="0" borderId="0" xfId="0" applyFont="1" applyFill="1" applyBorder="1" applyAlignment="1" applyProtection="1"/>
    <xf numFmtId="0" fontId="100" fillId="0" borderId="0" xfId="0" applyFont="1" applyFill="1" applyBorder="1" applyAlignment="1" applyProtection="1">
      <alignment horizontal="left"/>
    </xf>
    <xf numFmtId="165" fontId="123"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0" fontId="123" fillId="0" borderId="0" xfId="0" applyFont="1" applyFill="1" applyBorder="1" applyAlignment="1" applyProtection="1">
      <alignment wrapText="1"/>
    </xf>
    <xf numFmtId="0" fontId="123" fillId="0" borderId="0" xfId="0" applyFont="1" applyFill="1" applyBorder="1" applyAlignment="1" applyProtection="1">
      <alignment horizontal="left" wrapText="1"/>
    </xf>
    <xf numFmtId="0" fontId="123" fillId="0" borderId="0" xfId="0" applyFont="1" applyFill="1" applyBorder="1" applyAlignment="1" applyProtection="1">
      <alignment vertical="top"/>
    </xf>
    <xf numFmtId="9" fontId="123" fillId="0" borderId="0" xfId="1" applyNumberFormat="1" applyFont="1" applyFill="1" applyBorder="1" applyAlignment="1" applyProtection="1">
      <alignment horizontal="center" vertical="center"/>
    </xf>
    <xf numFmtId="167" fontId="123" fillId="0" borderId="0" xfId="0"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left" vertical="center"/>
    </xf>
    <xf numFmtId="10" fontId="100"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151"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100" fillId="0" borderId="0" xfId="0" quotePrefix="1" applyFont="1" applyFill="1" applyBorder="1" applyAlignment="1" applyProtection="1"/>
    <xf numFmtId="0" fontId="100" fillId="0" borderId="0" xfId="0" quotePrefix="1" applyFont="1" applyFill="1" applyBorder="1" applyAlignment="1" applyProtection="1">
      <alignment horizontal="right"/>
    </xf>
    <xf numFmtId="0" fontId="100" fillId="0" borderId="0" xfId="0" quotePrefix="1" applyFont="1" applyFill="1" applyBorder="1" applyAlignment="1" applyProtection="1">
      <alignment vertical="center"/>
    </xf>
    <xf numFmtId="0" fontId="123" fillId="0" borderId="0" xfId="0" applyFont="1" applyFill="1" applyBorder="1" applyAlignment="1" applyProtection="1">
      <alignment horizontal="right"/>
    </xf>
    <xf numFmtId="0" fontId="100" fillId="0" borderId="0" xfId="0" applyNumberFormat="1" applyFont="1" applyFill="1" applyBorder="1" applyAlignment="1" applyProtection="1">
      <alignment horizontal="center" vertical="center"/>
    </xf>
    <xf numFmtId="166" fontId="123" fillId="0" borderId="0" xfId="0" applyNumberFormat="1" applyFont="1" applyFill="1" applyBorder="1" applyAlignment="1" applyProtection="1">
      <alignment horizontal="center" vertical="center"/>
    </xf>
    <xf numFmtId="2"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vertical="center" wrapText="1"/>
    </xf>
    <xf numFmtId="0" fontId="156" fillId="0" borderId="0" xfId="0" applyFont="1" applyFill="1" applyBorder="1" applyAlignment="1" applyProtection="1">
      <alignment horizontal="center" vertical="center"/>
    </xf>
    <xf numFmtId="9" fontId="151" fillId="0" borderId="0" xfId="0"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0" fontId="151" fillId="0" borderId="0" xfId="0" applyFont="1" applyFill="1" applyBorder="1" applyProtection="1"/>
    <xf numFmtId="0" fontId="101" fillId="0" borderId="0" xfId="0" applyFont="1" applyFill="1" applyBorder="1" applyAlignment="1" applyProtection="1"/>
    <xf numFmtId="0" fontId="152" fillId="0" borderId="0" xfId="0" applyFont="1" applyFill="1" applyBorder="1" applyAlignment="1" applyProtection="1">
      <alignment vertical="top"/>
    </xf>
    <xf numFmtId="164" fontId="123" fillId="0" borderId="0" xfId="1" applyNumberFormat="1" applyFont="1" applyFill="1" applyBorder="1" applyAlignment="1" applyProtection="1">
      <alignment vertical="center"/>
    </xf>
    <xf numFmtId="0" fontId="149" fillId="0" borderId="0" xfId="0" applyFont="1" applyFill="1" applyBorder="1" applyAlignment="1" applyProtection="1">
      <alignment horizontal="center" vertical="center"/>
    </xf>
    <xf numFmtId="0" fontId="159" fillId="0" borderId="0" xfId="0" applyFont="1" applyFill="1" applyBorder="1" applyAlignment="1" applyProtection="1">
      <alignment horizontal="right" vertical="center"/>
    </xf>
    <xf numFmtId="164" fontId="100" fillId="0" borderId="0" xfId="1" applyNumberFormat="1" applyFont="1" applyFill="1" applyBorder="1" applyAlignment="1" applyProtection="1">
      <alignment horizontal="center" vertical="center"/>
    </xf>
    <xf numFmtId="164" fontId="159" fillId="0" borderId="0" xfId="1" applyNumberFormat="1" applyFont="1" applyFill="1" applyBorder="1" applyAlignment="1" applyProtection="1">
      <alignment horizontal="right" vertical="center"/>
    </xf>
    <xf numFmtId="171" fontId="100"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xf>
    <xf numFmtId="164" fontId="123" fillId="0" borderId="0" xfId="1" applyNumberFormat="1" applyFont="1" applyFill="1" applyBorder="1" applyAlignment="1" applyProtection="1">
      <alignment horizontal="center"/>
    </xf>
    <xf numFmtId="0" fontId="123" fillId="0" borderId="0" xfId="0" applyFont="1" applyFill="1" applyBorder="1" applyAlignment="1" applyProtection="1">
      <alignment horizontal="left" vertical="top"/>
    </xf>
    <xf numFmtId="0" fontId="157" fillId="0" borderId="0" xfId="0" applyFont="1" applyFill="1" applyBorder="1" applyAlignment="1" applyProtection="1">
      <alignment vertical="top"/>
    </xf>
    <xf numFmtId="0" fontId="157" fillId="0" borderId="0" xfId="0" applyFont="1" applyFill="1" applyBorder="1" applyAlignment="1" applyProtection="1">
      <alignment vertical="center"/>
    </xf>
    <xf numFmtId="4" fontId="157" fillId="0" borderId="0" xfId="1" applyNumberFormat="1" applyFont="1" applyFill="1" applyBorder="1" applyAlignment="1" applyProtection="1">
      <alignment horizontal="right" vertical="center"/>
    </xf>
    <xf numFmtId="171" fontId="154" fillId="0" borderId="0" xfId="0" applyNumberFormat="1" applyFont="1" applyFill="1" applyBorder="1" applyAlignment="1" applyProtection="1">
      <alignment horizontal="left" vertical="center"/>
    </xf>
    <xf numFmtId="174" fontId="123" fillId="0" borderId="0" xfId="0" applyNumberFormat="1" applyFont="1" applyFill="1" applyBorder="1" applyAlignment="1" applyProtection="1">
      <alignment horizontal="center"/>
    </xf>
    <xf numFmtId="0" fontId="157" fillId="0" borderId="0" xfId="0" applyFont="1" applyFill="1" applyBorder="1" applyAlignment="1" applyProtection="1">
      <alignment horizontal="right" vertical="center"/>
    </xf>
    <xf numFmtId="164" fontId="123" fillId="0" borderId="0" xfId="1" applyNumberFormat="1" applyFont="1" applyFill="1" applyBorder="1" applyProtection="1"/>
    <xf numFmtId="3" fontId="123" fillId="0" borderId="0" xfId="0" applyNumberFormat="1" applyFont="1" applyFill="1" applyBorder="1" applyAlignment="1" applyProtection="1">
      <alignment vertical="center"/>
    </xf>
    <xf numFmtId="3" fontId="123" fillId="0" borderId="0" xfId="0" applyNumberFormat="1" applyFont="1" applyFill="1" applyBorder="1" applyProtection="1"/>
    <xf numFmtId="3"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center" vertical="center"/>
    </xf>
    <xf numFmtId="6"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left" vertical="center"/>
    </xf>
    <xf numFmtId="0" fontId="157"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right" vertical="center"/>
    </xf>
    <xf numFmtId="164" fontId="123" fillId="0" borderId="0" xfId="1" applyNumberFormat="1" applyFont="1" applyFill="1" applyBorder="1" applyAlignment="1" applyProtection="1">
      <alignment horizontal="left" vertical="center"/>
    </xf>
    <xf numFmtId="0" fontId="152" fillId="0" borderId="0" xfId="0" applyFont="1" applyFill="1" applyBorder="1" applyAlignment="1" applyProtection="1">
      <alignment horizontal="left" vertical="top"/>
    </xf>
    <xf numFmtId="0" fontId="16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right" vertical="center"/>
    </xf>
    <xf numFmtId="0" fontId="152" fillId="0" borderId="0" xfId="0" applyFont="1" applyFill="1" applyBorder="1" applyAlignment="1" applyProtection="1">
      <alignment vertical="center"/>
    </xf>
    <xf numFmtId="0" fontId="120" fillId="0" borderId="0" xfId="0" applyFont="1" applyFill="1" applyBorder="1" applyAlignment="1" applyProtection="1">
      <alignment horizontal="left" vertical="center"/>
    </xf>
    <xf numFmtId="0" fontId="151" fillId="0" borderId="0" xfId="0" applyFont="1" applyFill="1" applyBorder="1" applyAlignment="1" applyProtection="1">
      <alignment vertical="top"/>
    </xf>
    <xf numFmtId="38" fontId="151" fillId="0" borderId="0" xfId="0" applyNumberFormat="1" applyFont="1" applyFill="1" applyBorder="1" applyAlignment="1" applyProtection="1">
      <alignment vertical="center"/>
    </xf>
    <xf numFmtId="38" fontId="12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63" fillId="0" borderId="0" xfId="0" applyFont="1" applyFill="1" applyBorder="1" applyProtection="1"/>
    <xf numFmtId="0" fontId="97"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left"/>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wrapText="1"/>
    </xf>
    <xf numFmtId="0" fontId="120" fillId="0" borderId="0" xfId="0" applyFont="1" applyFill="1" applyBorder="1" applyAlignment="1" applyProtection="1">
      <alignment horizontal="center" vertical="center"/>
    </xf>
    <xf numFmtId="164" fontId="111" fillId="0" borderId="0" xfId="1" applyNumberFormat="1" applyFont="1" applyFill="1" applyBorder="1" applyAlignment="1" applyProtection="1">
      <alignment horizontal="center" vertical="center"/>
    </xf>
    <xf numFmtId="3" fontId="111" fillId="0" borderId="0" xfId="0" applyNumberFormat="1" applyFont="1" applyFill="1" applyBorder="1" applyAlignment="1" applyProtection="1">
      <alignment horizontal="center" vertical="center"/>
    </xf>
    <xf numFmtId="10" fontId="11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164" fontId="107" fillId="0" borderId="0" xfId="1" applyNumberFormat="1" applyFont="1" applyFill="1" applyBorder="1" applyAlignment="1" applyProtection="1">
      <alignment horizontal="right" vertical="center"/>
    </xf>
    <xf numFmtId="0" fontId="108"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8" fillId="0" borderId="0" xfId="0" applyFont="1" applyFill="1" applyBorder="1" applyAlignment="1" applyProtection="1">
      <alignment vertical="center" wrapText="1"/>
    </xf>
    <xf numFmtId="0" fontId="111" fillId="0" borderId="0" xfId="0" applyFont="1" applyFill="1" applyBorder="1" applyAlignment="1" applyProtection="1">
      <alignment horizontal="left"/>
    </xf>
    <xf numFmtId="10" fontId="107" fillId="0" borderId="0" xfId="0" applyNumberFormat="1" applyFont="1" applyFill="1" applyBorder="1" applyProtection="1"/>
    <xf numFmtId="0" fontId="107" fillId="0" borderId="0" xfId="0" applyFont="1" applyFill="1" applyBorder="1" applyAlignment="1" applyProtection="1"/>
    <xf numFmtId="0" fontId="111" fillId="0" borderId="0" xfId="0" applyFont="1" applyFill="1" applyBorder="1" applyAlignment="1" applyProtection="1">
      <alignment horizontal="left" indent="2"/>
    </xf>
    <xf numFmtId="9" fontId="107" fillId="0" borderId="0" xfId="10" applyFont="1" applyFill="1" applyBorder="1" applyProtection="1"/>
    <xf numFmtId="0" fontId="166" fillId="0" borderId="0" xfId="0" applyFont="1" applyFill="1" applyBorder="1" applyProtection="1"/>
    <xf numFmtId="0" fontId="167" fillId="0" borderId="0" xfId="1" applyNumberFormat="1" applyFont="1" applyFill="1" applyBorder="1" applyAlignment="1" applyProtection="1">
      <alignment horizontal="center"/>
    </xf>
    <xf numFmtId="164" fontId="107" fillId="0" borderId="0" xfId="1" applyNumberFormat="1" applyFont="1" applyFill="1" applyBorder="1" applyProtection="1"/>
    <xf numFmtId="44" fontId="107" fillId="0" borderId="0" xfId="0" applyNumberFormat="1" applyFont="1" applyFill="1" applyBorder="1" applyProtection="1"/>
    <xf numFmtId="0" fontId="166" fillId="0" borderId="0" xfId="0" applyFont="1" applyFill="1" applyBorder="1" applyAlignment="1" applyProtection="1">
      <alignment horizontal="right" vertical="center"/>
    </xf>
    <xf numFmtId="3" fontId="107" fillId="0" borderId="0" xfId="0" applyNumberFormat="1" applyFont="1" applyFill="1" applyBorder="1" applyAlignment="1" applyProtection="1">
      <alignment vertical="center"/>
    </xf>
    <xf numFmtId="38" fontId="107" fillId="0" borderId="0" xfId="1" applyNumberFormat="1" applyFont="1" applyFill="1" applyBorder="1" applyAlignment="1" applyProtection="1">
      <alignment horizontal="right" vertical="center"/>
    </xf>
    <xf numFmtId="38" fontId="107" fillId="0" borderId="0" xfId="0" applyNumberFormat="1" applyFont="1" applyFill="1" applyBorder="1" applyAlignment="1" applyProtection="1">
      <alignment horizontal="center" vertical="center"/>
    </xf>
    <xf numFmtId="3" fontId="107" fillId="0" borderId="0" xfId="1" applyNumberFormat="1" applyFont="1" applyFill="1" applyBorder="1" applyAlignment="1" applyProtection="1">
      <alignment vertical="center"/>
    </xf>
    <xf numFmtId="4" fontId="111" fillId="0" borderId="0" xfId="1" applyNumberFormat="1" applyFont="1" applyFill="1" applyBorder="1" applyAlignment="1" applyProtection="1">
      <alignment horizontal="center" vertical="center"/>
    </xf>
    <xf numFmtId="0" fontId="163" fillId="0" borderId="0" xfId="0" applyFont="1" applyFill="1" applyBorder="1" applyAlignment="1" applyProtection="1">
      <alignment vertical="center"/>
    </xf>
    <xf numFmtId="0" fontId="96" fillId="0" borderId="0" xfId="0" applyFont="1" applyFill="1" applyBorder="1" applyAlignment="1" applyProtection="1"/>
    <xf numFmtId="10" fontId="107" fillId="0" borderId="0" xfId="0" applyNumberFormat="1" applyFont="1" applyFill="1" applyBorder="1" applyAlignment="1" applyProtection="1">
      <alignment horizontal="left"/>
    </xf>
    <xf numFmtId="0" fontId="107" fillId="0" borderId="0" xfId="0" applyFont="1" applyFill="1" applyBorder="1" applyAlignment="1" applyProtection="1">
      <alignment horizontal="left"/>
    </xf>
    <xf numFmtId="10" fontId="107" fillId="0" borderId="0" xfId="0" applyNumberFormat="1" applyFont="1" applyFill="1" applyBorder="1" applyAlignment="1" applyProtection="1">
      <alignment horizontal="center"/>
    </xf>
    <xf numFmtId="0" fontId="107" fillId="0" borderId="0" xfId="0" applyFont="1" applyFill="1" applyBorder="1" applyAlignment="1" applyProtection="1">
      <alignment horizontal="right"/>
    </xf>
    <xf numFmtId="0" fontId="107" fillId="0" borderId="0" xfId="0" quotePrefix="1" applyFont="1" applyFill="1" applyBorder="1" applyAlignment="1" applyProtection="1">
      <alignment horizontal="left" vertical="center"/>
    </xf>
    <xf numFmtId="43" fontId="107" fillId="0" borderId="0" xfId="1" applyNumberFormat="1" applyFont="1" applyFill="1" applyBorder="1" applyProtection="1"/>
    <xf numFmtId="39" fontId="107"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67" fillId="0" borderId="0" xfId="0" applyFont="1" applyFill="1" applyBorder="1" applyProtection="1"/>
    <xf numFmtId="0" fontId="163"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0" fontId="108" fillId="0" borderId="0" xfId="0" applyFont="1" applyFill="1" applyBorder="1" applyAlignment="1" applyProtection="1">
      <alignment horizontal="center" vertical="center"/>
    </xf>
    <xf numFmtId="0" fontId="122" fillId="0" borderId="0" xfId="0" applyFont="1" applyFill="1" applyBorder="1" applyAlignment="1" applyProtection="1">
      <alignment horizontal="right" vertical="top" wrapText="1"/>
    </xf>
    <xf numFmtId="0" fontId="122" fillId="0" borderId="0" xfId="0" applyFont="1" applyFill="1" applyBorder="1" applyAlignment="1" applyProtection="1">
      <alignment horizontal="right" vertical="top"/>
    </xf>
    <xf numFmtId="0" fontId="108" fillId="0" borderId="0" xfId="0" applyFont="1" applyFill="1" applyBorder="1" applyAlignment="1" applyProtection="1">
      <alignment horizontal="left" vertical="center"/>
    </xf>
    <xf numFmtId="0" fontId="108" fillId="0" borderId="0" xfId="0" applyFont="1" applyFill="1" applyBorder="1" applyAlignment="1" applyProtection="1">
      <alignment horizontal="right" vertical="center"/>
    </xf>
    <xf numFmtId="0" fontId="122" fillId="0" borderId="0" xfId="0"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0" xfId="0" applyFont="1" applyFill="1" applyBorder="1" applyAlignment="1" applyProtection="1">
      <alignment vertical="top"/>
    </xf>
    <xf numFmtId="0" fontId="171" fillId="0" borderId="0" xfId="0" applyFont="1" applyFill="1" applyBorder="1" applyAlignment="1" applyProtection="1">
      <alignment vertical="top" wrapText="1"/>
    </xf>
    <xf numFmtId="0" fontId="108" fillId="0" borderId="0" xfId="0" applyFont="1" applyFill="1" applyBorder="1" applyAlignment="1" applyProtection="1">
      <alignment horizontal="left" vertical="top" wrapText="1"/>
    </xf>
    <xf numFmtId="0" fontId="110" fillId="0" borderId="0" xfId="0" applyFont="1" applyFill="1" applyBorder="1" applyAlignment="1" applyProtection="1">
      <alignment horizontal="right"/>
    </xf>
    <xf numFmtId="0" fontId="108" fillId="0" borderId="0" xfId="0" applyFont="1" applyFill="1" applyBorder="1" applyAlignment="1" applyProtection="1">
      <alignment vertical="top"/>
    </xf>
    <xf numFmtId="0" fontId="97" fillId="0" borderId="0" xfId="0" applyFont="1" applyFill="1" applyBorder="1" applyAlignment="1" applyProtection="1">
      <alignment horizontal="right" vertic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left"/>
    </xf>
    <xf numFmtId="3" fontId="110"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vertical="top"/>
    </xf>
    <xf numFmtId="3" fontId="108" fillId="0" borderId="0" xfId="0" applyNumberFormat="1" applyFont="1" applyFill="1" applyBorder="1" applyAlignment="1" applyProtection="1">
      <alignment horizontal="center"/>
    </xf>
    <xf numFmtId="0" fontId="171" fillId="0" borderId="0" xfId="0" applyFont="1" applyFill="1" applyBorder="1" applyAlignment="1" applyProtection="1">
      <alignment horizontal="left" vertical="center"/>
    </xf>
    <xf numFmtId="0" fontId="122" fillId="0" borderId="0" xfId="0" applyFont="1" applyFill="1" applyBorder="1" applyAlignment="1" applyProtection="1">
      <alignment horizontal="left" vertical="center"/>
    </xf>
    <xf numFmtId="0" fontId="108" fillId="0" borderId="0" xfId="0" applyFont="1" applyFill="1" applyBorder="1" applyAlignment="1" applyProtection="1">
      <alignment vertical="top" wrapText="1"/>
    </xf>
    <xf numFmtId="0" fontId="97" fillId="0" borderId="0" xfId="0" applyFont="1" applyFill="1" applyBorder="1" applyAlignment="1" applyProtection="1">
      <alignment horizontal="right" vertical="top"/>
    </xf>
    <xf numFmtId="0" fontId="107" fillId="0" borderId="0" xfId="0" applyFont="1" applyFill="1" applyBorder="1" applyAlignment="1" applyProtection="1">
      <alignment vertical="top"/>
    </xf>
    <xf numFmtId="0" fontId="108" fillId="0" borderId="0" xfId="0" applyFont="1" applyFill="1" applyBorder="1" applyAlignment="1" applyProtection="1">
      <alignment horizontal="right" vertical="top"/>
    </xf>
    <xf numFmtId="0" fontId="108"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08" fillId="0" borderId="0" xfId="0" applyFont="1" applyFill="1" applyBorder="1" applyAlignment="1" applyProtection="1">
      <alignment horizontal="right"/>
    </xf>
    <xf numFmtId="0" fontId="107" fillId="0" borderId="0" xfId="0" applyFont="1" applyFill="1" applyBorder="1" applyAlignment="1" applyProtection="1">
      <alignment horizontal="left" vertical="top" wrapText="1"/>
    </xf>
    <xf numFmtId="0" fontId="108" fillId="0" borderId="0" xfId="0" applyFont="1" applyFill="1" applyBorder="1" applyAlignment="1" applyProtection="1"/>
    <xf numFmtId="0" fontId="110" fillId="0" borderId="0" xfId="0" applyFont="1" applyFill="1" applyBorder="1" applyAlignment="1" applyProtection="1">
      <alignment horizontal="center" vertical="center"/>
    </xf>
    <xf numFmtId="0" fontId="110" fillId="0" borderId="0" xfId="0" applyFont="1" applyFill="1" applyBorder="1" applyAlignment="1" applyProtection="1">
      <alignment horizontal="right" vertical="center"/>
    </xf>
    <xf numFmtId="0" fontId="96"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top" wrapText="1"/>
    </xf>
    <xf numFmtId="0" fontId="122" fillId="0" borderId="0" xfId="0" applyFont="1" applyFill="1" applyBorder="1" applyProtection="1"/>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xf>
    <xf numFmtId="1" fontId="108"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14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66" fillId="0" borderId="0" xfId="0" quotePrefix="1" applyFont="1" applyFill="1" applyBorder="1" applyAlignment="1" applyProtection="1">
      <alignment vertical="center"/>
    </xf>
    <xf numFmtId="0" fontId="166" fillId="0" borderId="0" xfId="0" applyFont="1" applyFill="1" applyBorder="1" applyAlignment="1" applyProtection="1">
      <alignment vertical="center"/>
    </xf>
    <xf numFmtId="0" fontId="175" fillId="0" borderId="0" xfId="0" applyFont="1" applyFill="1" applyBorder="1" applyAlignment="1" applyProtection="1">
      <alignment horizontal="center" vertical="center"/>
    </xf>
    <xf numFmtId="0" fontId="176" fillId="0" borderId="0" xfId="0" applyFont="1" applyFill="1" applyBorder="1" applyProtection="1"/>
    <xf numFmtId="0" fontId="167"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66" fillId="0" borderId="0" xfId="0" quotePrefix="1" applyFont="1" applyFill="1" applyBorder="1" applyAlignment="1" applyProtection="1"/>
    <xf numFmtId="0" fontId="166" fillId="0" borderId="0" xfId="0" applyFont="1" applyFill="1" applyBorder="1" applyAlignment="1" applyProtection="1"/>
    <xf numFmtId="0" fontId="122" fillId="0" borderId="0" xfId="0" applyFont="1" applyFill="1" applyBorder="1" applyAlignment="1" applyProtection="1"/>
    <xf numFmtId="0" fontId="176" fillId="0" borderId="0" xfId="0" applyFont="1" applyFill="1" applyBorder="1" applyAlignment="1" applyProtection="1"/>
    <xf numFmtId="0" fontId="97" fillId="0" borderId="0" xfId="0" applyFont="1" applyFill="1" applyBorder="1" applyAlignment="1" applyProtection="1">
      <alignment horizontal="right"/>
    </xf>
    <xf numFmtId="0" fontId="122" fillId="0" borderId="0" xfId="0" applyFont="1" applyFill="1" applyBorder="1" applyAlignment="1" applyProtection="1">
      <alignment horizontal="left"/>
    </xf>
    <xf numFmtId="1" fontId="108"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0" fontId="110"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177" fillId="0" borderId="0" xfId="0" applyFont="1" applyFill="1" applyBorder="1" applyProtection="1"/>
    <xf numFmtId="0" fontId="108" fillId="0" borderId="0" xfId="0" quotePrefix="1" applyFont="1" applyFill="1" applyBorder="1" applyAlignment="1" applyProtection="1">
      <alignment horizontal="right" vertical="center"/>
    </xf>
    <xf numFmtId="0" fontId="110" fillId="0" borderId="0" xfId="0" applyFont="1" applyFill="1" applyBorder="1" applyProtection="1"/>
    <xf numFmtId="0" fontId="150" fillId="0" borderId="0" xfId="0" applyFont="1" applyFill="1" applyBorder="1" applyProtection="1"/>
    <xf numFmtId="0" fontId="121" fillId="0" borderId="0" xfId="0" applyFont="1" applyFill="1" applyBorder="1" applyAlignment="1" applyProtection="1">
      <alignment vertical="center"/>
    </xf>
    <xf numFmtId="0" fontId="178" fillId="0" borderId="0" xfId="0" applyFont="1" applyFill="1" applyBorder="1" applyAlignment="1" applyProtection="1">
      <alignment vertical="center"/>
    </xf>
    <xf numFmtId="0" fontId="97" fillId="0" borderId="0" xfId="0" applyFont="1" applyFill="1" applyBorder="1" applyProtection="1"/>
    <xf numFmtId="0" fontId="107"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vertical="top"/>
    </xf>
    <xf numFmtId="0" fontId="169" fillId="0" borderId="0" xfId="0" applyFont="1" applyFill="1" applyBorder="1" applyAlignment="1" applyProtection="1">
      <alignment horizontal="center" vertical="top"/>
    </xf>
    <xf numFmtId="0" fontId="169" fillId="0" borderId="0" xfId="0" applyFont="1" applyFill="1" applyBorder="1" applyAlignment="1" applyProtection="1">
      <alignment horizontal="center" vertical="center"/>
    </xf>
    <xf numFmtId="0" fontId="176" fillId="0" borderId="0" xfId="0" applyFont="1" applyFill="1" applyBorder="1" applyAlignment="1" applyProtection="1">
      <alignment vertical="center"/>
    </xf>
    <xf numFmtId="0" fontId="179" fillId="0" borderId="0" xfId="0" applyFont="1" applyFill="1" applyBorder="1" applyAlignment="1" applyProtection="1">
      <alignment horizontal="right"/>
    </xf>
    <xf numFmtId="0" fontId="166" fillId="0" borderId="0" xfId="0" applyFont="1" applyFill="1" applyBorder="1" applyAlignment="1" applyProtection="1">
      <alignment horizontal="center" vertical="center"/>
    </xf>
    <xf numFmtId="0" fontId="122" fillId="0" borderId="0" xfId="0" quotePrefix="1" applyFont="1" applyFill="1" applyBorder="1" applyAlignment="1" applyProtection="1">
      <alignment horizontal="center" vertical="center"/>
    </xf>
    <xf numFmtId="0" fontId="122"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66" fillId="0" borderId="0" xfId="0" quotePrefix="1" applyFont="1" applyFill="1" applyBorder="1" applyAlignment="1" applyProtection="1">
      <alignment horizontal="left" vertical="center"/>
    </xf>
    <xf numFmtId="0" fontId="179" fillId="0" borderId="0" xfId="0" applyFont="1" applyFill="1" applyBorder="1" applyProtection="1"/>
    <xf numFmtId="0" fontId="97" fillId="0" borderId="0" xfId="0" applyFont="1" applyFill="1" applyBorder="1" applyAlignment="1" applyProtection="1">
      <alignment horizontal="left" vertical="top"/>
    </xf>
    <xf numFmtId="0" fontId="179" fillId="0" borderId="0" xfId="0" applyFont="1" applyFill="1" applyBorder="1" applyAlignment="1" applyProtection="1">
      <alignment horizontal="center"/>
    </xf>
    <xf numFmtId="10"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80" fillId="0" borderId="0" xfId="0" applyFont="1" applyFill="1" applyBorder="1" applyAlignment="1" applyProtection="1">
      <alignment horizontal="right"/>
    </xf>
    <xf numFmtId="0" fontId="108" fillId="0" borderId="0" xfId="0" quotePrefix="1" applyFont="1" applyFill="1" applyBorder="1" applyAlignment="1" applyProtection="1">
      <alignment horizontal="center" vertical="center"/>
    </xf>
    <xf numFmtId="0" fontId="171" fillId="0" borderId="0" xfId="0" applyFont="1" applyFill="1" applyBorder="1" applyAlignment="1" applyProtection="1">
      <alignment horizontal="center"/>
    </xf>
    <xf numFmtId="0" fontId="176"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center" vertical="center"/>
    </xf>
    <xf numFmtId="0" fontId="171" fillId="0" borderId="0" xfId="0" applyFont="1" applyFill="1" applyBorder="1" applyProtection="1"/>
    <xf numFmtId="174" fontId="108"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justify" vertical="top" wrapText="1"/>
    </xf>
    <xf numFmtId="10" fontId="108"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right" vertical="top"/>
    </xf>
    <xf numFmtId="0" fontId="176" fillId="0" borderId="0" xfId="0" applyFont="1" applyFill="1" applyBorder="1" applyAlignment="1" applyProtection="1">
      <alignment vertical="top"/>
    </xf>
    <xf numFmtId="3" fontId="97"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center" vertical="top"/>
    </xf>
    <xf numFmtId="0" fontId="177" fillId="0" borderId="0" xfId="0" applyFont="1" applyFill="1" applyBorder="1" applyAlignment="1" applyProtection="1">
      <alignment vertical="top"/>
    </xf>
    <xf numFmtId="0" fontId="166" fillId="0" borderId="0" xfId="0" quotePrefix="1" applyFont="1" applyFill="1" applyBorder="1" applyAlignment="1" applyProtection="1">
      <alignment horizontal="left" vertical="top"/>
    </xf>
    <xf numFmtId="0" fontId="108" fillId="0" borderId="0" xfId="0" applyFont="1" applyFill="1" applyBorder="1" applyAlignment="1" applyProtection="1">
      <alignment wrapText="1"/>
    </xf>
    <xf numFmtId="0" fontId="108" fillId="0" borderId="0" xfId="0" applyFont="1" applyFill="1" applyBorder="1" applyAlignment="1" applyProtection="1">
      <alignment horizontal="left" wrapText="1"/>
    </xf>
    <xf numFmtId="0" fontId="108" fillId="0" borderId="0" xfId="0" applyFont="1" applyFill="1" applyBorder="1" applyAlignment="1" applyProtection="1">
      <alignment horizontal="center" vertical="center" wrapText="1"/>
    </xf>
    <xf numFmtId="10" fontId="108"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0" fontId="180" fillId="0" borderId="0" xfId="0" applyFont="1" applyFill="1" applyBorder="1" applyProtection="1"/>
    <xf numFmtId="0" fontId="112" fillId="0" borderId="0" xfId="0" applyFont="1" applyFill="1" applyBorder="1" applyAlignment="1" applyProtection="1">
      <alignment vertical="center"/>
    </xf>
    <xf numFmtId="38" fontId="112" fillId="0" borderId="0" xfId="0" applyNumberFormat="1" applyFont="1" applyFill="1" applyBorder="1" applyAlignment="1" applyProtection="1">
      <alignment horizontal="center" vertical="center"/>
    </xf>
    <xf numFmtId="38" fontId="14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49" fillId="0" borderId="0" xfId="0" applyFont="1" applyFill="1" applyBorder="1" applyAlignment="1" applyProtection="1">
      <alignment horizontal="center"/>
    </xf>
    <xf numFmtId="0" fontId="150" fillId="0" borderId="0" xfId="0" applyFont="1" applyFill="1" applyBorder="1" applyAlignment="1" applyProtection="1">
      <alignment horizontal="center"/>
    </xf>
    <xf numFmtId="176" fontId="123" fillId="0" borderId="0" xfId="0" applyNumberFormat="1" applyFont="1" applyFill="1" applyBorder="1" applyAlignment="1" applyProtection="1">
      <alignment horizontal="center" vertical="center"/>
    </xf>
    <xf numFmtId="1" fontId="123" fillId="0" borderId="0" xfId="0" applyNumberFormat="1" applyFont="1" applyFill="1" applyBorder="1" applyAlignment="1" applyProtection="1">
      <alignment horizontal="center" vertical="center"/>
    </xf>
    <xf numFmtId="0" fontId="156" fillId="0" borderId="0" xfId="6" applyFont="1" applyFill="1" applyBorder="1" applyAlignment="1" applyProtection="1">
      <alignment vertical="center"/>
    </xf>
    <xf numFmtId="0" fontId="101" fillId="0" borderId="0" xfId="0" applyFont="1" applyFill="1" applyBorder="1" applyAlignment="1" applyProtection="1">
      <alignment horizontal="left" vertical="center"/>
    </xf>
    <xf numFmtId="167" fontId="123" fillId="0" borderId="0" xfId="0" applyNumberFormat="1" applyFont="1" applyFill="1" applyBorder="1" applyAlignment="1" applyProtection="1">
      <alignment vertical="center"/>
    </xf>
    <xf numFmtId="164" fontId="151" fillId="0" borderId="0" xfId="1"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111" fillId="0" borderId="0" xfId="10" applyNumberFormat="1" applyFont="1" applyFill="1" applyBorder="1" applyAlignment="1" applyProtection="1">
      <alignment horizontal="center" vertical="center"/>
    </xf>
    <xf numFmtId="1" fontId="111" fillId="0" borderId="0" xfId="1" applyNumberFormat="1" applyFont="1" applyFill="1" applyBorder="1" applyAlignment="1" applyProtection="1">
      <alignment horizontal="center" vertical="center"/>
    </xf>
    <xf numFmtId="173" fontId="111" fillId="0" borderId="0" xfId="1" applyNumberFormat="1" applyFont="1" applyFill="1" applyBorder="1" applyAlignment="1" applyProtection="1">
      <alignment horizontal="center" vertical="center"/>
    </xf>
    <xf numFmtId="3" fontId="111" fillId="0" borderId="0" xfId="1" applyNumberFormat="1" applyFont="1" applyFill="1" applyBorder="1" applyAlignment="1" applyProtection="1">
      <alignment horizontal="center" vertical="center"/>
    </xf>
    <xf numFmtId="3" fontId="107" fillId="0" borderId="0" xfId="0" applyNumberFormat="1" applyFont="1" applyFill="1" applyBorder="1" applyProtection="1"/>
    <xf numFmtId="164" fontId="107" fillId="0" borderId="0" xfId="1" applyNumberFormat="1" applyFont="1" applyFill="1" applyBorder="1" applyAlignment="1" applyProtection="1">
      <alignment horizontal="right"/>
    </xf>
    <xf numFmtId="0" fontId="107" fillId="0" borderId="0" xfId="0" applyNumberFormat="1" applyFont="1" applyFill="1" applyBorder="1" applyAlignment="1" applyProtection="1">
      <alignment horizontal="right" vertical="center"/>
    </xf>
    <xf numFmtId="3" fontId="107" fillId="0" borderId="0" xfId="10" applyNumberFormat="1" applyFont="1" applyFill="1" applyBorder="1" applyAlignment="1" applyProtection="1">
      <alignment horizontal="right" vertical="center"/>
    </xf>
    <xf numFmtId="166" fontId="107" fillId="0" borderId="0" xfId="10" applyNumberFormat="1" applyFont="1" applyFill="1" applyBorder="1" applyAlignment="1" applyProtection="1">
      <alignment horizontal="right" vertical="center"/>
    </xf>
    <xf numFmtId="0" fontId="153" fillId="0" borderId="0" xfId="0" applyFont="1" applyFill="1" applyBorder="1" applyAlignment="1" applyProtection="1">
      <alignment horizontal="justify" vertical="top"/>
    </xf>
    <xf numFmtId="0" fontId="153" fillId="0" borderId="0" xfId="0" applyFont="1" applyFill="1" applyBorder="1" applyAlignment="1" applyProtection="1">
      <alignment horizontal="right" vertical="top" wrapText="1"/>
    </xf>
    <xf numFmtId="0" fontId="108" fillId="0" borderId="0" xfId="0" applyFont="1" applyFill="1" applyBorder="1" applyAlignment="1" applyProtection="1">
      <alignment horizontal="justify" vertical="top"/>
    </xf>
    <xf numFmtId="38" fontId="108" fillId="0" borderId="0" xfId="0" applyNumberFormat="1" applyFont="1" applyFill="1" applyBorder="1" applyAlignment="1" applyProtection="1">
      <alignment horizontal="right" vertical="top" wrapText="1"/>
    </xf>
    <xf numFmtId="0" fontId="122" fillId="0" borderId="0" xfId="0" applyFont="1" applyFill="1" applyBorder="1" applyAlignment="1" applyProtection="1">
      <alignment horizontal="justify" vertical="top" wrapText="1"/>
    </xf>
    <xf numFmtId="6" fontId="108" fillId="0" borderId="0" xfId="0" applyNumberFormat="1" applyFont="1" applyFill="1" applyBorder="1" applyAlignment="1" applyProtection="1">
      <alignment horizontal="center" vertical="top" wrapText="1"/>
    </xf>
    <xf numFmtId="166" fontId="122"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wrapText="1"/>
    </xf>
    <xf numFmtId="176" fontId="108"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10" fontId="108" fillId="0" borderId="0" xfId="0" applyNumberFormat="1" applyFont="1" applyFill="1" applyBorder="1" applyProtection="1"/>
    <xf numFmtId="176" fontId="151" fillId="0" borderId="0" xfId="0" applyNumberFormat="1" applyFont="1" applyFill="1" applyBorder="1" applyAlignment="1" applyProtection="1">
      <alignment horizontal="left" vertical="center"/>
    </xf>
    <xf numFmtId="3" fontId="108" fillId="0" borderId="0" xfId="0" applyNumberFormat="1" applyFont="1" applyFill="1" applyBorder="1" applyAlignment="1" applyProtection="1">
      <alignment horizontal="center" vertical="center" wrapText="1"/>
    </xf>
    <xf numFmtId="0" fontId="122" fillId="0" borderId="0" xfId="0" applyFont="1" applyFill="1" applyBorder="1" applyAlignment="1" applyProtection="1">
      <alignment horizontal="center" vertical="top" wrapText="1"/>
    </xf>
    <xf numFmtId="0" fontId="149" fillId="0" borderId="0" xfId="0" applyFont="1" applyAlignment="1" applyProtection="1">
      <alignment horizontal="left"/>
    </xf>
    <xf numFmtId="0" fontId="150" fillId="0" borderId="0" xfId="0" applyFont="1" applyAlignment="1" applyProtection="1">
      <alignment horizontal="left"/>
    </xf>
    <xf numFmtId="0" fontId="181" fillId="0" borderId="89" xfId="0" applyFont="1" applyBorder="1" applyAlignment="1" applyProtection="1">
      <alignment horizontal="left"/>
    </xf>
    <xf numFmtId="0" fontId="14" fillId="5" borderId="3" xfId="0" applyFont="1" applyFill="1" applyBorder="1" applyAlignment="1" applyProtection="1">
      <alignment horizontal="center" vertical="center"/>
    </xf>
    <xf numFmtId="0" fontId="91" fillId="0" borderId="13" xfId="0" applyFont="1" applyBorder="1" applyAlignment="1" applyProtection="1">
      <alignment horizontal="justify" vertical="top"/>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3"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166" fontId="14" fillId="5" borderId="12"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176" fontId="4" fillId="10" borderId="8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7" borderId="0" xfId="0" applyFont="1" applyFill="1" applyProtection="1"/>
    <xf numFmtId="0" fontId="108" fillId="7" borderId="0" xfId="0" applyFont="1" applyFill="1" applyProtection="1"/>
    <xf numFmtId="0" fontId="146" fillId="0" borderId="0" xfId="0" applyFont="1" applyProtection="1"/>
    <xf numFmtId="38" fontId="8" fillId="5" borderId="1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xf>
    <xf numFmtId="1" fontId="4" fillId="5" borderId="18"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7"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89"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Protection="1"/>
    <xf numFmtId="0" fontId="4" fillId="10" borderId="17" xfId="0" applyFont="1" applyFill="1" applyBorder="1" applyProtection="1"/>
    <xf numFmtId="10" fontId="4" fillId="10" borderId="18" xfId="0" applyNumberFormat="1" applyFont="1" applyFill="1" applyBorder="1" applyAlignment="1" applyProtection="1">
      <alignment horizontal="center"/>
    </xf>
    <xf numFmtId="176" fontId="50" fillId="5" borderId="87" xfId="0" applyNumberFormat="1" applyFont="1" applyFill="1" applyBorder="1" applyAlignment="1" applyProtection="1">
      <alignment horizontal="left" vertical="center"/>
    </xf>
    <xf numFmtId="0" fontId="51" fillId="10" borderId="22" xfId="0" applyFont="1" applyFill="1" applyBorder="1" applyAlignment="1" applyProtection="1">
      <alignment horizontal="left"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6" xfId="0" applyFont="1" applyFill="1" applyBorder="1" applyAlignment="1" applyProtection="1">
      <alignment horizontal="left" vertical="center"/>
    </xf>
    <xf numFmtId="16" fontId="51" fillId="10" borderId="18" xfId="0" applyNumberFormat="1" applyFont="1" applyFill="1" applyBorder="1" applyAlignment="1" applyProtection="1">
      <alignment horizontal="left" vertical="center"/>
    </xf>
    <xf numFmtId="0" fontId="13" fillId="5" borderId="3" xfId="0" applyFont="1" applyFill="1" applyBorder="1" applyAlignment="1" applyProtection="1">
      <alignment horizontal="center"/>
    </xf>
    <xf numFmtId="0" fontId="4" fillId="5" borderId="89" xfId="0" applyFont="1" applyFill="1" applyBorder="1" applyAlignment="1" applyProtection="1">
      <alignment horizontal="center" vertical="center"/>
    </xf>
    <xf numFmtId="0" fontId="8" fillId="5" borderId="87" xfId="0" applyFont="1" applyFill="1" applyBorder="1" applyAlignment="1" applyProtection="1">
      <alignment horizontal="center" vertical="center"/>
    </xf>
    <xf numFmtId="0" fontId="8" fillId="10" borderId="89" xfId="0" applyFont="1" applyFill="1" applyBorder="1" applyAlignment="1" applyProtection="1">
      <alignment horizontal="center" vertical="top"/>
    </xf>
    <xf numFmtId="0" fontId="4" fillId="10" borderId="89" xfId="0" applyFont="1" applyFill="1" applyBorder="1" applyAlignment="1" applyProtection="1">
      <alignment horizontal="center" vertical="center" wrapText="1"/>
    </xf>
    <xf numFmtId="10" fontId="4" fillId="10" borderId="52" xfId="0" applyNumberFormat="1" applyFont="1" applyFill="1" applyBorder="1" applyAlignment="1" applyProtection="1">
      <alignment horizontal="center" vertical="center" wrapText="1"/>
    </xf>
    <xf numFmtId="10" fontId="4" fillId="10" borderId="23"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wrapText="1"/>
    </xf>
    <xf numFmtId="10" fontId="4" fillId="10" borderId="25"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xf>
    <xf numFmtId="10" fontId="4" fillId="10" borderId="25" xfId="0" applyNumberFormat="1" applyFont="1" applyFill="1" applyBorder="1" applyAlignment="1" applyProtection="1">
      <alignment horizontal="center" vertical="center"/>
    </xf>
    <xf numFmtId="10" fontId="4" fillId="10" borderId="49" xfId="0" applyNumberFormat="1" applyFont="1" applyFill="1" applyBorder="1" applyAlignment="1" applyProtection="1">
      <alignment horizontal="center" vertical="center" wrapText="1"/>
    </xf>
    <xf numFmtId="10" fontId="4" fillId="10" borderId="2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3" fontId="8" fillId="5" borderId="1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8" xfId="0" applyFont="1" applyFill="1" applyBorder="1" applyAlignment="1" applyProtection="1">
      <alignment vertical="center"/>
    </xf>
    <xf numFmtId="0" fontId="8"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16" fillId="0" borderId="0" xfId="0" applyFont="1" applyAlignment="1" applyProtection="1">
      <alignment horizontal="center"/>
    </xf>
    <xf numFmtId="0" fontId="0" fillId="0" borderId="0" xfId="0" applyAlignment="1" applyProtection="1">
      <alignment vertical="center" wrapText="1"/>
    </xf>
    <xf numFmtId="0" fontId="14" fillId="0" borderId="13" xfId="0" applyFont="1" applyFill="1" applyBorder="1" applyAlignment="1" applyProtection="1">
      <alignment horizontal="left" vertical="center"/>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0" fontId="96" fillId="0" borderId="0" xfId="0" applyFont="1" applyFill="1" applyBorder="1" applyAlignment="1" applyProtection="1">
      <alignment horizontal="center" vertical="center" wrapText="1"/>
    </xf>
    <xf numFmtId="0" fontId="126" fillId="0" borderId="0" xfId="12" applyFont="1" applyProtection="1"/>
    <xf numFmtId="0" fontId="127" fillId="0" borderId="0" xfId="12" applyFont="1" applyProtection="1"/>
    <xf numFmtId="0" fontId="129" fillId="0" borderId="0" xfId="12" applyFont="1" applyBorder="1" applyAlignment="1" applyProtection="1">
      <alignment horizontal="left"/>
    </xf>
    <xf numFmtId="0" fontId="129" fillId="0" borderId="0" xfId="12" applyFont="1" applyBorder="1" applyProtection="1"/>
    <xf numFmtId="0" fontId="129" fillId="0" borderId="0" xfId="12" applyFont="1" applyBorder="1" applyAlignment="1" applyProtection="1">
      <alignment horizontal="right"/>
    </xf>
    <xf numFmtId="0" fontId="129" fillId="0" borderId="0" xfId="12" applyFont="1" applyProtection="1"/>
    <xf numFmtId="0" fontId="129" fillId="0" borderId="86" xfId="12" applyFont="1" applyBorder="1" applyAlignment="1" applyProtection="1">
      <alignment horizontal="left"/>
    </xf>
    <xf numFmtId="0" fontId="129" fillId="0" borderId="86" xfId="12" applyFont="1" applyBorder="1" applyProtection="1"/>
    <xf numFmtId="49" fontId="127" fillId="0" borderId="0" xfId="12" applyNumberFormat="1" applyFont="1" applyAlignment="1" applyProtection="1">
      <alignment vertical="top"/>
    </xf>
    <xf numFmtId="49" fontId="127" fillId="0" borderId="0" xfId="12" applyNumberFormat="1" applyFont="1" applyAlignment="1" applyProtection="1">
      <alignment horizontal="left" vertical="top"/>
    </xf>
    <xf numFmtId="49" fontId="127" fillId="0" borderId="73" xfId="12" quotePrefix="1" applyNumberFormat="1" applyFont="1" applyBorder="1" applyAlignment="1" applyProtection="1">
      <alignment horizontal="center" vertical="top"/>
    </xf>
    <xf numFmtId="0" fontId="127" fillId="0" borderId="0" xfId="12" applyFont="1" applyAlignment="1" applyProtection="1">
      <alignment vertical="top"/>
    </xf>
    <xf numFmtId="0" fontId="127" fillId="0" borderId="0" xfId="12" applyFont="1" applyAlignment="1" applyProtection="1">
      <alignment horizontal="right" vertical="top"/>
    </xf>
    <xf numFmtId="0" fontId="127" fillId="10" borderId="12" xfId="12" applyFont="1" applyFill="1" applyBorder="1" applyAlignment="1" applyProtection="1">
      <alignment vertical="top"/>
    </xf>
    <xf numFmtId="49" fontId="127" fillId="0" borderId="0" xfId="12" quotePrefix="1" applyNumberFormat="1" applyFont="1" applyAlignment="1" applyProtection="1">
      <alignment vertical="top"/>
    </xf>
    <xf numFmtId="49" fontId="127" fillId="0" borderId="95" xfId="12" quotePrefix="1" applyNumberFormat="1" applyFont="1" applyBorder="1" applyAlignment="1" applyProtection="1">
      <alignment horizontal="center" vertical="top"/>
    </xf>
    <xf numFmtId="0" fontId="127" fillId="10" borderId="89" xfId="12" applyFont="1" applyFill="1" applyBorder="1" applyAlignment="1" applyProtection="1">
      <alignment vertical="top"/>
    </xf>
    <xf numFmtId="49" fontId="127" fillId="0" borderId="93" xfId="12" quotePrefix="1" applyNumberFormat="1" applyFont="1" applyBorder="1" applyAlignment="1" applyProtection="1">
      <alignment horizontal="center" vertical="top"/>
    </xf>
    <xf numFmtId="0" fontId="127" fillId="0" borderId="0" xfId="12" applyFont="1" applyAlignment="1" applyProtection="1">
      <alignment horizontal="left" vertical="top"/>
    </xf>
    <xf numFmtId="0" fontId="127" fillId="10" borderId="87" xfId="12" applyFont="1" applyFill="1" applyBorder="1" applyAlignment="1" applyProtection="1">
      <alignment vertical="top"/>
    </xf>
    <xf numFmtId="49" fontId="127" fillId="0" borderId="94" xfId="12" quotePrefix="1" applyNumberFormat="1" applyFont="1" applyBorder="1" applyAlignment="1" applyProtection="1">
      <alignment horizontal="center" vertical="top"/>
    </xf>
    <xf numFmtId="49" fontId="127" fillId="0" borderId="19" xfId="12" quotePrefix="1" applyNumberFormat="1" applyFont="1" applyBorder="1" applyAlignment="1" applyProtection="1">
      <alignment vertical="top"/>
    </xf>
    <xf numFmtId="49" fontId="127" fillId="0" borderId="19" xfId="12" applyNumberFormat="1" applyFont="1" applyBorder="1" applyAlignment="1" applyProtection="1">
      <alignment vertical="top"/>
    </xf>
    <xf numFmtId="49" fontId="127" fillId="0" borderId="19" xfId="12" applyNumberFormat="1" applyFont="1" applyBorder="1" applyAlignment="1" applyProtection="1">
      <alignment horizontal="left" vertical="top"/>
    </xf>
    <xf numFmtId="0" fontId="127" fillId="0" borderId="19" xfId="12" applyFont="1" applyBorder="1" applyAlignment="1" applyProtection="1">
      <alignment vertical="top"/>
    </xf>
    <xf numFmtId="49" fontId="127" fillId="0" borderId="0" xfId="12" applyNumberFormat="1" applyFont="1" applyAlignment="1" applyProtection="1">
      <alignment horizontal="right" vertical="top"/>
    </xf>
    <xf numFmtId="0" fontId="127" fillId="0" borderId="0" xfId="12" applyFont="1" applyFill="1" applyAlignment="1" applyProtection="1">
      <alignment horizontal="right" vertical="top" wrapText="1"/>
    </xf>
    <xf numFmtId="0" fontId="127" fillId="0" borderId="0" xfId="12" applyFont="1" applyFill="1" applyAlignment="1" applyProtection="1">
      <alignment horizontal="left" vertical="top" wrapText="1"/>
    </xf>
    <xf numFmtId="0" fontId="127" fillId="0" borderId="0" xfId="12" applyFont="1" applyAlignment="1" applyProtection="1">
      <alignment horizontal="justify" vertical="top" wrapText="1"/>
    </xf>
    <xf numFmtId="0" fontId="127" fillId="0" borderId="0" xfId="12" applyFont="1" applyFill="1" applyAlignment="1" applyProtection="1">
      <alignment vertical="top"/>
    </xf>
    <xf numFmtId="49" fontId="127" fillId="0" borderId="93" xfId="12" applyNumberFormat="1" applyFont="1" applyBorder="1" applyAlignment="1" applyProtection="1">
      <alignment horizontal="center" vertical="top"/>
    </xf>
    <xf numFmtId="0" fontId="127" fillId="0" borderId="0" xfId="12" applyFont="1" applyFill="1" applyAlignment="1" applyProtection="1">
      <alignment horizontal="right" vertical="top"/>
    </xf>
    <xf numFmtId="0" fontId="127" fillId="0" borderId="0" xfId="12" applyFont="1" applyFill="1" applyAlignment="1" applyProtection="1">
      <alignment horizontal="left" vertical="top"/>
    </xf>
    <xf numFmtId="49" fontId="127" fillId="0" borderId="0" xfId="12" applyNumberFormat="1" applyFont="1" applyAlignment="1" applyProtection="1">
      <alignment horizontal="center" vertical="top"/>
    </xf>
    <xf numFmtId="0" fontId="127" fillId="0" borderId="19" xfId="12" applyFont="1" applyBorder="1" applyAlignment="1" applyProtection="1">
      <alignment horizontal="right" vertical="top"/>
    </xf>
    <xf numFmtId="0" fontId="127" fillId="0" borderId="19" xfId="12" applyFont="1" applyBorder="1" applyAlignment="1" applyProtection="1">
      <alignment horizontal="left" vertical="top"/>
    </xf>
    <xf numFmtId="0" fontId="127" fillId="0" borderId="32" xfId="12" applyFont="1" applyBorder="1" applyAlignment="1" applyProtection="1">
      <alignment vertical="top"/>
    </xf>
    <xf numFmtId="49" fontId="105" fillId="0" borderId="0" xfId="12" applyNumberFormat="1" applyFont="1" applyFill="1" applyAlignment="1" applyProtection="1">
      <alignment vertical="top"/>
    </xf>
    <xf numFmtId="49" fontId="127" fillId="0" borderId="96" xfId="12" quotePrefix="1" applyNumberFormat="1" applyFont="1" applyBorder="1" applyAlignment="1" applyProtection="1">
      <alignment horizontal="center" vertical="top"/>
    </xf>
    <xf numFmtId="49" fontId="4" fillId="0" borderId="19" xfId="12" applyNumberFormat="1" applyFont="1" applyBorder="1" applyAlignment="1" applyProtection="1">
      <alignment horizontal="left" vertical="top"/>
    </xf>
    <xf numFmtId="49" fontId="127" fillId="0" borderId="20" xfId="12" applyNumberFormat="1" applyFont="1" applyBorder="1" applyAlignment="1" applyProtection="1">
      <alignment vertical="top"/>
    </xf>
    <xf numFmtId="49" fontId="127" fillId="0" borderId="20" xfId="12" applyNumberFormat="1" applyFont="1" applyBorder="1" applyAlignment="1" applyProtection="1">
      <alignment horizontal="left" vertical="top"/>
    </xf>
    <xf numFmtId="0" fontId="127" fillId="0" borderId="20" xfId="12" applyFont="1" applyBorder="1" applyAlignment="1" applyProtection="1">
      <alignment vertical="top"/>
    </xf>
    <xf numFmtId="49" fontId="127" fillId="0" borderId="0" xfId="12" quotePrefix="1" applyNumberFormat="1" applyFont="1" applyBorder="1" applyAlignment="1" applyProtection="1">
      <alignment vertical="top"/>
    </xf>
    <xf numFmtId="49" fontId="127" fillId="0" borderId="0" xfId="12" applyNumberFormat="1" applyFont="1" applyBorder="1" applyAlignment="1" applyProtection="1">
      <alignment horizontal="left" vertical="top"/>
    </xf>
    <xf numFmtId="0" fontId="127" fillId="0" borderId="0" xfId="12" applyFont="1" applyBorder="1" applyAlignment="1" applyProtection="1">
      <alignment vertical="top"/>
    </xf>
    <xf numFmtId="0" fontId="127" fillId="0" borderId="0" xfId="12" applyFont="1" applyBorder="1" applyAlignment="1" applyProtection="1">
      <alignment horizontal="right" vertical="top"/>
    </xf>
    <xf numFmtId="0" fontId="127" fillId="0" borderId="0" xfId="12" applyFont="1" applyBorder="1" applyAlignment="1" applyProtection="1">
      <alignment horizontal="left" vertical="top"/>
    </xf>
    <xf numFmtId="0" fontId="127" fillId="0" borderId="8" xfId="12" applyFont="1" applyBorder="1" applyAlignment="1" applyProtection="1">
      <alignment vertical="top"/>
    </xf>
    <xf numFmtId="49" fontId="127" fillId="0" borderId="20" xfId="12" quotePrefix="1" applyNumberFormat="1" applyFont="1" applyBorder="1" applyAlignment="1" applyProtection="1">
      <alignment vertical="top"/>
    </xf>
    <xf numFmtId="0" fontId="127" fillId="0" borderId="20" xfId="12" applyFont="1" applyBorder="1" applyAlignment="1" applyProtection="1">
      <alignment horizontal="right" vertical="top"/>
    </xf>
    <xf numFmtId="0" fontId="127" fillId="0" borderId="20" xfId="12" applyFont="1" applyBorder="1" applyAlignment="1" applyProtection="1">
      <alignment horizontal="left" vertical="top"/>
    </xf>
    <xf numFmtId="0" fontId="127" fillId="0" borderId="97" xfId="12" applyFont="1" applyBorder="1" applyAlignment="1" applyProtection="1">
      <alignment vertical="top"/>
    </xf>
    <xf numFmtId="0" fontId="4" fillId="0" borderId="19" xfId="12" applyFont="1" applyBorder="1" applyAlignment="1" applyProtection="1">
      <alignment vertical="top"/>
    </xf>
    <xf numFmtId="0" fontId="105" fillId="0" borderId="19" xfId="12" applyFont="1" applyBorder="1" applyAlignment="1" applyProtection="1">
      <alignment vertical="top"/>
    </xf>
    <xf numFmtId="49" fontId="127" fillId="0" borderId="0" xfId="12" applyNumberFormat="1" applyFont="1" applyBorder="1" applyAlignment="1" applyProtection="1">
      <alignment vertical="top"/>
    </xf>
    <xf numFmtId="49" fontId="127" fillId="0" borderId="0" xfId="12" applyNumberFormat="1" applyFont="1" applyFill="1" applyBorder="1" applyAlignment="1" applyProtection="1">
      <alignment horizontal="left" vertical="top"/>
    </xf>
    <xf numFmtId="49" fontId="127" fillId="0" borderId="19" xfId="12" applyNumberFormat="1" applyFont="1" applyFill="1" applyBorder="1" applyAlignment="1" applyProtection="1">
      <alignment vertical="top"/>
    </xf>
    <xf numFmtId="49" fontId="127" fillId="0" borderId="19" xfId="12" applyNumberFormat="1" applyFont="1" applyFill="1" applyBorder="1" applyAlignment="1" applyProtection="1">
      <alignment horizontal="left" vertical="top"/>
    </xf>
    <xf numFmtId="0" fontId="127" fillId="0" borderId="19" xfId="12" applyFont="1" applyFill="1" applyBorder="1" applyAlignment="1" applyProtection="1">
      <alignment vertical="top"/>
    </xf>
    <xf numFmtId="49" fontId="127" fillId="0" borderId="0" xfId="12" applyNumberFormat="1" applyFont="1" applyFill="1" applyAlignment="1" applyProtection="1">
      <alignment vertical="top"/>
    </xf>
    <xf numFmtId="49" fontId="127" fillId="0" borderId="0" xfId="12" applyNumberFormat="1" applyFont="1" applyFill="1" applyAlignment="1" applyProtection="1">
      <alignment horizontal="center" vertical="top"/>
    </xf>
    <xf numFmtId="49" fontId="127" fillId="0" borderId="0" xfId="12" applyNumberFormat="1" applyFont="1" applyFill="1" applyAlignment="1" applyProtection="1">
      <alignment horizontal="left" vertical="top"/>
    </xf>
    <xf numFmtId="49" fontId="127" fillId="0" borderId="39" xfId="12" applyNumberFormat="1" applyFont="1" applyBorder="1" applyAlignment="1" applyProtection="1">
      <alignment horizontal="left" vertical="top"/>
    </xf>
    <xf numFmtId="0" fontId="127" fillId="0" borderId="44" xfId="12" applyFont="1" applyBorder="1" applyAlignment="1" applyProtection="1">
      <alignment vertical="top"/>
    </xf>
    <xf numFmtId="49" fontId="127" fillId="0" borderId="41" xfId="12" applyNumberFormat="1" applyFont="1" applyBorder="1" applyAlignment="1" applyProtection="1">
      <alignment horizontal="left" vertical="top"/>
    </xf>
    <xf numFmtId="0" fontId="127" fillId="0" borderId="40" xfId="12" applyFont="1" applyBorder="1" applyAlignment="1" applyProtection="1">
      <alignment vertical="top"/>
    </xf>
    <xf numFmtId="0" fontId="4" fillId="0" borderId="0" xfId="12" applyFont="1" applyAlignment="1" applyProtection="1">
      <alignment vertical="top"/>
    </xf>
    <xf numFmtId="0" fontId="127" fillId="10" borderId="0" xfId="12" applyFont="1" applyFill="1" applyAlignment="1" applyProtection="1">
      <alignment vertical="top"/>
    </xf>
    <xf numFmtId="0" fontId="127" fillId="0" borderId="39" xfId="12" applyFont="1" applyBorder="1" applyAlignment="1" applyProtection="1">
      <alignment vertical="top"/>
    </xf>
    <xf numFmtId="49" fontId="127" fillId="0" borderId="0" xfId="12" applyNumberFormat="1" applyFont="1" applyBorder="1" applyAlignment="1" applyProtection="1">
      <alignment vertical="top" wrapText="1"/>
    </xf>
    <xf numFmtId="49" fontId="127" fillId="0" borderId="38" xfId="12" quotePrefix="1" applyNumberFormat="1" applyFont="1" applyBorder="1" applyAlignment="1" applyProtection="1">
      <alignment horizontal="center" vertical="top"/>
    </xf>
    <xf numFmtId="49" fontId="127" fillId="0" borderId="0" xfId="12" applyNumberFormat="1" applyFont="1" applyBorder="1" applyAlignment="1" applyProtection="1">
      <alignment horizontal="left" vertical="top" wrapText="1"/>
    </xf>
    <xf numFmtId="0" fontId="127" fillId="17" borderId="0" xfId="12" applyFont="1" applyFill="1" applyAlignment="1" applyProtection="1">
      <alignment vertical="top"/>
    </xf>
    <xf numFmtId="49" fontId="127" fillId="0" borderId="19" xfId="12" applyNumberFormat="1" applyFont="1" applyBorder="1" applyAlignment="1" applyProtection="1">
      <alignment horizontal="right" vertical="top"/>
    </xf>
    <xf numFmtId="49" fontId="127" fillId="0" borderId="88" xfId="12" applyNumberFormat="1" applyFont="1" applyBorder="1" applyAlignment="1" applyProtection="1">
      <alignment vertical="top"/>
    </xf>
    <xf numFmtId="49" fontId="127" fillId="0" borderId="88" xfId="12" applyNumberFormat="1" applyFont="1" applyBorder="1" applyAlignment="1" applyProtection="1">
      <alignment horizontal="left" vertical="top"/>
    </xf>
    <xf numFmtId="0" fontId="127" fillId="0" borderId="88" xfId="12" applyFont="1" applyBorder="1" applyAlignment="1" applyProtection="1">
      <alignment vertical="top"/>
    </xf>
    <xf numFmtId="0" fontId="139" fillId="0" borderId="88" xfId="12" applyFont="1" applyBorder="1" applyAlignment="1" applyProtection="1">
      <alignment vertical="top"/>
    </xf>
    <xf numFmtId="49" fontId="127" fillId="0" borderId="13" xfId="12" applyNumberFormat="1" applyFont="1" applyBorder="1" applyAlignment="1" applyProtection="1">
      <alignment horizontal="left"/>
    </xf>
    <xf numFmtId="0" fontId="127" fillId="0" borderId="13" xfId="12" applyFont="1" applyBorder="1" applyAlignment="1" applyProtection="1"/>
    <xf numFmtId="0" fontId="127" fillId="0" borderId="13" xfId="12" applyFont="1" applyBorder="1" applyAlignment="1" applyProtection="1">
      <alignment vertical="top"/>
    </xf>
    <xf numFmtId="49" fontId="127" fillId="10" borderId="23" xfId="12" applyNumberFormat="1" applyFont="1" applyFill="1" applyBorder="1" applyAlignment="1" applyProtection="1">
      <alignment horizontal="left" vertical="top"/>
    </xf>
    <xf numFmtId="49" fontId="127" fillId="10" borderId="16" xfId="12" quotePrefix="1" applyNumberFormat="1" applyFont="1" applyFill="1" applyBorder="1" applyAlignment="1" applyProtection="1">
      <alignment horizontal="center" vertical="top"/>
    </xf>
    <xf numFmtId="49" fontId="127" fillId="10" borderId="25" xfId="12" applyNumberFormat="1" applyFont="1" applyFill="1" applyBorder="1" applyAlignment="1" applyProtection="1">
      <alignment horizontal="left" vertical="top"/>
    </xf>
    <xf numFmtId="49" fontId="127" fillId="10" borderId="17" xfId="12" quotePrefix="1" applyNumberFormat="1" applyFont="1" applyFill="1" applyBorder="1" applyAlignment="1" applyProtection="1">
      <alignment horizontal="center" vertical="top"/>
    </xf>
    <xf numFmtId="49" fontId="127" fillId="10" borderId="24" xfId="12" applyNumberFormat="1" applyFont="1" applyFill="1" applyBorder="1" applyAlignment="1" applyProtection="1">
      <alignment horizontal="left" vertical="top"/>
    </xf>
    <xf numFmtId="49" fontId="127" fillId="10" borderId="18" xfId="12" quotePrefix="1" applyNumberFormat="1" applyFont="1" applyFill="1" applyBorder="1" applyAlignment="1" applyProtection="1">
      <alignment horizontal="center" vertical="top"/>
    </xf>
    <xf numFmtId="49" fontId="127" fillId="0" borderId="0" xfId="12" applyNumberFormat="1" applyFont="1" applyProtection="1"/>
    <xf numFmtId="49" fontId="127" fillId="0" borderId="0" xfId="12" applyNumberFormat="1" applyFont="1" applyAlignment="1" applyProtection="1">
      <alignment horizontal="left"/>
    </xf>
    <xf numFmtId="49" fontId="127" fillId="0" borderId="0" xfId="12" applyNumberFormat="1" applyFont="1" applyAlignment="1" applyProtection="1">
      <alignment horizontal="center"/>
    </xf>
    <xf numFmtId="0" fontId="127" fillId="0" borderId="0" xfId="12" applyFont="1" applyAlignment="1" applyProtection="1">
      <alignment horizontal="right"/>
    </xf>
    <xf numFmtId="0" fontId="127" fillId="0" borderId="0" xfId="12" applyFont="1" applyAlignment="1" applyProtection="1">
      <alignment horizontal="left"/>
    </xf>
    <xf numFmtId="0" fontId="127"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5" borderId="3" xfId="0" applyFont="1" applyFill="1" applyBorder="1" applyAlignment="1" applyProtection="1">
      <alignment horizontal="left"/>
    </xf>
    <xf numFmtId="0" fontId="54" fillId="5" borderId="3" xfId="0" applyFont="1" applyFill="1" applyBorder="1" applyAlignment="1" applyProtection="1">
      <alignment horizontal="center"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133" xfId="0" applyFont="1" applyFill="1" applyBorder="1" applyAlignment="1" applyProtection="1">
      <alignment horizontal="left" vertical="center"/>
    </xf>
    <xf numFmtId="0" fontId="50" fillId="5" borderId="58" xfId="0" applyFont="1" applyFill="1" applyBorder="1" applyAlignment="1" applyProtection="1">
      <alignment horizontal="left" vertical="center"/>
    </xf>
    <xf numFmtId="0" fontId="50" fillId="5" borderId="29"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3" xfId="1" applyNumberFormat="1" applyFont="1" applyFill="1" applyBorder="1" applyAlignment="1" applyProtection="1">
      <alignment horizontal="center" vertical="center"/>
    </xf>
    <xf numFmtId="0" fontId="108" fillId="0" borderId="0" xfId="0" applyFont="1" applyBorder="1" applyAlignment="1" applyProtection="1">
      <alignment horizontal="center"/>
    </xf>
    <xf numFmtId="0" fontId="108" fillId="0" borderId="0" xfId="0" applyFont="1" applyAlignment="1" applyProtection="1">
      <alignment horizontal="center"/>
    </xf>
    <xf numFmtId="0" fontId="51" fillId="0" borderId="0" xfId="0" quotePrefix="1" applyNumberFormat="1" applyFont="1" applyProtection="1"/>
    <xf numFmtId="0" fontId="98" fillId="0" borderId="0" xfId="0" applyNumberFormat="1" applyFont="1" applyProtection="1"/>
    <xf numFmtId="0" fontId="98" fillId="0" borderId="0" xfId="0" applyFont="1" applyProtection="1"/>
    <xf numFmtId="0" fontId="124" fillId="0" borderId="0" xfId="0" applyFont="1" applyProtection="1"/>
    <xf numFmtId="0" fontId="124" fillId="0" borderId="0" xfId="0" applyNumberFormat="1"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0" fontId="50" fillId="0" borderId="0" xfId="0" applyFont="1" applyFill="1" applyBorder="1" applyAlignment="1" applyProtection="1">
      <alignment vertical="center"/>
    </xf>
    <xf numFmtId="0" fontId="77" fillId="0" borderId="0" xfId="6" applyFont="1" applyFill="1" applyAlignment="1" applyProtection="1">
      <alignment vertical="center"/>
    </xf>
    <xf numFmtId="0" fontId="135" fillId="0" borderId="0" xfId="6" applyFont="1" applyFill="1" applyBorder="1" applyAlignment="1" applyProtection="1">
      <alignment vertical="center"/>
    </xf>
    <xf numFmtId="167" fontId="54" fillId="0" borderId="13"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54" fillId="5" borderId="16" xfId="0"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69" fillId="0" borderId="0" xfId="0" applyFont="1" applyAlignment="1" applyProtection="1">
      <alignment vertical="center"/>
    </xf>
    <xf numFmtId="0" fontId="67" fillId="0" borderId="0" xfId="0" applyFont="1" applyProtection="1"/>
    <xf numFmtId="166" fontId="54" fillId="5" borderId="3" xfId="0"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0" fillId="13" borderId="0" xfId="0" applyFont="1" applyFill="1" applyBorder="1" applyAlignment="1" applyProtection="1">
      <alignment horizontal="left" vertical="top" wrapText="1"/>
    </xf>
    <xf numFmtId="3" fontId="54" fillId="13" borderId="38" xfId="0" applyNumberFormat="1" applyFont="1" applyFill="1" applyBorder="1" applyAlignment="1" applyProtection="1">
      <alignment vertical="center"/>
    </xf>
    <xf numFmtId="3" fontId="64" fillId="13" borderId="38" xfId="0" applyNumberFormat="1" applyFont="1" applyFill="1" applyBorder="1" applyAlignment="1" applyProtection="1">
      <alignment horizontal="left" vertical="center"/>
    </xf>
    <xf numFmtId="3" fontId="54" fillId="13" borderId="53" xfId="0" applyNumberFormat="1" applyFont="1" applyFill="1" applyBorder="1" applyAlignment="1" applyProtection="1">
      <alignment vertical="center"/>
    </xf>
    <xf numFmtId="0" fontId="71" fillId="5" borderId="3" xfId="0" applyFont="1" applyFill="1" applyBorder="1" applyAlignment="1" applyProtection="1">
      <alignment horizontal="center" vertical="center"/>
    </xf>
    <xf numFmtId="3" fontId="54" fillId="13" borderId="89" xfId="0" applyNumberFormat="1" applyFont="1" applyFill="1" applyBorder="1" applyAlignment="1" applyProtection="1">
      <alignment vertical="center"/>
    </xf>
    <xf numFmtId="3" fontId="54" fillId="13" borderId="95" xfId="0" applyNumberFormat="1" applyFont="1" applyFill="1" applyBorder="1" applyAlignment="1" applyProtection="1">
      <alignment vertical="center"/>
    </xf>
    <xf numFmtId="164" fontId="50" fillId="5" borderId="47" xfId="1" applyNumberFormat="1" applyFont="1" applyFill="1" applyBorder="1" applyAlignment="1" applyProtection="1">
      <alignment horizontal="center" vertical="center"/>
    </xf>
    <xf numFmtId="0" fontId="54" fillId="0" borderId="0" xfId="0" applyFont="1" applyAlignment="1" applyProtection="1"/>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164" fontId="12" fillId="5" borderId="16" xfId="1" applyNumberFormat="1" applyFont="1" applyFill="1" applyBorder="1" applyAlignment="1" applyProtection="1">
      <alignment horizontal="right" vertical="center"/>
    </xf>
    <xf numFmtId="164" fontId="12" fillId="5" borderId="18" xfId="1" applyNumberFormat="1" applyFont="1" applyFill="1" applyBorder="1" applyAlignment="1" applyProtection="1">
      <alignment horizontal="right" vertical="center"/>
    </xf>
    <xf numFmtId="3" fontId="12" fillId="5" borderId="16" xfId="0" applyNumberFormat="1" applyFont="1" applyFill="1" applyBorder="1" applyProtection="1"/>
    <xf numFmtId="3" fontId="12" fillId="5" borderId="16" xfId="10" applyNumberFormat="1" applyFont="1" applyFill="1" applyBorder="1" applyProtection="1"/>
    <xf numFmtId="3" fontId="12" fillId="5" borderId="18" xfId="0" applyNumberFormat="1" applyFont="1" applyFill="1" applyBorder="1" applyProtection="1"/>
    <xf numFmtId="3" fontId="12" fillId="5" borderId="18" xfId="10" applyNumberFormat="1" applyFont="1" applyFill="1" applyBorder="1" applyProtection="1"/>
    <xf numFmtId="3" fontId="12" fillId="5" borderId="3" xfId="0" applyNumberFormat="1" applyFont="1" applyFill="1" applyBorder="1" applyAlignment="1" applyProtection="1">
      <alignment vertical="center"/>
    </xf>
    <xf numFmtId="3" fontId="12" fillId="5" borderId="43" xfId="0" applyNumberFormat="1" applyFont="1" applyFill="1" applyBorder="1" applyAlignment="1" applyProtection="1">
      <alignment vertical="center"/>
    </xf>
    <xf numFmtId="3" fontId="12" fillId="5" borderId="15" xfId="1" applyNumberFormat="1" applyFont="1" applyFill="1" applyBorder="1" applyAlignment="1" applyProtection="1">
      <alignment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165" fontId="14" fillId="13" borderId="12" xfId="0" applyNumberFormat="1" applyFont="1" applyFill="1" applyBorder="1" applyAlignment="1" applyProtection="1">
      <alignment horizontal="center" vertical="center"/>
    </xf>
    <xf numFmtId="9" fontId="14" fillId="13" borderId="12"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center"/>
    </xf>
    <xf numFmtId="0" fontId="8" fillId="13" borderId="18" xfId="0"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17" xfId="0" applyFont="1" applyFill="1" applyBorder="1" applyAlignment="1" applyProtection="1">
      <alignment horizontal="center" vertical="top"/>
    </xf>
    <xf numFmtId="0" fontId="8" fillId="13" borderId="1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4" fillId="13" borderId="1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98"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3" xfId="0" applyNumberFormat="1" applyFont="1" applyFill="1" applyBorder="1" applyAlignment="1" applyProtection="1">
      <alignment horizontal="center" vertical="center"/>
    </xf>
    <xf numFmtId="0" fontId="8" fillId="13" borderId="87" xfId="0" applyFont="1" applyFill="1" applyBorder="1" applyAlignment="1" applyProtection="1">
      <alignment horizontal="center" vertical="center"/>
    </xf>
    <xf numFmtId="0" fontId="8" fillId="13" borderId="89" xfId="0" applyFont="1" applyFill="1" applyBorder="1" applyAlignment="1" applyProtection="1">
      <alignment horizontal="center" vertical="center"/>
    </xf>
    <xf numFmtId="0" fontId="8" fillId="13" borderId="89" xfId="0" applyFont="1" applyFill="1" applyBorder="1" applyAlignment="1" applyProtection="1">
      <alignment horizontal="center" vertical="top"/>
    </xf>
    <xf numFmtId="10" fontId="4" fillId="13" borderId="52" xfId="0" applyNumberFormat="1" applyFont="1" applyFill="1" applyBorder="1" applyAlignment="1" applyProtection="1">
      <alignment horizontal="center" vertical="center" wrapText="1"/>
    </xf>
    <xf numFmtId="10" fontId="4" fillId="13" borderId="23"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wrapText="1"/>
    </xf>
    <xf numFmtId="10" fontId="4" fillId="13" borderId="25"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xf>
    <xf numFmtId="10" fontId="4" fillId="13" borderId="25" xfId="0" applyNumberFormat="1" applyFont="1" applyFill="1" applyBorder="1" applyAlignment="1" applyProtection="1">
      <alignment horizontal="center" vertical="center"/>
    </xf>
    <xf numFmtId="10" fontId="4" fillId="13" borderId="49" xfId="0" applyNumberFormat="1" applyFont="1" applyFill="1" applyBorder="1" applyAlignment="1" applyProtection="1">
      <alignment horizontal="center" vertical="center" wrapText="1"/>
    </xf>
    <xf numFmtId="10" fontId="4" fillId="13" borderId="24" xfId="0" applyNumberFormat="1" applyFont="1" applyFill="1" applyBorder="1" applyAlignment="1" applyProtection="1">
      <alignment horizontal="center" vertical="center" wrapText="1"/>
    </xf>
    <xf numFmtId="3" fontId="8" fillId="13" borderId="18" xfId="0" applyNumberFormat="1" applyFont="1" applyFill="1" applyBorder="1" applyAlignment="1" applyProtection="1">
      <alignment horizontal="center" vertical="center"/>
    </xf>
    <xf numFmtId="0" fontId="118" fillId="0" borderId="89" xfId="0" applyFont="1" applyBorder="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vertical="top"/>
    </xf>
    <xf numFmtId="0" fontId="9" fillId="0" borderId="0" xfId="13" applyFont="1" applyAlignment="1" applyProtection="1">
      <alignment vertical="top"/>
    </xf>
    <xf numFmtId="0" fontId="44" fillId="0" borderId="0" xfId="13" applyFont="1" applyAlignment="1" applyProtection="1">
      <alignment horizontal="left"/>
    </xf>
    <xf numFmtId="0" fontId="44" fillId="0" borderId="0" xfId="13" applyFont="1" applyAlignment="1" applyProtection="1"/>
    <xf numFmtId="49" fontId="127" fillId="0" borderId="19" xfId="12" applyNumberFormat="1" applyFont="1" applyBorder="1" applyAlignment="1" applyProtection="1">
      <alignment horizontal="left" vertical="top" wrapText="1"/>
    </xf>
    <xf numFmtId="49" fontId="127" fillId="0" borderId="0" xfId="12" applyNumberFormat="1" applyFont="1" applyBorder="1" applyAlignment="1" applyProtection="1">
      <alignment horizontal="left" vertical="top" wrapText="1"/>
    </xf>
    <xf numFmtId="0" fontId="112" fillId="14" borderId="81" xfId="12" applyFont="1" applyFill="1" applyBorder="1" applyAlignment="1" applyProtection="1">
      <alignment horizontal="center"/>
    </xf>
    <xf numFmtId="0" fontId="112" fillId="14" borderId="85" xfId="12" applyFont="1" applyFill="1" applyBorder="1" applyAlignment="1" applyProtection="1">
      <alignment horizontal="center"/>
    </xf>
    <xf numFmtId="0" fontId="112" fillId="14" borderId="82" xfId="12" applyFont="1" applyFill="1" applyBorder="1" applyAlignment="1" applyProtection="1">
      <alignment horizontal="center"/>
    </xf>
    <xf numFmtId="0" fontId="137" fillId="0" borderId="88" xfId="12" applyFont="1" applyBorder="1" applyAlignment="1" applyProtection="1">
      <alignment horizontal="center" vertical="center" wrapText="1"/>
    </xf>
    <xf numFmtId="0" fontId="127" fillId="0" borderId="0" xfId="12" applyFont="1" applyBorder="1" applyAlignment="1" applyProtection="1">
      <alignment horizontal="center" wrapText="1"/>
    </xf>
    <xf numFmtId="0" fontId="127" fillId="0" borderId="86" xfId="12" applyFont="1" applyBorder="1" applyAlignment="1" applyProtection="1">
      <alignment horizontal="center" wrapText="1"/>
    </xf>
    <xf numFmtId="0" fontId="129" fillId="0" borderId="0" xfId="12" applyFont="1" applyBorder="1" applyAlignment="1" applyProtection="1">
      <alignment horizontal="center" wrapText="1"/>
    </xf>
    <xf numFmtId="0" fontId="129" fillId="0" borderId="86" xfId="12" applyFont="1" applyBorder="1" applyAlignment="1" applyProtection="1">
      <alignment horizontal="center" wrapText="1"/>
    </xf>
    <xf numFmtId="49" fontId="128" fillId="0" borderId="88" xfId="12" applyNumberFormat="1" applyFont="1" applyBorder="1" applyAlignment="1" applyProtection="1">
      <alignment horizontal="center" vertical="top"/>
    </xf>
    <xf numFmtId="0" fontId="127" fillId="0" borderId="0" xfId="12" applyFont="1" applyAlignment="1" applyProtection="1">
      <alignment horizontal="justify" vertical="top" wrapText="1"/>
    </xf>
    <xf numFmtId="0" fontId="127" fillId="0" borderId="19" xfId="12" applyFont="1" applyBorder="1" applyAlignment="1" applyProtection="1">
      <alignment horizontal="left" vertical="top" wrapText="1"/>
    </xf>
    <xf numFmtId="49" fontId="105" fillId="0" borderId="0" xfId="12" applyNumberFormat="1" applyFont="1" applyFill="1" applyBorder="1" applyAlignment="1" applyProtection="1">
      <alignment horizontal="left" vertical="top" wrapText="1"/>
    </xf>
    <xf numFmtId="0" fontId="127" fillId="10" borderId="21" xfId="12" applyFont="1" applyFill="1" applyBorder="1" applyAlignment="1" applyProtection="1">
      <alignment horizontal="left" vertical="top" wrapText="1"/>
    </xf>
    <xf numFmtId="0" fontId="127" fillId="10" borderId="31" xfId="12" applyFont="1" applyFill="1" applyBorder="1" applyAlignment="1" applyProtection="1">
      <alignment horizontal="left" vertical="top" wrapText="1"/>
    </xf>
    <xf numFmtId="0" fontId="127" fillId="0" borderId="19" xfId="12" applyFont="1" applyBorder="1" applyAlignment="1" applyProtection="1">
      <alignment horizontal="justify" vertical="top" wrapText="1"/>
    </xf>
    <xf numFmtId="0" fontId="127" fillId="0" borderId="0" xfId="12" applyFont="1" applyAlignment="1" applyProtection="1">
      <alignment horizontal="left" vertical="top" wrapText="1"/>
    </xf>
    <xf numFmtId="0" fontId="127" fillId="0" borderId="8" xfId="12" applyFont="1" applyBorder="1" applyAlignment="1" applyProtection="1">
      <alignment horizontal="left" vertical="top" wrapText="1"/>
    </xf>
    <xf numFmtId="49" fontId="127" fillId="0" borderId="20" xfId="12" applyNumberFormat="1" applyFont="1" applyBorder="1" applyAlignment="1" applyProtection="1">
      <alignment horizontal="left" vertical="top" wrapText="1"/>
    </xf>
    <xf numFmtId="0" fontId="127" fillId="0" borderId="0" xfId="12" applyFont="1" applyBorder="1" applyAlignment="1" applyProtection="1">
      <alignment horizontal="left" vertical="top" wrapText="1"/>
    </xf>
    <xf numFmtId="0" fontId="127" fillId="0" borderId="42" xfId="12" applyFont="1" applyBorder="1" applyAlignment="1" applyProtection="1">
      <alignment horizontal="left" vertical="top" wrapText="1"/>
    </xf>
    <xf numFmtId="0" fontId="127" fillId="0" borderId="20" xfId="12" applyFont="1" applyBorder="1" applyAlignment="1" applyProtection="1">
      <alignment horizontal="left" vertical="top" wrapText="1"/>
    </xf>
    <xf numFmtId="0" fontId="127" fillId="0" borderId="97" xfId="12" applyFont="1" applyBorder="1" applyAlignment="1" applyProtection="1">
      <alignment horizontal="left" vertical="top" wrapText="1"/>
    </xf>
    <xf numFmtId="49" fontId="127" fillId="0" borderId="19" xfId="12" applyNumberFormat="1" applyFont="1" applyFill="1" applyBorder="1" applyAlignment="1" applyProtection="1">
      <alignment horizontal="left" vertical="top" wrapText="1"/>
    </xf>
    <xf numFmtId="49" fontId="127" fillId="0" borderId="0" xfId="12" applyNumberFormat="1" applyFont="1" applyFill="1" applyBorder="1" applyAlignment="1" applyProtection="1">
      <alignment horizontal="left" vertical="top" wrapText="1"/>
    </xf>
    <xf numFmtId="0" fontId="127" fillId="17" borderId="44" xfId="12" applyFont="1" applyFill="1" applyBorder="1" applyAlignment="1" applyProtection="1">
      <alignment horizontal="left" vertical="top" wrapText="1"/>
    </xf>
    <xf numFmtId="0" fontId="127" fillId="17" borderId="19" xfId="12" applyFont="1" applyFill="1" applyBorder="1" applyAlignment="1" applyProtection="1">
      <alignment horizontal="left" vertical="top" wrapText="1"/>
    </xf>
    <xf numFmtId="0" fontId="127" fillId="17" borderId="32" xfId="12" applyFont="1" applyFill="1" applyBorder="1" applyAlignment="1" applyProtection="1">
      <alignment horizontal="left" vertical="top" wrapText="1"/>
    </xf>
    <xf numFmtId="0" fontId="127" fillId="0" borderId="88" xfId="12" applyFont="1" applyBorder="1" applyAlignment="1" applyProtection="1">
      <alignment horizontal="center" wrapText="1"/>
    </xf>
    <xf numFmtId="0" fontId="127" fillId="0" borderId="13" xfId="12" applyFont="1" applyBorder="1" applyAlignment="1" applyProtection="1">
      <alignment horizontal="center" wrapText="1"/>
    </xf>
    <xf numFmtId="49" fontId="127" fillId="0" borderId="13" xfId="12" applyNumberFormat="1" applyFont="1" applyBorder="1" applyAlignment="1" applyProtection="1">
      <alignment horizontal="center"/>
    </xf>
    <xf numFmtId="49" fontId="127" fillId="10" borderId="52" xfId="12" applyNumberFormat="1" applyFont="1" applyFill="1" applyBorder="1" applyAlignment="1" applyProtection="1">
      <alignment horizontal="left" vertical="top" wrapText="1"/>
    </xf>
    <xf numFmtId="49" fontId="127" fillId="10" borderId="53" xfId="12" applyNumberFormat="1" applyFont="1" applyFill="1" applyBorder="1" applyAlignment="1" applyProtection="1">
      <alignment horizontal="left" vertical="top" wrapText="1"/>
    </xf>
    <xf numFmtId="0" fontId="127" fillId="10" borderId="16" xfId="12" applyFont="1" applyFill="1" applyBorder="1" applyAlignment="1" applyProtection="1">
      <alignment horizontal="left" vertical="top"/>
    </xf>
    <xf numFmtId="49" fontId="127" fillId="10" borderId="51" xfId="12" applyNumberFormat="1" applyFont="1" applyFill="1" applyBorder="1" applyAlignment="1" applyProtection="1">
      <alignment horizontal="left" vertical="top" wrapText="1"/>
    </xf>
    <xf numFmtId="49" fontId="127" fillId="10" borderId="38" xfId="12" applyNumberFormat="1" applyFont="1" applyFill="1" applyBorder="1" applyAlignment="1" applyProtection="1">
      <alignment horizontal="left" vertical="top" wrapText="1"/>
    </xf>
    <xf numFmtId="0" fontId="127" fillId="10" borderId="17" xfId="12" applyFont="1" applyFill="1" applyBorder="1" applyAlignment="1" applyProtection="1">
      <alignment horizontal="left" vertical="top"/>
    </xf>
    <xf numFmtId="49" fontId="127" fillId="10" borderId="49" xfId="12" applyNumberFormat="1" applyFont="1" applyFill="1" applyBorder="1" applyAlignment="1" applyProtection="1">
      <alignment horizontal="left" vertical="top" wrapText="1"/>
    </xf>
    <xf numFmtId="49" fontId="127" fillId="10" borderId="50" xfId="12" applyNumberFormat="1" applyFont="1" applyFill="1" applyBorder="1" applyAlignment="1" applyProtection="1">
      <alignment horizontal="left" vertical="top" wrapText="1"/>
    </xf>
    <xf numFmtId="0" fontId="127" fillId="10" borderId="18" xfId="12" applyFont="1" applyFill="1" applyBorder="1" applyAlignment="1" applyProtection="1">
      <alignment horizontal="left" vertical="top"/>
    </xf>
    <xf numFmtId="0" fontId="140" fillId="0" borderId="0" xfId="12" applyNumberFormat="1" applyFont="1" applyAlignment="1" applyProtection="1">
      <alignment horizontal="justify" vertical="top" wrapText="1"/>
    </xf>
    <xf numFmtId="0" fontId="49" fillId="0" borderId="0" xfId="0" applyFont="1" applyFill="1" applyAlignment="1" applyProtection="1">
      <alignment horizontal="center" vertical="center" wrapText="1"/>
    </xf>
    <xf numFmtId="0" fontId="54" fillId="0" borderId="0" xfId="0" applyFont="1" applyBorder="1" applyAlignment="1" applyProtection="1">
      <alignment horizontal="justify" vertical="top" wrapText="1"/>
    </xf>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0" fillId="5" borderId="99" xfId="0" applyFont="1" applyFill="1" applyBorder="1" applyAlignment="1" applyProtection="1">
      <alignment horizontal="left" vertical="center"/>
    </xf>
    <xf numFmtId="0" fontId="50" fillId="5" borderId="59" xfId="0" applyFont="1" applyFill="1" applyBorder="1" applyAlignment="1" applyProtection="1">
      <alignment horizontal="left" vertical="center"/>
    </xf>
    <xf numFmtId="0" fontId="50" fillId="5" borderId="34" xfId="0" applyFont="1" applyFill="1" applyBorder="1" applyAlignment="1" applyProtection="1">
      <alignment horizontal="left" vertical="center"/>
    </xf>
    <xf numFmtId="0" fontId="50" fillId="5" borderId="30" xfId="0" applyFont="1" applyFill="1" applyBorder="1" applyAlignment="1" applyProtection="1">
      <alignment horizontal="left" vertical="center"/>
    </xf>
    <xf numFmtId="0" fontId="50" fillId="5" borderId="21" xfId="0" applyFont="1" applyFill="1" applyBorder="1" applyAlignment="1" applyProtection="1">
      <alignment horizontal="left" vertical="center"/>
    </xf>
    <xf numFmtId="0" fontId="50" fillId="5" borderId="77" xfId="0" applyFont="1" applyFill="1" applyBorder="1" applyAlignment="1" applyProtection="1">
      <alignment horizontal="left" vertical="center"/>
    </xf>
    <xf numFmtId="0" fontId="62" fillId="0" borderId="0" xfId="0" applyFont="1" applyFill="1" applyBorder="1" applyAlignment="1" applyProtection="1">
      <alignment horizontal="left" wrapText="1"/>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4" fillId="0" borderId="0" xfId="0" applyFont="1" applyFill="1" applyBorder="1" applyAlignment="1" applyProtection="1">
      <alignment horizontal="left"/>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33" xfId="0" applyFont="1" applyFill="1" applyBorder="1" applyAlignment="1" applyProtection="1">
      <alignment horizontal="left" vertical="center"/>
    </xf>
    <xf numFmtId="0" fontId="50" fillId="5" borderId="79" xfId="0"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0" fontId="54" fillId="0" borderId="0" xfId="0" applyFont="1" applyFill="1" applyBorder="1" applyAlignment="1" applyProtection="1">
      <alignment horizontal="left" vertical="center"/>
    </xf>
    <xf numFmtId="0" fontId="54" fillId="5" borderId="36"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134" fillId="0" borderId="0" xfId="6" applyFont="1" applyFill="1" applyBorder="1" applyAlignment="1" applyProtection="1">
      <alignment horizontal="left" vertical="center"/>
    </xf>
    <xf numFmtId="0" fontId="135" fillId="0" borderId="0" xfId="6"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0" fontId="110" fillId="5" borderId="36"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7"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0" fillId="5" borderId="23" xfId="0" applyFont="1" applyFill="1" applyBorder="1" applyAlignment="1" applyProtection="1">
      <alignment horizontal="left"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8" fontId="54" fillId="5" borderId="36" xfId="0" applyNumberFormat="1" applyFont="1" applyFill="1" applyBorder="1" applyAlignment="1" applyProtection="1">
      <alignment horizontal="center" vertical="center"/>
    </xf>
    <xf numFmtId="8" fontId="54" fillId="5" borderId="37" xfId="0" applyNumberFormat="1" applyFont="1" applyFill="1" applyBorder="1" applyAlignment="1" applyProtection="1">
      <alignment horizontal="center" vertical="center"/>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4" fillId="5" borderId="2"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62" fillId="0" borderId="86" xfId="0" applyFont="1" applyFill="1" applyBorder="1" applyAlignment="1" applyProtection="1">
      <alignment horizontal="center"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center" wrapText="1"/>
    </xf>
    <xf numFmtId="0" fontId="54" fillId="0" borderId="13" xfId="0" applyFont="1" applyBorder="1" applyAlignment="1" applyProtection="1">
      <alignment wrapText="1"/>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0" fontId="54" fillId="5" borderId="6" xfId="0" applyFont="1" applyFill="1" applyBorder="1" applyAlignment="1" applyProtection="1">
      <alignment horizontal="left" vertical="center"/>
    </xf>
    <xf numFmtId="0" fontId="54" fillId="5" borderId="17" xfId="0" applyFont="1" applyFill="1" applyBorder="1" applyAlignment="1" applyProtection="1">
      <alignment horizontal="center" vertical="center"/>
    </xf>
    <xf numFmtId="0" fontId="54" fillId="0" borderId="7"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0" borderId="83" xfId="0"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54" fillId="0" borderId="88"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83"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62" fillId="0" borderId="83" xfId="0" applyFont="1" applyFill="1" applyBorder="1" applyAlignment="1" applyProtection="1">
      <alignment horizontal="left" vertical="top" wrapText="1"/>
    </xf>
    <xf numFmtId="0" fontId="62" fillId="0" borderId="88" xfId="0" applyFont="1" applyFill="1" applyBorder="1" applyAlignment="1" applyProtection="1">
      <alignment horizontal="left" vertical="top" wrapText="1"/>
    </xf>
    <xf numFmtId="0" fontId="62" fillId="0" borderId="7" xfId="0"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2" fillId="0" borderId="9" xfId="0" applyFont="1" applyFill="1" applyBorder="1" applyAlignment="1" applyProtection="1">
      <alignment horizontal="left" vertical="top" wrapText="1"/>
    </xf>
    <xf numFmtId="0" fontId="62" fillId="0" borderId="13" xfId="0" applyFont="1" applyFill="1" applyBorder="1" applyAlignment="1" applyProtection="1">
      <alignment horizontal="left" vertical="top" wrapText="1"/>
    </xf>
    <xf numFmtId="0" fontId="54" fillId="5" borderId="16" xfId="0" applyFont="1" applyFill="1" applyBorder="1" applyAlignment="1" applyProtection="1">
      <alignment horizontal="center" vertical="center"/>
    </xf>
    <xf numFmtId="0" fontId="54" fillId="5" borderId="81" xfId="0" applyFont="1" applyFill="1" applyBorder="1" applyAlignment="1" applyProtection="1">
      <alignment horizontal="center"/>
    </xf>
    <xf numFmtId="0" fontId="54" fillId="5" borderId="82" xfId="0" applyFont="1" applyFill="1" applyBorder="1" applyAlignment="1" applyProtection="1">
      <alignment horizontal="center"/>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54" fillId="0" borderId="14" xfId="0" applyFont="1" applyBorder="1" applyProtection="1"/>
    <xf numFmtId="0" fontId="54" fillId="5" borderId="102" xfId="0" applyFont="1" applyFill="1" applyBorder="1" applyAlignment="1" applyProtection="1">
      <alignment horizontal="left" vertical="center"/>
    </xf>
    <xf numFmtId="0" fontId="54" fillId="0" borderId="85" xfId="0" applyFont="1" applyBorder="1" applyProtection="1"/>
    <xf numFmtId="0" fontId="54" fillId="0" borderId="103" xfId="0" applyFont="1" applyBorder="1" applyProtection="1"/>
    <xf numFmtId="0" fontId="54" fillId="0" borderId="104" xfId="0" applyFont="1" applyBorder="1" applyProtection="1"/>
    <xf numFmtId="167" fontId="54" fillId="5" borderId="102" xfId="0" applyNumberFormat="1" applyFont="1" applyFill="1" applyBorder="1" applyAlignment="1" applyProtection="1">
      <alignment horizontal="left" vertical="center"/>
    </xf>
    <xf numFmtId="167" fontId="54" fillId="5" borderId="104" xfId="0" applyNumberFormat="1" applyFont="1" applyFill="1" applyBorder="1" applyAlignment="1" applyProtection="1">
      <alignment horizontal="left" vertical="center"/>
    </xf>
    <xf numFmtId="167" fontId="54" fillId="5" borderId="103" xfId="0" applyNumberFormat="1" applyFont="1" applyFill="1" applyBorder="1" applyAlignment="1" applyProtection="1">
      <alignment horizontal="left" vertical="center"/>
    </xf>
    <xf numFmtId="0" fontId="54" fillId="5" borderId="106" xfId="0" applyNumberFormat="1" applyFont="1" applyFill="1" applyBorder="1" applyAlignment="1" applyProtection="1">
      <alignment horizontal="left" vertical="center"/>
    </xf>
    <xf numFmtId="0" fontId="54" fillId="5" borderId="104" xfId="0" applyNumberFormat="1" applyFont="1" applyFill="1" applyBorder="1" applyAlignment="1" applyProtection="1">
      <alignment horizontal="left" vertical="center"/>
    </xf>
    <xf numFmtId="0" fontId="54" fillId="5" borderId="107" xfId="0" applyNumberFormat="1" applyFont="1" applyFill="1" applyBorder="1" applyAlignment="1" applyProtection="1">
      <alignment horizontal="left" vertical="center"/>
    </xf>
    <xf numFmtId="0" fontId="54" fillId="5" borderId="110" xfId="0" applyFont="1" applyFill="1" applyBorder="1" applyAlignment="1" applyProtection="1">
      <alignment horizontal="left" vertical="center"/>
    </xf>
    <xf numFmtId="0" fontId="54" fillId="0" borderId="108" xfId="0" applyFont="1" applyBorder="1" applyProtection="1"/>
    <xf numFmtId="0" fontId="54" fillId="0" borderId="111" xfId="0" applyFont="1" applyBorder="1" applyProtection="1"/>
    <xf numFmtId="0" fontId="54" fillId="0" borderId="112" xfId="0" applyFont="1" applyBorder="1" applyProtection="1"/>
    <xf numFmtId="167" fontId="54" fillId="5" borderId="110" xfId="0" applyNumberFormat="1" applyFont="1" applyFill="1" applyBorder="1" applyAlignment="1" applyProtection="1">
      <alignment horizontal="left" vertical="center"/>
    </xf>
    <xf numFmtId="167" fontId="54" fillId="5" borderId="112" xfId="0" applyNumberFormat="1" applyFont="1" applyFill="1" applyBorder="1" applyAlignment="1" applyProtection="1">
      <alignment horizontal="left" vertical="center"/>
    </xf>
    <xf numFmtId="167" fontId="54" fillId="5" borderId="111" xfId="0" applyNumberFormat="1" applyFont="1" applyFill="1" applyBorder="1" applyAlignment="1" applyProtection="1">
      <alignment horizontal="left" vertical="center"/>
    </xf>
    <xf numFmtId="0" fontId="54" fillId="5" borderId="110" xfId="0" applyNumberFormat="1" applyFont="1" applyFill="1" applyBorder="1" applyAlignment="1" applyProtection="1">
      <alignment horizontal="left" vertical="center"/>
    </xf>
    <xf numFmtId="0" fontId="54" fillId="5" borderId="114" xfId="0" applyNumberFormat="1" applyFont="1" applyFill="1" applyBorder="1" applyAlignment="1" applyProtection="1">
      <alignment horizontal="left" vertical="center"/>
    </xf>
    <xf numFmtId="0" fontId="54" fillId="5" borderId="111" xfId="0" applyNumberFormat="1" applyFont="1" applyFill="1" applyBorder="1" applyAlignment="1" applyProtection="1">
      <alignment horizontal="left" vertical="center"/>
    </xf>
    <xf numFmtId="0" fontId="54" fillId="5" borderId="118" xfId="0" applyFont="1" applyFill="1" applyBorder="1" applyAlignment="1" applyProtection="1">
      <alignment horizontal="left" vertical="center"/>
    </xf>
    <xf numFmtId="0" fontId="54" fillId="0" borderId="116" xfId="0" applyFont="1" applyBorder="1" applyProtection="1"/>
    <xf numFmtId="0" fontId="54" fillId="0" borderId="119" xfId="0" applyFont="1" applyBorder="1" applyProtection="1"/>
    <xf numFmtId="0" fontId="54" fillId="5" borderId="122" xfId="0" applyFont="1" applyFill="1" applyBorder="1" applyAlignment="1" applyProtection="1">
      <alignment horizontal="left" vertical="center"/>
    </xf>
    <xf numFmtId="0" fontId="54" fillId="0" borderId="120" xfId="0" applyFont="1" applyBorder="1" applyProtection="1"/>
    <xf numFmtId="0" fontId="54" fillId="0" borderId="123" xfId="0" applyFont="1" applyBorder="1" applyProtection="1"/>
    <xf numFmtId="0" fontId="54" fillId="5" borderId="125" xfId="0" applyFont="1" applyFill="1" applyBorder="1" applyAlignment="1" applyProtection="1">
      <alignment horizontal="left" vertical="center"/>
    </xf>
    <xf numFmtId="0" fontId="54" fillId="0" borderId="126" xfId="0" applyFont="1" applyBorder="1" applyProtection="1"/>
    <xf numFmtId="0" fontId="54" fillId="5" borderId="129" xfId="0" applyFont="1" applyFill="1" applyBorder="1" applyAlignment="1" applyProtection="1">
      <alignment horizontal="left" vertical="center"/>
    </xf>
    <xf numFmtId="0" fontId="54" fillId="0" borderId="127" xfId="0" applyFont="1" applyBorder="1" applyProtection="1"/>
    <xf numFmtId="0" fontId="54" fillId="0" borderId="130" xfId="0" applyFont="1" applyBorder="1" applyProtection="1"/>
    <xf numFmtId="167" fontId="54" fillId="5" borderId="129" xfId="0" applyNumberFormat="1" applyFont="1" applyFill="1" applyBorder="1" applyAlignment="1" applyProtection="1">
      <alignment horizontal="left" vertical="center"/>
    </xf>
    <xf numFmtId="167" fontId="54" fillId="5" borderId="127" xfId="0" applyNumberFormat="1" applyFont="1" applyFill="1" applyBorder="1" applyAlignment="1" applyProtection="1">
      <alignment horizontal="left" vertical="center"/>
    </xf>
    <xf numFmtId="167" fontId="54" fillId="5" borderId="130" xfId="0" applyNumberFormat="1" applyFont="1" applyFill="1" applyBorder="1" applyAlignment="1" applyProtection="1">
      <alignment horizontal="left" vertical="center"/>
    </xf>
    <xf numFmtId="0" fontId="54" fillId="5" borderId="129" xfId="0" applyNumberFormat="1" applyFont="1" applyFill="1" applyBorder="1" applyAlignment="1" applyProtection="1">
      <alignment horizontal="left" vertical="center"/>
    </xf>
    <xf numFmtId="0" fontId="54" fillId="5" borderId="131" xfId="0" applyNumberFormat="1" applyFont="1" applyFill="1" applyBorder="1" applyAlignment="1" applyProtection="1">
      <alignment horizontal="left" vertical="center"/>
    </xf>
    <xf numFmtId="0" fontId="54" fillId="5" borderId="130" xfId="0" applyNumberFormat="1" applyFont="1" applyFill="1" applyBorder="1" applyAlignment="1" applyProtection="1">
      <alignment horizontal="left" vertical="center"/>
    </xf>
    <xf numFmtId="0" fontId="54" fillId="5" borderId="30" xfId="0" applyFont="1" applyFill="1" applyBorder="1" applyAlignment="1" applyProtection="1">
      <alignment horizontal="left" vertical="center" wrapText="1"/>
    </xf>
    <xf numFmtId="0" fontId="54" fillId="5" borderId="21" xfId="0" applyFont="1" applyFill="1" applyBorder="1" applyAlignment="1" applyProtection="1">
      <alignment horizontal="left" vertical="center" wrapText="1"/>
    </xf>
    <xf numFmtId="0" fontId="54" fillId="5" borderId="31" xfId="0" applyFont="1" applyFill="1" applyBorder="1" applyAlignment="1" applyProtection="1">
      <alignment horizontal="left" vertical="center" wrapText="1"/>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3"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54" fillId="5" borderId="28" xfId="0" applyNumberFormat="1"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174" fontId="54" fillId="5" borderId="28" xfId="10" applyNumberFormat="1" applyFont="1" applyFill="1" applyBorder="1" applyAlignment="1" applyProtection="1">
      <alignment horizontal="right" vertical="center"/>
    </xf>
    <xf numFmtId="174" fontId="54" fillId="5" borderId="29" xfId="0" applyNumberFormat="1" applyFont="1" applyFill="1" applyBorder="1" applyAlignment="1" applyProtection="1">
      <alignment horizontal="right"/>
    </xf>
    <xf numFmtId="0" fontId="62" fillId="0" borderId="4" xfId="0" applyFont="1" applyFill="1" applyBorder="1" applyAlignment="1" applyProtection="1">
      <alignment horizontal="center" vertical="top" wrapText="1"/>
    </xf>
    <xf numFmtId="0" fontId="54" fillId="0" borderId="6" xfId="0" applyFont="1" applyBorder="1" applyAlignment="1" applyProtection="1">
      <alignment vertical="top"/>
    </xf>
    <xf numFmtId="0" fontId="54" fillId="0" borderId="8" xfId="0" applyFont="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14" xfId="0" applyFont="1" applyBorder="1" applyAlignment="1" applyProtection="1">
      <alignment vertical="top"/>
    </xf>
    <xf numFmtId="0" fontId="54" fillId="5" borderId="28" xfId="0" applyFont="1" applyFill="1" applyBorder="1" applyAlignment="1" applyProtection="1">
      <alignment horizontal="left" vertical="center" wrapText="1"/>
    </xf>
    <xf numFmtId="0" fontId="54" fillId="5" borderId="58" xfId="0" applyFont="1" applyFill="1" applyBorder="1" applyAlignment="1" applyProtection="1">
      <alignment horizontal="left" vertical="center" wrapText="1"/>
    </xf>
    <xf numFmtId="0" fontId="54" fillId="5" borderId="29" xfId="0" applyFont="1" applyFill="1" applyBorder="1" applyAlignment="1" applyProtection="1">
      <alignment horizontal="left" vertical="center" wrapText="1"/>
    </xf>
    <xf numFmtId="0" fontId="54" fillId="5" borderId="33" xfId="0" applyFont="1" applyFill="1" applyBorder="1" applyAlignment="1" applyProtection="1">
      <alignment horizontal="left" vertical="center" wrapText="1"/>
    </xf>
    <xf numFmtId="0" fontId="54" fillId="5" borderId="59" xfId="0" applyFont="1" applyFill="1" applyBorder="1" applyAlignment="1" applyProtection="1">
      <alignment horizontal="left" vertical="center" wrapText="1"/>
    </xf>
    <xf numFmtId="0" fontId="54"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4" fillId="5" borderId="30" xfId="0" applyNumberFormat="1"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174" fontId="54" fillId="5" borderId="30" xfId="10" applyNumberFormat="1" applyFont="1" applyFill="1" applyBorder="1" applyAlignment="1" applyProtection="1">
      <alignment horizontal="right" vertical="center"/>
    </xf>
    <xf numFmtId="174" fontId="54" fillId="5" borderId="31" xfId="0" applyNumberFormat="1" applyFont="1" applyFill="1" applyBorder="1" applyAlignment="1" applyProtection="1">
      <alignment horizontal="right"/>
    </xf>
    <xf numFmtId="174" fontId="62" fillId="0" borderId="33" xfId="10" applyNumberFormat="1" applyFont="1" applyFill="1" applyBorder="1" applyAlignment="1" applyProtection="1">
      <alignment horizontal="right" vertical="center"/>
    </xf>
    <xf numFmtId="174" fontId="62" fillId="0" borderId="34" xfId="0" applyNumberFormat="1" applyFont="1" applyFill="1" applyBorder="1" applyAlignment="1" applyProtection="1">
      <alignment horizontal="right"/>
    </xf>
    <xf numFmtId="0" fontId="54" fillId="5" borderId="33" xfId="0" applyNumberFormat="1"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174" fontId="54" fillId="5" borderId="33" xfId="10" applyNumberFormat="1" applyFont="1" applyFill="1" applyBorder="1" applyAlignment="1" applyProtection="1">
      <alignment horizontal="right" vertical="center"/>
    </xf>
    <xf numFmtId="174" fontId="54" fillId="5" borderId="34" xfId="0" applyNumberFormat="1" applyFont="1" applyFill="1" applyBorder="1" applyAlignment="1" applyProtection="1">
      <alignment horizontal="right"/>
    </xf>
    <xf numFmtId="0" fontId="54" fillId="0" borderId="9" xfId="0" applyFont="1" applyFill="1" applyBorder="1" applyAlignment="1" applyProtection="1">
      <alignment horizontal="left" vertical="center"/>
    </xf>
    <xf numFmtId="0" fontId="54" fillId="0" borderId="13" xfId="0" applyFont="1" applyFill="1" applyBorder="1" applyAlignment="1" applyProtection="1">
      <alignment horizontal="left" vertical="center"/>
    </xf>
    <xf numFmtId="0" fontId="54" fillId="0" borderId="14" xfId="0" applyFont="1" applyFill="1" applyBorder="1" applyAlignment="1" applyProtection="1">
      <alignment horizontal="left" vertical="center"/>
    </xf>
    <xf numFmtId="0" fontId="54"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4" fillId="0" borderId="13" xfId="0" applyFont="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right" vertical="center"/>
    </xf>
    <xf numFmtId="38" fontId="54" fillId="5" borderId="37" xfId="0" applyNumberFormat="1" applyFont="1" applyFill="1" applyBorder="1" applyAlignment="1" applyProtection="1">
      <alignment horizontal="right"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5" borderId="85" xfId="0" applyFont="1" applyFill="1" applyBorder="1" applyAlignment="1" applyProtection="1">
      <alignment vertical="center"/>
    </xf>
    <xf numFmtId="0" fontId="54" fillId="5" borderId="82"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54" fillId="5" borderId="37"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0" fontId="54" fillId="5" borderId="2" xfId="0" applyFont="1" applyFill="1" applyBorder="1" applyAlignment="1" applyProtection="1">
      <alignment vertical="center"/>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7" xfId="0" applyFont="1" applyFill="1" applyBorder="1" applyAlignment="1" applyProtection="1">
      <alignment horizontal="left" wrapText="1"/>
    </xf>
    <xf numFmtId="0" fontId="54" fillId="0" borderId="0" xfId="0" applyFont="1" applyFill="1" applyAlignment="1" applyProtection="1">
      <alignment horizontal="left" wrapText="1"/>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8" fillId="0" borderId="0" xfId="0" applyFont="1" applyFill="1" applyAlignment="1" applyProtection="1">
      <alignment horizontal="left"/>
    </xf>
    <xf numFmtId="166" fontId="54" fillId="5" borderId="36" xfId="10" applyNumberFormat="1" applyFont="1" applyFill="1" applyBorder="1" applyAlignment="1" applyProtection="1">
      <alignment horizontal="center" vertical="center"/>
    </xf>
    <xf numFmtId="166" fontId="54" fillId="5" borderId="37" xfId="10" applyNumberFormat="1" applyFont="1" applyFill="1" applyBorder="1" applyAlignment="1" applyProtection="1">
      <alignment horizontal="center" vertical="center"/>
    </xf>
    <xf numFmtId="3" fontId="54" fillId="5" borderId="36" xfId="1"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3" xfId="0" applyFont="1" applyFill="1" applyBorder="1" applyAlignment="1" applyProtection="1">
      <alignment horizontal="center" vertical="center" wrapText="1"/>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7"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7"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38" fontId="54" fillId="5" borderId="85" xfId="0" applyNumberFormat="1" applyFont="1" applyFill="1" applyBorder="1" applyAlignment="1" applyProtection="1">
      <alignment horizontal="right"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5" borderId="3" xfId="0" applyFont="1" applyFill="1" applyBorder="1" applyAlignment="1" applyProtection="1">
      <alignment horizontal="left" vertical="center"/>
    </xf>
    <xf numFmtId="0" fontId="54" fillId="5" borderId="13" xfId="0" applyFont="1" applyFill="1" applyBorder="1" applyAlignment="1" applyProtection="1">
      <alignment vertical="center"/>
    </xf>
    <xf numFmtId="0" fontId="54" fillId="5" borderId="14" xfId="0" applyFont="1" applyFill="1" applyBorder="1" applyAlignment="1" applyProtection="1">
      <alignment vertical="center"/>
    </xf>
    <xf numFmtId="0" fontId="51" fillId="10" borderId="81" xfId="0" applyFont="1" applyFill="1" applyBorder="1" applyAlignment="1" applyProtection="1">
      <alignment horizontal="center" vertical="center"/>
    </xf>
    <xf numFmtId="0" fontId="51" fillId="10" borderId="82"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3" fontId="54" fillId="5" borderId="36" xfId="0"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7" fontId="54" fillId="5" borderId="81" xfId="0" applyNumberFormat="1" applyFont="1" applyFill="1" applyBorder="1" applyAlignment="1" applyProtection="1">
      <alignment horizontal="center" vertical="center"/>
    </xf>
    <xf numFmtId="0" fontId="0" fillId="0" borderId="82" xfId="0" applyBorder="1" applyProtection="1"/>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164" fontId="54" fillId="0" borderId="61" xfId="1" applyNumberFormat="1" applyFont="1" applyFill="1" applyBorder="1" applyAlignment="1" applyProtection="1">
      <alignment horizontal="right" vertical="center"/>
    </xf>
    <xf numFmtId="0" fontId="54" fillId="0" borderId="62" xfId="0" applyFont="1" applyBorder="1" applyProtection="1"/>
    <xf numFmtId="164" fontId="54" fillId="0" borderId="68" xfId="1" applyNumberFormat="1" applyFont="1" applyFill="1" applyBorder="1" applyAlignment="1" applyProtection="1">
      <alignment horizontal="right" vertical="center"/>
    </xf>
    <xf numFmtId="0" fontId="62" fillId="0" borderId="0" xfId="0" applyFont="1" applyFill="1" applyAlignment="1" applyProtection="1">
      <alignment horizontal="left"/>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4" fillId="0" borderId="62" xfId="1" applyNumberFormat="1" applyFont="1" applyFill="1" applyBorder="1" applyAlignment="1" applyProtection="1">
      <alignment horizontal="right" vertical="center"/>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20" xfId="0" applyFont="1" applyFill="1" applyBorder="1" applyAlignment="1" applyProtection="1">
      <alignment horizontal="left" vertical="top" wrapText="1"/>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164" fontId="54" fillId="0" borderId="0" xfId="1"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4" fontId="54" fillId="0" borderId="82" xfId="1" applyNumberFormat="1" applyFont="1" applyFill="1" applyBorder="1" applyAlignment="1" applyProtection="1">
      <alignment vertical="center"/>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0" fontId="0" fillId="0" borderId="13" xfId="0" applyBorder="1" applyProtection="1"/>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8" fillId="0" borderId="0" xfId="0" applyFont="1" applyBorder="1" applyAlignment="1" applyProtection="1">
      <alignment horizontal="center"/>
    </xf>
    <xf numFmtId="0" fontId="8"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11"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0" fontId="51" fillId="0" borderId="0" xfId="0" applyFont="1" applyAlignment="1" applyProtection="1">
      <alignment horizontal="left" vertical="center" wrapText="1"/>
    </xf>
    <xf numFmtId="0" fontId="27" fillId="0" borderId="0" xfId="0" applyFont="1" applyFill="1" applyAlignment="1" applyProtection="1">
      <alignment horizontal="left" vertical="center" wrapText="1"/>
    </xf>
    <xf numFmtId="0" fontId="4" fillId="5" borderId="36"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7" xfId="0" applyFont="1" applyFill="1" applyBorder="1" applyAlignment="1" applyProtection="1">
      <alignment horizontal="left"/>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31" fillId="0" borderId="0" xfId="0" applyFont="1" applyFill="1" applyAlignment="1" applyProtection="1">
      <alignment horizontal="left"/>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0" fillId="0" borderId="85" xfId="0" applyBorder="1" applyProtection="1"/>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117"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51" fillId="0" borderId="88" xfId="0" applyFont="1" applyFill="1" applyBorder="1" applyAlignment="1" applyProtection="1">
      <alignment horizontal="center" vertical="center" wrapText="1"/>
    </xf>
    <xf numFmtId="0" fontId="51" fillId="0" borderId="0" xfId="0" applyFont="1" applyFill="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14" fillId="5" borderId="81" xfId="0" applyFont="1" applyFill="1" applyBorder="1" applyAlignment="1" applyProtection="1">
      <alignment horizontal="center"/>
    </xf>
    <xf numFmtId="0" fontId="14" fillId="5" borderId="85" xfId="0" applyFont="1" applyFill="1" applyBorder="1" applyAlignment="1" applyProtection="1">
      <alignment horizontal="center"/>
    </xf>
    <xf numFmtId="0" fontId="14" fillId="5" borderId="82" xfId="0" applyFont="1" applyFill="1" applyBorder="1" applyAlignment="1" applyProtection="1">
      <alignment horizontal="center"/>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75" fontId="14" fillId="13" borderId="36" xfId="0" applyNumberFormat="1" applyFont="1" applyFill="1" applyBorder="1" applyAlignment="1" applyProtection="1">
      <alignment horizontal="left" vertical="center"/>
    </xf>
    <xf numFmtId="175" fontId="14" fillId="13" borderId="37"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175" fontId="14" fillId="5" borderId="36"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0" borderId="0" xfId="0" applyFont="1" applyFill="1" applyBorder="1" applyAlignment="1" applyProtection="1">
      <alignment horizontal="justify" vertical="center" wrapText="1"/>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8" fillId="0" borderId="0" xfId="0" applyFont="1" applyFill="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5" borderId="16" xfId="0" applyFont="1" applyFill="1" applyBorder="1" applyAlignment="1" applyProtection="1">
      <alignment horizontal="left" vertical="center"/>
    </xf>
    <xf numFmtId="0" fontId="49"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6" xfId="0" applyFont="1" applyFill="1" applyBorder="1" applyAlignment="1" applyProtection="1">
      <alignment horizontal="left" vertical="center"/>
    </xf>
    <xf numFmtId="0" fontId="14" fillId="13" borderId="37" xfId="0" applyFont="1" applyFill="1" applyBorder="1" applyAlignment="1" applyProtection="1">
      <alignment horizontal="left" vertical="center"/>
    </xf>
    <xf numFmtId="0" fontId="4" fillId="13" borderId="33"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4" fillId="0" borderId="42" xfId="0" applyFont="1" applyFill="1" applyBorder="1" applyAlignment="1" applyProtection="1">
      <alignment horizontal="center"/>
    </xf>
    <xf numFmtId="0" fontId="14" fillId="0" borderId="20" xfId="0" applyFont="1" applyFill="1" applyBorder="1" applyAlignment="1" applyProtection="1">
      <alignment horizontal="center"/>
    </xf>
    <xf numFmtId="0" fontId="14" fillId="0" borderId="60" xfId="0" applyFont="1" applyFill="1" applyBorder="1" applyAlignment="1" applyProtection="1">
      <alignment horizontal="center"/>
    </xf>
    <xf numFmtId="0" fontId="14" fillId="0" borderId="42"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60" xfId="0" applyFont="1" applyBorder="1" applyAlignment="1" applyProtection="1">
      <alignment horizontal="center" vertical="top"/>
    </xf>
    <xf numFmtId="0" fontId="138" fillId="0" borderId="0" xfId="0" applyFont="1" applyFill="1" applyBorder="1" applyAlignment="1" applyProtection="1">
      <alignment horizontal="center" vertical="center" wrapText="1"/>
    </xf>
    <xf numFmtId="0" fontId="114" fillId="0" borderId="0" xfId="0" applyFont="1" applyFill="1" applyAlignment="1" applyProtection="1">
      <alignment horizontal="center"/>
    </xf>
    <xf numFmtId="0" fontId="0" fillId="0" borderId="82" xfId="0"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4" fillId="0" borderId="19"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0" borderId="40"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1" xfId="0" applyFont="1" applyBorder="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0" borderId="44" xfId="0" applyFont="1" applyBorder="1" applyAlignment="1" applyProtection="1">
      <alignment horizontal="center" vertical="top"/>
    </xf>
    <xf numFmtId="0" fontId="14" fillId="0" borderId="19" xfId="0" applyFont="1" applyBorder="1" applyAlignment="1" applyProtection="1">
      <alignment horizontal="center" vertical="top"/>
    </xf>
    <xf numFmtId="0" fontId="14" fillId="0" borderId="39" xfId="0" applyFont="1" applyBorder="1" applyAlignment="1" applyProtection="1">
      <alignment horizontal="center" vertical="top"/>
    </xf>
    <xf numFmtId="0" fontId="4" fillId="0" borderId="19" xfId="0" applyFont="1" applyBorder="1" applyAlignment="1" applyProtection="1">
      <alignment horizontal="center" wrapText="1"/>
    </xf>
    <xf numFmtId="0" fontId="4" fillId="0" borderId="13" xfId="0" applyFont="1" applyBorder="1" applyAlignment="1" applyProtection="1">
      <alignment horizontal="center" wrapText="1"/>
    </xf>
    <xf numFmtId="3" fontId="10" fillId="0" borderId="81" xfId="0" applyNumberFormat="1" applyFont="1" applyFill="1" applyBorder="1" applyAlignment="1" applyProtection="1">
      <alignment horizontal="center" vertical="top" wrapText="1"/>
    </xf>
    <xf numFmtId="3" fontId="10" fillId="0" borderId="82" xfId="0" applyNumberFormat="1" applyFont="1" applyFill="1" applyBorder="1" applyAlignment="1" applyProtection="1">
      <alignment horizontal="center" vertical="top" wrapText="1"/>
    </xf>
    <xf numFmtId="0" fontId="23" fillId="0" borderId="0" xfId="0" applyFont="1" applyFill="1" applyAlignment="1" applyProtection="1">
      <alignment horizontal="left" vertical="center"/>
    </xf>
    <xf numFmtId="0" fontId="115" fillId="13" borderId="36" xfId="0" applyFont="1" applyFill="1" applyBorder="1" applyAlignment="1" applyProtection="1">
      <alignment horizontal="center" vertical="center"/>
    </xf>
    <xf numFmtId="0" fontId="115"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7" fillId="0" borderId="0" xfId="0" applyFont="1" applyFill="1" applyAlignment="1" applyProtection="1">
      <alignment horizontal="center"/>
    </xf>
    <xf numFmtId="0" fontId="4" fillId="10" borderId="81" xfId="0" applyFont="1" applyFill="1" applyBorder="1" applyAlignment="1" applyProtection="1">
      <alignment horizontal="left"/>
    </xf>
    <xf numFmtId="0" fontId="4" fillId="10" borderId="85" xfId="0" applyFont="1" applyFill="1" applyBorder="1" applyAlignment="1" applyProtection="1">
      <alignment horizontal="left"/>
    </xf>
    <xf numFmtId="0" fontId="4" fillId="10" borderId="82"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8" fillId="10" borderId="16" xfId="0" applyFont="1" applyFill="1" applyBorder="1" applyAlignment="1" applyProtection="1">
      <alignment horizontal="center" vertical="top"/>
    </xf>
    <xf numFmtId="0" fontId="8" fillId="10" borderId="18" xfId="0"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28" xfId="0" applyFont="1" applyFill="1" applyBorder="1" applyAlignment="1" applyProtection="1">
      <alignment horizontal="center"/>
    </xf>
    <xf numFmtId="0" fontId="4" fillId="0" borderId="58" xfId="0" applyFont="1" applyFill="1" applyBorder="1" applyAlignment="1" applyProtection="1">
      <alignment horizontal="center"/>
    </xf>
    <xf numFmtId="0" fontId="4" fillId="0" borderId="89" xfId="0" applyFont="1" applyFill="1" applyBorder="1" applyAlignment="1" applyProtection="1">
      <alignment horizontal="center" vertical="center"/>
    </xf>
    <xf numFmtId="0" fontId="4" fillId="0" borderId="30" xfId="0" applyFont="1" applyFill="1" applyBorder="1" applyAlignment="1" applyProtection="1">
      <alignment horizontal="center"/>
    </xf>
    <xf numFmtId="0" fontId="4" fillId="0" borderId="21"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59" xfId="0" applyFont="1" applyFill="1" applyBorder="1" applyAlignment="1" applyProtection="1">
      <alignment horizontal="center"/>
    </xf>
    <xf numFmtId="0" fontId="10" fillId="0" borderId="4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147" fillId="0" borderId="0" xfId="0" applyFont="1" applyFill="1" applyBorder="1" applyAlignment="1" applyProtection="1">
      <alignment horizontal="left" wrapText="1"/>
    </xf>
    <xf numFmtId="0" fontId="147" fillId="0" borderId="41" xfId="0" applyFont="1" applyFill="1" applyBorder="1" applyAlignment="1" applyProtection="1">
      <alignment horizontal="left" wrapText="1"/>
    </xf>
    <xf numFmtId="0" fontId="4" fillId="0" borderId="0" xfId="0" applyFont="1" applyFill="1" applyAlignment="1" applyProtection="1">
      <alignment horizontal="center" vertical="center" wrapText="1"/>
    </xf>
    <xf numFmtId="0" fontId="4" fillId="0" borderId="29" xfId="0" applyFont="1" applyFill="1" applyBorder="1" applyAlignment="1" applyProtection="1">
      <alignment horizontal="center"/>
    </xf>
    <xf numFmtId="0" fontId="4" fillId="0" borderId="87"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1" xfId="0" applyFont="1" applyFill="1" applyBorder="1" applyAlignment="1" applyProtection="1">
      <alignment horizontal="center"/>
    </xf>
    <xf numFmtId="0" fontId="4" fillId="0" borderId="34" xfId="0" applyFont="1" applyFill="1" applyBorder="1" applyAlignment="1" applyProtection="1">
      <alignment horizontal="center"/>
    </xf>
    <xf numFmtId="0" fontId="106" fillId="0" borderId="89" xfId="0" applyFont="1" applyFill="1" applyBorder="1" applyAlignment="1" applyProtection="1">
      <alignment horizontal="center" vertical="center" wrapText="1"/>
    </xf>
    <xf numFmtId="0" fontId="10" fillId="0" borderId="99" xfId="0" applyFont="1" applyFill="1" applyBorder="1" applyAlignment="1" applyProtection="1">
      <alignment horizontal="center"/>
    </xf>
    <xf numFmtId="0" fontId="10" fillId="0" borderId="79" xfId="0" applyFont="1" applyFill="1" applyBorder="1" applyAlignment="1" applyProtection="1">
      <alignment horizont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174" fontId="87" fillId="0" borderId="36" xfId="0" applyNumberFormat="1" applyFont="1" applyFill="1" applyBorder="1" applyAlignment="1" applyProtection="1">
      <alignment horizontal="center" vertical="center"/>
    </xf>
    <xf numFmtId="174" fontId="87" fillId="0" borderId="37"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19" xfId="0" applyFont="1" applyFill="1" applyBorder="1" applyAlignment="1" applyProtection="1">
      <alignment horizontal="justify" wrapText="1"/>
    </xf>
    <xf numFmtId="0" fontId="4" fillId="0" borderId="19" xfId="0" applyFont="1" applyFill="1" applyBorder="1" applyAlignment="1" applyProtection="1">
      <alignment horizontal="justify" vertical="top" wrapText="1"/>
    </xf>
    <xf numFmtId="0" fontId="4" fillId="0" borderId="0" xfId="0" applyFont="1" applyFill="1" applyBorder="1" applyAlignment="1" applyProtection="1">
      <alignment horizontal="justify"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18" xfId="0" applyFont="1" applyFill="1" applyBorder="1" applyAlignment="1" applyProtection="1">
      <alignment horizontal="center" vertical="top"/>
    </xf>
    <xf numFmtId="38" fontId="17" fillId="0" borderId="81" xfId="0" applyNumberFormat="1" applyFont="1" applyFill="1" applyBorder="1" applyAlignment="1" applyProtection="1">
      <alignment horizontal="center"/>
    </xf>
    <xf numFmtId="0" fontId="4" fillId="0" borderId="0" xfId="0" applyFont="1" applyBorder="1" applyAlignment="1" applyProtection="1">
      <alignment horizontal="justify" vertical="top" wrapText="1"/>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4" fillId="0" borderId="0" xfId="0" applyFont="1" applyFill="1" applyAlignment="1" applyProtection="1">
      <alignment vertical="center" wrapText="1"/>
    </xf>
    <xf numFmtId="0" fontId="0" fillId="0" borderId="0" xfId="0" applyAlignment="1" applyProtection="1">
      <alignment vertical="center" wrapText="1"/>
    </xf>
    <xf numFmtId="3" fontId="4" fillId="5" borderId="36" xfId="0" applyNumberFormat="1" applyFont="1" applyFill="1" applyBorder="1" applyAlignment="1" applyProtection="1">
      <alignment horizontal="left" vertical="center" wrapText="1"/>
    </xf>
    <xf numFmtId="3" fontId="4" fillId="5" borderId="37" xfId="0" applyNumberFormat="1" applyFont="1" applyFill="1" applyBorder="1" applyAlignment="1" applyProtection="1">
      <alignment horizontal="left" vertical="center" wrapText="1"/>
    </xf>
    <xf numFmtId="3" fontId="4" fillId="10" borderId="26" xfId="0" applyNumberFormat="1" applyFont="1" applyFill="1" applyBorder="1" applyAlignment="1" applyProtection="1">
      <alignment horizontal="center" vertical="center"/>
    </xf>
    <xf numFmtId="3" fontId="4" fillId="10" borderId="32"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176" fontId="50" fillId="5" borderId="81" xfId="0" applyNumberFormat="1"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0" fontId="51" fillId="10" borderId="81" xfId="0" applyFont="1" applyFill="1" applyBorder="1" applyAlignment="1" applyProtection="1">
      <alignment horizontal="left"/>
    </xf>
    <xf numFmtId="0" fontId="51" fillId="10" borderId="82" xfId="0" applyFont="1" applyFill="1" applyBorder="1" applyAlignment="1" applyProtection="1">
      <alignment horizontal="left"/>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4" fillId="5" borderId="36"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7"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30" fillId="5" borderId="81" xfId="0" applyFont="1" applyFill="1" applyBorder="1" applyAlignment="1" applyProtection="1">
      <alignment horizontal="center" vertical="center"/>
    </xf>
    <xf numFmtId="0" fontId="130" fillId="5" borderId="85" xfId="0" applyFont="1" applyFill="1" applyBorder="1" applyAlignment="1" applyProtection="1">
      <alignment horizontal="center" vertical="center"/>
    </xf>
    <xf numFmtId="0" fontId="130"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0" fontId="58" fillId="0" borderId="5" xfId="0" applyFont="1" applyBorder="1" applyAlignment="1" applyProtection="1">
      <alignment horizontal="center" wrapText="1"/>
    </xf>
    <xf numFmtId="0" fontId="58" fillId="0" borderId="0" xfId="0" applyFont="1" applyAlignment="1" applyProtection="1">
      <alignment horizontal="center" wrapText="1"/>
    </xf>
    <xf numFmtId="0" fontId="4" fillId="0" borderId="0" xfId="0" applyFont="1" applyBorder="1" applyAlignment="1" applyProtection="1">
      <alignment horizontal="left" vertical="top" wrapText="1"/>
    </xf>
    <xf numFmtId="0" fontId="50" fillId="5" borderId="85" xfId="0" applyFont="1" applyFill="1" applyBorder="1" applyAlignment="1" applyProtection="1">
      <alignment horizontal="center" vertical="center"/>
    </xf>
    <xf numFmtId="0" fontId="10" fillId="0" borderId="0" xfId="0" applyFont="1" applyFill="1" applyAlignment="1" applyProtection="1">
      <alignment horizontal="left" vertical="top"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4" fillId="0" borderId="96"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0" borderId="0" xfId="0" applyFont="1" applyFill="1" applyAlignment="1" applyProtection="1">
      <alignment horizontal="center" vertical="center"/>
    </xf>
    <xf numFmtId="0" fontId="10" fillId="0" borderId="44" xfId="0" applyFont="1" applyFill="1" applyBorder="1" applyAlignment="1" applyProtection="1">
      <alignment horizontal="center"/>
    </xf>
    <xf numFmtId="0" fontId="10" fillId="0" borderId="39" xfId="0" applyFont="1" applyFill="1" applyBorder="1" applyAlignment="1" applyProtection="1">
      <alignment horizont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9" fillId="0" borderId="0" xfId="0" applyFont="1" applyFill="1" applyBorder="1" applyAlignment="1" applyProtection="1">
      <alignment horizontal="center" vertical="center" wrapText="1"/>
    </xf>
    <xf numFmtId="0" fontId="44" fillId="0" borderId="0" xfId="13" applyFont="1" applyAlignment="1" applyProtection="1">
      <alignment horizontal="justify" vertical="top" wrapText="1"/>
    </xf>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6" fillId="0" borderId="0" xfId="13" applyFont="1" applyAlignment="1" applyProtection="1">
      <alignment horizontal="center"/>
    </xf>
    <xf numFmtId="0" fontId="44" fillId="0" borderId="13" xfId="13" applyFont="1" applyBorder="1" applyAlignment="1" applyProtection="1">
      <alignment horizontal="left"/>
    </xf>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9" fontId="51" fillId="0" borderId="3" xfId="10" applyFont="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22"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top"/>
    </xf>
    <xf numFmtId="0" fontId="108" fillId="0" borderId="0" xfId="0" applyFont="1" applyFill="1" applyBorder="1" applyAlignment="1" applyProtection="1">
      <alignment horizontal="justify" wrapText="1"/>
    </xf>
    <xf numFmtId="0" fontId="124"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wrapText="1"/>
    </xf>
    <xf numFmtId="38" fontId="177" fillId="0" borderId="0" xfId="0" applyNumberFormat="1" applyFont="1" applyFill="1" applyBorder="1" applyAlignment="1" applyProtection="1">
      <alignment horizontal="center"/>
    </xf>
    <xf numFmtId="0" fontId="107" fillId="0" borderId="0" xfId="0" applyFont="1" applyFill="1" applyBorder="1" applyProtection="1"/>
    <xf numFmtId="174"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left" vertical="center" wrapText="1"/>
    </xf>
    <xf numFmtId="0" fontId="110" fillId="0" borderId="0" xfId="0" applyFont="1" applyFill="1" applyBorder="1" applyAlignment="1" applyProtection="1">
      <alignment horizontal="justify" vertical="top" wrapText="1"/>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top" wrapText="1"/>
    </xf>
    <xf numFmtId="0" fontId="151"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wrapText="1"/>
    </xf>
    <xf numFmtId="49" fontId="108" fillId="0" borderId="0" xfId="0" applyNumberFormat="1" applyFont="1" applyFill="1" applyBorder="1" applyAlignment="1" applyProtection="1">
      <alignment horizontal="left"/>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20" fillId="0" borderId="0" xfId="0" applyFont="1" applyFill="1" applyBorder="1" applyAlignment="1" applyProtection="1">
      <alignment horizontal="center" wrapText="1"/>
    </xf>
    <xf numFmtId="0" fontId="110"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23" fillId="0" borderId="0" xfId="0" applyFont="1" applyFill="1" applyBorder="1" applyAlignment="1" applyProtection="1">
      <alignment horizontal="justify" vertical="top" wrapText="1"/>
    </xf>
    <xf numFmtId="0" fontId="100" fillId="0" borderId="0" xfId="0" applyFont="1" applyFill="1" applyBorder="1" applyAlignment="1" applyProtection="1">
      <alignment horizontal="center" vertical="center"/>
    </xf>
    <xf numFmtId="42" fontId="123" fillId="0" borderId="0" xfId="2" applyNumberFormat="1" applyFont="1" applyFill="1" applyBorder="1" applyAlignment="1" applyProtection="1">
      <alignment horizontal="center" vertical="center"/>
    </xf>
    <xf numFmtId="42" fontId="107" fillId="0" borderId="0" xfId="2"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3" fontId="123" fillId="0" borderId="0" xfId="0" applyNumberFormat="1" applyFont="1" applyFill="1" applyBorder="1" applyAlignment="1" applyProtection="1">
      <alignment horizontal="left" vertical="center"/>
    </xf>
    <xf numFmtId="167" fontId="123" fillId="0" borderId="0" xfId="0" applyNumberFormat="1" applyFont="1" applyFill="1" applyBorder="1" applyAlignment="1" applyProtection="1">
      <alignment horizontal="left" vertical="center"/>
    </xf>
    <xf numFmtId="169" fontId="123"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left" vertical="center"/>
    </xf>
    <xf numFmtId="0" fontId="123" fillId="0" borderId="0" xfId="0" applyFont="1" applyFill="1" applyBorder="1" applyAlignment="1" applyProtection="1">
      <alignment horizontal="center" vertical="center"/>
    </xf>
    <xf numFmtId="1" fontId="123" fillId="0" borderId="0" xfId="1" applyNumberFormat="1" applyFont="1" applyFill="1" applyBorder="1" applyAlignment="1" applyProtection="1">
      <alignment horizontal="center" vertical="center"/>
    </xf>
    <xf numFmtId="0" fontId="145" fillId="0" borderId="0" xfId="6" applyFont="1" applyFill="1" applyBorder="1" applyAlignment="1" applyProtection="1">
      <alignment horizontal="left" vertical="center"/>
    </xf>
    <xf numFmtId="3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xf>
    <xf numFmtId="0" fontId="153" fillId="0" borderId="0" xfId="6" applyFont="1" applyFill="1" applyBorder="1" applyAlignment="1" applyProtection="1">
      <alignment horizontal="left" vertical="center"/>
    </xf>
    <xf numFmtId="178" fontId="123" fillId="0" borderId="0" xfId="0" applyNumberFormat="1" applyFont="1" applyFill="1" applyBorder="1" applyAlignment="1" applyProtection="1">
      <alignment horizontal="left" vertic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xf>
    <xf numFmtId="175"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wrapText="1"/>
    </xf>
    <xf numFmtId="0" fontId="123" fillId="0" borderId="0" xfId="0" applyFont="1" applyFill="1" applyBorder="1" applyAlignment="1" applyProtection="1">
      <alignment wrapText="1"/>
    </xf>
    <xf numFmtId="167" fontId="123" fillId="0" borderId="0" xfId="0" applyNumberFormat="1" applyFont="1" applyFill="1" applyBorder="1" applyAlignment="1" applyProtection="1">
      <alignment horizontal="center" vertical="center"/>
    </xf>
    <xf numFmtId="0" fontId="123" fillId="0" borderId="0" xfId="0" applyFont="1" applyFill="1" applyBorder="1" applyProtection="1"/>
    <xf numFmtId="0" fontId="100" fillId="0" borderId="0" xfId="0" applyFont="1" applyFill="1" applyBorder="1" applyAlignment="1" applyProtection="1">
      <alignment horizontal="left" wrapText="1"/>
    </xf>
    <xf numFmtId="0" fontId="100" fillId="0" borderId="0" xfId="0" applyFont="1" applyFill="1" applyBorder="1" applyAlignment="1" applyProtection="1">
      <alignment horizontal="left"/>
    </xf>
    <xf numFmtId="0" fontId="151" fillId="0" borderId="0" xfId="0" applyFont="1" applyFill="1" applyBorder="1" applyAlignment="1" applyProtection="1">
      <alignment horizontal="left" vertical="top" wrapText="1"/>
    </xf>
    <xf numFmtId="0" fontId="151" fillId="0" borderId="0" xfId="0" applyFont="1" applyFill="1" applyBorder="1" applyAlignment="1" applyProtection="1">
      <alignment horizontal="center"/>
    </xf>
    <xf numFmtId="8" fontId="123" fillId="0" borderId="0" xfId="0" applyNumberFormat="1" applyFont="1" applyFill="1" applyBorder="1" applyAlignment="1" applyProtection="1">
      <alignment horizontal="center" vertical="center"/>
    </xf>
    <xf numFmtId="0" fontId="123" fillId="0" borderId="0" xfId="0" applyNumberFormat="1" applyFont="1" applyFill="1" applyBorder="1" applyAlignment="1" applyProtection="1">
      <alignment horizontal="center" vertical="center"/>
    </xf>
    <xf numFmtId="174" fontId="123" fillId="0" borderId="0" xfId="10" applyNumberFormat="1" applyFont="1" applyFill="1" applyBorder="1" applyAlignment="1" applyProtection="1">
      <alignment horizontal="right" vertical="center"/>
    </xf>
    <xf numFmtId="174" fontId="123" fillId="0" borderId="0" xfId="0" applyNumberFormat="1" applyFont="1" applyFill="1" applyBorder="1" applyAlignment="1" applyProtection="1">
      <alignment horizontal="right"/>
    </xf>
    <xf numFmtId="0" fontId="123" fillId="0" borderId="0" xfId="0" applyFont="1" applyFill="1" applyBorder="1" applyAlignment="1" applyProtection="1">
      <alignment horizontal="left" vertical="center" wrapText="1"/>
    </xf>
    <xf numFmtId="37"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174" fontId="100" fillId="0" borderId="0" xfId="10" applyNumberFormat="1" applyFont="1" applyFill="1" applyBorder="1" applyAlignment="1" applyProtection="1">
      <alignment horizontal="right" vertical="center"/>
    </xf>
    <xf numFmtId="174" fontId="100" fillId="0" borderId="0" xfId="0" applyNumberFormat="1" applyFont="1" applyFill="1" applyBorder="1" applyAlignment="1" applyProtection="1">
      <alignment horizontal="right"/>
    </xf>
    <xf numFmtId="0" fontId="123"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top" wrapText="1"/>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164" fontId="123" fillId="0" borderId="0" xfId="1" applyNumberFormat="1" applyFont="1" applyFill="1" applyBorder="1" applyAlignment="1" applyProtection="1">
      <alignment horizontal="right" vertical="center"/>
    </xf>
    <xf numFmtId="166" fontId="123" fillId="0" borderId="0" xfId="10" applyNumberFormat="1" applyFont="1" applyFill="1" applyBorder="1" applyAlignment="1" applyProtection="1">
      <alignment horizontal="center" vertical="center"/>
    </xf>
    <xf numFmtId="3" fontId="123" fillId="0" borderId="0" xfId="1" applyNumberFormat="1" applyFont="1" applyFill="1" applyBorder="1" applyAlignment="1" applyProtection="1">
      <alignment horizontal="center" vertical="center"/>
    </xf>
    <xf numFmtId="166" fontId="123" fillId="0" borderId="0" xfId="10" applyNumberFormat="1" applyFont="1" applyFill="1" applyBorder="1" applyAlignment="1" applyProtection="1">
      <alignment vertical="center"/>
    </xf>
    <xf numFmtId="38" fontId="123" fillId="0" borderId="0" xfId="0" applyNumberFormat="1" applyFont="1" applyFill="1" applyBorder="1" applyAlignment="1" applyProtection="1">
      <alignment horizontal="right" vertical="center"/>
    </xf>
    <xf numFmtId="38" fontId="123" fillId="0" borderId="0" xfId="2" applyNumberFormat="1" applyFont="1" applyFill="1" applyBorder="1" applyAlignment="1" applyProtection="1">
      <alignment horizontal="center" vertical="center"/>
    </xf>
    <xf numFmtId="38" fontId="100" fillId="0" borderId="0" xfId="2" applyNumberFormat="1" applyFont="1" applyFill="1" applyBorder="1" applyAlignment="1" applyProtection="1">
      <alignment horizontal="right"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23" fillId="0" borderId="0" xfId="0" applyFont="1" applyFill="1" applyBorder="1" applyAlignment="1" applyProtection="1">
      <alignment horizontal="center" vertical="center" wrapText="1"/>
    </xf>
    <xf numFmtId="3" fontId="151" fillId="0" borderId="0" xfId="0" applyNumberFormat="1" applyFont="1" applyFill="1" applyBorder="1" applyAlignment="1" applyProtection="1">
      <alignment horizontal="center" vertical="center"/>
    </xf>
    <xf numFmtId="4" fontId="15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0" fontId="158" fillId="0" borderId="0" xfId="0" quotePrefix="1" applyFont="1" applyFill="1" applyBorder="1" applyAlignment="1" applyProtection="1">
      <alignment horizontal="center" vertical="center"/>
    </xf>
    <xf numFmtId="38" fontId="100" fillId="0" borderId="0" xfId="2"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wrapText="1"/>
    </xf>
    <xf numFmtId="171" fontId="100" fillId="0" borderId="0" xfId="0" applyNumberFormat="1"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71" fontId="157" fillId="0" borderId="0" xfId="0" applyNumberFormat="1" applyFont="1" applyFill="1" applyBorder="1" applyAlignment="1" applyProtection="1">
      <alignment horizontal="left" vertical="center"/>
    </xf>
    <xf numFmtId="0" fontId="157" fillId="0" borderId="0" xfId="0" applyFont="1" applyFill="1" applyBorder="1" applyAlignment="1" applyProtection="1">
      <alignment horizontal="left" vertical="center"/>
    </xf>
    <xf numFmtId="4" fontId="157" fillId="0" borderId="0" xfId="0" applyNumberFormat="1" applyFont="1" applyFill="1" applyBorder="1" applyAlignment="1" applyProtection="1">
      <alignment horizontal="left" vertical="center"/>
    </xf>
    <xf numFmtId="164" fontId="123" fillId="0" borderId="0" xfId="1" applyNumberFormat="1" applyFont="1" applyFill="1" applyBorder="1" applyAlignment="1" applyProtection="1">
      <alignment horizontal="center" vertical="center"/>
    </xf>
    <xf numFmtId="164" fontId="157"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4" fontId="123" fillId="0" borderId="0" xfId="1" applyNumberFormat="1" applyFont="1" applyFill="1" applyBorder="1" applyAlignment="1" applyProtection="1">
      <alignment vertical="center"/>
    </xf>
    <xf numFmtId="38"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vertical="top" wrapText="1"/>
    </xf>
    <xf numFmtId="168" fontId="123" fillId="0" borderId="0" xfId="0" applyNumberFormat="1" applyFont="1" applyFill="1" applyBorder="1" applyAlignment="1" applyProtection="1">
      <alignment horizontal="center" vertical="center"/>
    </xf>
    <xf numFmtId="170" fontId="123" fillId="0" borderId="0" xfId="0" applyNumberFormat="1" applyFont="1" applyFill="1" applyBorder="1" applyAlignment="1" applyProtection="1">
      <alignment horizontal="center" vertical="center"/>
    </xf>
    <xf numFmtId="38" fontId="15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xf>
    <xf numFmtId="0" fontId="111" fillId="0" borderId="0" xfId="0" applyFont="1" applyFill="1" applyBorder="1" applyAlignment="1" applyProtection="1">
      <alignment horizontal="left" vertical="top" wrapText="1"/>
    </xf>
    <xf numFmtId="175" fontId="107" fillId="0" borderId="0" xfId="0" applyNumberFormat="1" applyFont="1" applyFill="1" applyBorder="1" applyAlignment="1" applyProtection="1">
      <alignment horizontal="left"/>
    </xf>
    <xf numFmtId="0" fontId="111"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textRotation="90"/>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left"/>
    </xf>
    <xf numFmtId="38" fontId="107" fillId="0"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left"/>
    </xf>
    <xf numFmtId="164" fontId="107" fillId="0" borderId="0" xfId="0" applyNumberFormat="1" applyFont="1" applyFill="1" applyBorder="1" applyAlignment="1" applyProtection="1">
      <alignment horizontal="center"/>
    </xf>
    <xf numFmtId="38" fontId="108" fillId="0" borderId="0" xfId="0" applyNumberFormat="1"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3" fontId="107" fillId="0" borderId="0" xfId="0" applyNumberFormat="1" applyFont="1" applyFill="1" applyBorder="1" applyAlignment="1" applyProtection="1">
      <alignment horizontal="right" vertical="center"/>
    </xf>
    <xf numFmtId="0" fontId="167"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72" fillId="0" borderId="0" xfId="0" applyFont="1" applyFill="1" applyBorder="1" applyAlignment="1" applyProtection="1">
      <alignment horizontal="justify" vertical="top" wrapText="1"/>
    </xf>
    <xf numFmtId="0" fontId="122" fillId="0" borderId="0" xfId="0" applyFont="1" applyFill="1" applyBorder="1" applyAlignment="1" applyProtection="1">
      <alignment horizontal="center"/>
    </xf>
    <xf numFmtId="0" fontId="167"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wrapText="1"/>
    </xf>
    <xf numFmtId="0" fontId="107" fillId="0" borderId="0" xfId="0" applyFont="1" applyFill="1" applyBorder="1" applyAlignment="1" applyProtection="1">
      <alignment horizontal="left" vertical="center"/>
    </xf>
    <xf numFmtId="10" fontId="122" fillId="0" borderId="0" xfId="0" applyNumberFormat="1" applyFont="1" applyFill="1" applyBorder="1" applyAlignment="1" applyProtection="1">
      <alignment horizontal="left" vertical="center"/>
    </xf>
    <xf numFmtId="10" fontId="107" fillId="0" borderId="0" xfId="0" applyNumberFormat="1" applyFont="1" applyFill="1" applyBorder="1" applyAlignment="1" applyProtection="1">
      <alignment horizontal="left" vertical="center"/>
    </xf>
    <xf numFmtId="175" fontId="122" fillId="0" borderId="0" xfId="0" applyNumberFormat="1" applyFont="1" applyFill="1" applyBorder="1" applyAlignment="1" applyProtection="1">
      <alignment horizontal="left" vertical="center"/>
    </xf>
    <xf numFmtId="0" fontId="108" fillId="0" borderId="0" xfId="0" applyFont="1" applyFill="1" applyBorder="1" applyAlignment="1" applyProtection="1">
      <alignment horizontal="justify" vertical="center" wrapText="1"/>
    </xf>
    <xf numFmtId="3" fontId="97" fillId="0" borderId="0" xfId="0" applyNumberFormat="1" applyFont="1" applyFill="1" applyBorder="1" applyAlignment="1" applyProtection="1">
      <alignment horizontal="center" vertical="top" wrapText="1"/>
    </xf>
    <xf numFmtId="0" fontId="16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69" fillId="0" borderId="0" xfId="0" applyFont="1" applyFill="1" applyBorder="1" applyAlignment="1" applyProtection="1">
      <alignment horizontal="left" vertical="center"/>
    </xf>
    <xf numFmtId="0" fontId="170" fillId="0" borderId="0" xfId="0" applyFont="1" applyFill="1" applyBorder="1" applyAlignment="1" applyProtection="1">
      <alignment horizontal="center" vertical="center"/>
    </xf>
    <xf numFmtId="176" fontId="107" fillId="0" borderId="0" xfId="0" applyNumberFormat="1" applyFont="1" applyFill="1" applyBorder="1" applyAlignment="1" applyProtection="1">
      <alignment horizontal="center"/>
    </xf>
    <xf numFmtId="0" fontId="96"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11" fillId="0" borderId="0" xfId="0" applyFont="1" applyFill="1" applyBorder="1" applyAlignment="1" applyProtection="1">
      <alignment horizontal="left"/>
    </xf>
    <xf numFmtId="0" fontId="123" fillId="0" borderId="0" xfId="0" applyFont="1" applyBorder="1" applyAlignment="1" applyProtection="1">
      <alignment horizontal="justify" vertical="top" wrapText="1"/>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center" wrapText="1"/>
    </xf>
  </cellXfs>
  <cellStyles count="34">
    <cellStyle name="Comma" xfId="1" builtinId="3"/>
    <cellStyle name="Currency" xfId="2" builtinId="4"/>
    <cellStyle name="Grey" xfId="3"/>
    <cellStyle name="Header1" xfId="4"/>
    <cellStyle name="Header2" xfId="5"/>
    <cellStyle name="Header2 10" xfId="32"/>
    <cellStyle name="Header2 2" xfId="15"/>
    <cellStyle name="Header2 3" xfId="19"/>
    <cellStyle name="Header2 4" xfId="20"/>
    <cellStyle name="Header2 5" xfId="21"/>
    <cellStyle name="Header2 6" xfId="26"/>
    <cellStyle name="Header2 7" xfId="23"/>
    <cellStyle name="Header2 8" xfId="18"/>
    <cellStyle name="Header2 9" xfId="31"/>
    <cellStyle name="Hyperlink" xfId="6" builtinId="8"/>
    <cellStyle name="Input [yellow]" xfId="7"/>
    <cellStyle name="Input [yellow] 10" xfId="29"/>
    <cellStyle name="Input [yellow] 11" xfId="33"/>
    <cellStyle name="Input [yellow] 2" xfId="16"/>
    <cellStyle name="Input [yellow] 3" xfId="14"/>
    <cellStyle name="Input [yellow] 4" xfId="22"/>
    <cellStyle name="Input [yellow] 5" xfId="24"/>
    <cellStyle name="Input [yellow] 6" xfId="27"/>
    <cellStyle name="Input [yellow] 7" xfId="28"/>
    <cellStyle name="Input [yellow] 8" xfId="30"/>
    <cellStyle name="Input [yellow] 9" xfId="25"/>
    <cellStyle name="Normal" xfId="0" builtinId="0"/>
    <cellStyle name="Normal - Style1" xfId="8"/>
    <cellStyle name="Normal 2" xfId="12"/>
    <cellStyle name="Normal 2 2" xfId="17"/>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L264"/>
  <sheetViews>
    <sheetView showGridLines="0" zoomScaleNormal="100" workbookViewId="0">
      <selection sqref="A1:XFD1048576"/>
    </sheetView>
  </sheetViews>
  <sheetFormatPr defaultRowHeight="11.25"/>
  <cols>
    <col min="1" max="1" width="3.28515625" style="1198" customWidth="1"/>
    <col min="2" max="2" width="10.7109375" style="1289" customWidth="1"/>
    <col min="3" max="3" width="4.85546875" style="1289" customWidth="1"/>
    <col min="4" max="4" width="8.5703125" style="1289" customWidth="1"/>
    <col min="5" max="5" width="4.28515625" style="1290" customWidth="1"/>
    <col min="6" max="8" width="33.85546875" style="1198" customWidth="1"/>
    <col min="9" max="9" width="4" style="1288" hidden="1" customWidth="1"/>
    <col min="10" max="10" width="6.42578125" style="1198" hidden="1" customWidth="1"/>
    <col min="11" max="11" width="9.7109375" style="1198" hidden="1" customWidth="1"/>
    <col min="12" max="12" width="3.42578125" style="1198" customWidth="1"/>
    <col min="13" max="16384" width="9.140625" style="1198"/>
  </cols>
  <sheetData>
    <row r="1" spans="1:12" s="1197" customFormat="1" ht="15.75">
      <c r="A1" s="1451" t="str">
        <f>CONCATENATE("2014 Application Tabs Checklist for:  ",'Part I-Project Information'!F23, ",  ",'Part I-Project Information'!F27, ",  ",'Part I-Project Information'!J28, " County")</f>
        <v>2014 Application Tabs Checklist for:  North Grove Apartments,  Athens,  Clarke County</v>
      </c>
      <c r="B1" s="1452"/>
      <c r="C1" s="1452"/>
      <c r="D1" s="1452"/>
      <c r="E1" s="1452"/>
      <c r="F1" s="1452"/>
      <c r="G1" s="1452"/>
      <c r="H1" s="1452"/>
      <c r="I1" s="1452"/>
      <c r="J1" s="1452"/>
      <c r="K1" s="1452"/>
      <c r="L1" s="1453"/>
    </row>
    <row r="2" spans="1:12" ht="26.25" customHeight="1">
      <c r="A2" s="1454" t="s">
        <v>3160</v>
      </c>
      <c r="B2" s="1454"/>
      <c r="C2" s="1454"/>
      <c r="D2" s="1454"/>
      <c r="E2" s="1454"/>
      <c r="F2" s="1454"/>
      <c r="G2" s="1454"/>
      <c r="H2" s="1454"/>
      <c r="I2" s="1454"/>
      <c r="J2" s="1454"/>
      <c r="K2" s="1454"/>
      <c r="L2" s="1454"/>
    </row>
    <row r="3" spans="1:12" s="1202" customFormat="1" ht="12" customHeight="1">
      <c r="A3" s="1455" t="s">
        <v>3023</v>
      </c>
      <c r="B3" s="1199"/>
      <c r="C3" s="1199"/>
      <c r="D3" s="1199"/>
      <c r="E3" s="1457" t="s">
        <v>3024</v>
      </c>
      <c r="F3" s="1200"/>
      <c r="G3" s="1200"/>
      <c r="H3" s="1200"/>
      <c r="I3" s="1201"/>
      <c r="J3" s="1200"/>
      <c r="K3" s="1200"/>
      <c r="L3" s="1457" t="s">
        <v>3025</v>
      </c>
    </row>
    <row r="4" spans="1:12" s="1202" customFormat="1" ht="12.75" thickBot="1">
      <c r="A4" s="1456"/>
      <c r="B4" s="1203" t="s">
        <v>3026</v>
      </c>
      <c r="C4" s="1203"/>
      <c r="D4" s="1203"/>
      <c r="E4" s="1458"/>
      <c r="F4" s="1203" t="s">
        <v>3178</v>
      </c>
      <c r="G4" s="1204"/>
      <c r="H4" s="1204"/>
      <c r="I4" s="1203" t="s">
        <v>3027</v>
      </c>
      <c r="J4" s="1204"/>
      <c r="K4" s="1204"/>
      <c r="L4" s="1458"/>
    </row>
    <row r="5" spans="1:12" s="1208" customFormat="1" ht="11.25" customHeight="1">
      <c r="A5" s="1205"/>
      <c r="B5" s="1206"/>
      <c r="C5" s="1206"/>
      <c r="D5" s="1206"/>
      <c r="E5" s="1207"/>
      <c r="F5" s="1208" t="s">
        <v>3028</v>
      </c>
      <c r="I5" s="1209"/>
      <c r="L5" s="1210" t="s">
        <v>3698</v>
      </c>
    </row>
    <row r="6" spans="1:12" s="1208" customFormat="1" ht="11.25" customHeight="1">
      <c r="A6" s="1211" t="s">
        <v>3029</v>
      </c>
      <c r="B6" s="1206" t="s">
        <v>1516</v>
      </c>
      <c r="C6" s="1206"/>
      <c r="D6" s="1206"/>
      <c r="E6" s="1212" t="s">
        <v>3029</v>
      </c>
      <c r="F6" s="1208" t="s">
        <v>3157</v>
      </c>
      <c r="I6" s="1209"/>
      <c r="L6" s="1213" t="s">
        <v>3698</v>
      </c>
    </row>
    <row r="7" spans="1:12" s="1208" customFormat="1" ht="11.25" customHeight="1">
      <c r="A7" s="1205"/>
      <c r="B7" s="1206"/>
      <c r="C7" s="1206"/>
      <c r="D7" s="1206"/>
      <c r="E7" s="1214" t="s">
        <v>2936</v>
      </c>
      <c r="F7" s="1208" t="s">
        <v>3030</v>
      </c>
      <c r="I7" s="1209"/>
      <c r="L7" s="1213" t="s">
        <v>3698</v>
      </c>
    </row>
    <row r="8" spans="1:12" s="1208" customFormat="1" ht="11.25" customHeight="1">
      <c r="A8" s="1205"/>
      <c r="B8" s="1206"/>
      <c r="C8" s="1206"/>
      <c r="D8" s="1206"/>
      <c r="E8" s="1214" t="s">
        <v>2934</v>
      </c>
      <c r="F8" s="1208" t="s">
        <v>452</v>
      </c>
      <c r="I8" s="1209"/>
      <c r="L8" s="1213" t="s">
        <v>3699</v>
      </c>
    </row>
    <row r="9" spans="1:12" s="1208" customFormat="1" ht="11.25" customHeight="1">
      <c r="A9" s="1205"/>
      <c r="B9" s="1206"/>
      <c r="C9" s="1206"/>
      <c r="D9" s="1206"/>
      <c r="E9" s="1214" t="s">
        <v>2935</v>
      </c>
      <c r="F9" s="1208" t="s">
        <v>2910</v>
      </c>
      <c r="I9" s="1209"/>
      <c r="L9" s="1213" t="s">
        <v>3698</v>
      </c>
    </row>
    <row r="10" spans="1:12" s="1208" customFormat="1" ht="11.25" customHeight="1">
      <c r="A10" s="1205"/>
      <c r="B10" s="1206"/>
      <c r="C10" s="1206"/>
      <c r="D10" s="1206"/>
      <c r="E10" s="1214" t="s">
        <v>2937</v>
      </c>
      <c r="F10" s="1208" t="s">
        <v>2924</v>
      </c>
      <c r="I10" s="1209"/>
      <c r="J10" s="1215"/>
      <c r="L10" s="1213" t="s">
        <v>3698</v>
      </c>
    </row>
    <row r="11" spans="1:12" s="1208" customFormat="1" ht="11.25" customHeight="1">
      <c r="A11" s="1205"/>
      <c r="B11" s="1206"/>
      <c r="C11" s="1206"/>
      <c r="D11" s="1206"/>
      <c r="E11" s="1214" t="s">
        <v>2938</v>
      </c>
      <c r="F11" s="1208" t="s">
        <v>3031</v>
      </c>
      <c r="I11" s="1209"/>
      <c r="J11" s="1215"/>
      <c r="L11" s="1216" t="s">
        <v>3699</v>
      </c>
    </row>
    <row r="12" spans="1:12" s="1208" customFormat="1" ht="11.25" customHeight="1">
      <c r="A12" s="1205"/>
      <c r="B12" s="1206"/>
      <c r="C12" s="1206"/>
      <c r="D12" s="1206"/>
      <c r="E12" s="1217" t="s">
        <v>2939</v>
      </c>
      <c r="F12" s="1208" t="s">
        <v>3158</v>
      </c>
      <c r="I12" s="1209"/>
      <c r="J12" s="1215"/>
      <c r="L12" s="1216" t="s">
        <v>3699</v>
      </c>
    </row>
    <row r="13" spans="1:12" s="1208" customFormat="1" ht="11.25" customHeight="1">
      <c r="A13" s="1459" t="s">
        <v>3032</v>
      </c>
      <c r="B13" s="1459"/>
      <c r="C13" s="1459"/>
      <c r="D13" s="1459"/>
      <c r="E13" s="1459"/>
      <c r="F13" s="1459"/>
      <c r="G13" s="1459"/>
      <c r="H13" s="1459"/>
      <c r="I13" s="1459"/>
      <c r="J13" s="1459"/>
      <c r="K13" s="1459"/>
      <c r="L13" s="1459"/>
    </row>
    <row r="14" spans="1:12" s="1208" customFormat="1" ht="11.25" customHeight="1">
      <c r="A14" s="1218" t="s">
        <v>2936</v>
      </c>
      <c r="B14" s="1219" t="s">
        <v>3187</v>
      </c>
      <c r="C14" s="1219"/>
      <c r="D14" s="1220" t="s">
        <v>3188</v>
      </c>
      <c r="E14" s="1212" t="s">
        <v>2936</v>
      </c>
      <c r="F14" s="1221" t="s">
        <v>3033</v>
      </c>
      <c r="G14" s="1221"/>
      <c r="H14" s="1221"/>
      <c r="I14" s="1209"/>
      <c r="J14" s="1215"/>
      <c r="L14" s="1213" t="s">
        <v>3698</v>
      </c>
    </row>
    <row r="15" spans="1:12" s="1208" customFormat="1" ht="11.25" customHeight="1">
      <c r="A15" s="1205"/>
      <c r="C15" s="1222"/>
      <c r="D15" s="1206" t="s">
        <v>3034</v>
      </c>
      <c r="E15" s="1214" t="s">
        <v>2934</v>
      </c>
      <c r="F15" s="1460" t="s">
        <v>3035</v>
      </c>
      <c r="G15" s="1460"/>
      <c r="H15" s="1460"/>
      <c r="I15" s="1223" t="s">
        <v>3130</v>
      </c>
      <c r="J15" s="1224" t="s">
        <v>3131</v>
      </c>
      <c r="K15" s="1224" t="s">
        <v>3132</v>
      </c>
      <c r="L15" s="1213" t="s">
        <v>3699</v>
      </c>
    </row>
    <row r="16" spans="1:12" s="1208" customFormat="1" ht="11.25" customHeight="1">
      <c r="A16" s="1205"/>
      <c r="C16" s="1222"/>
      <c r="D16" s="1206"/>
      <c r="E16" s="1214"/>
      <c r="F16" s="1460"/>
      <c r="G16" s="1460"/>
      <c r="H16" s="1460"/>
      <c r="I16" s="1223" t="s">
        <v>3038</v>
      </c>
      <c r="J16" s="1224" t="s">
        <v>2120</v>
      </c>
      <c r="K16" s="1224" t="s">
        <v>3133</v>
      </c>
    </row>
    <row r="17" spans="1:12" s="1208" customFormat="1" ht="11.25" customHeight="1">
      <c r="A17" s="1205"/>
      <c r="C17" s="1222"/>
      <c r="D17" s="1206" t="s">
        <v>3036</v>
      </c>
      <c r="E17" s="1214" t="s">
        <v>2935</v>
      </c>
      <c r="F17" s="1215" t="s">
        <v>3164</v>
      </c>
      <c r="G17" s="1225"/>
      <c r="H17" s="1225"/>
      <c r="I17" s="1223"/>
      <c r="J17" s="1224"/>
      <c r="K17" s="1226"/>
      <c r="L17" s="1213" t="s">
        <v>3698</v>
      </c>
    </row>
    <row r="18" spans="1:12" s="1208" customFormat="1" ht="11.25" customHeight="1">
      <c r="A18" s="1205"/>
      <c r="C18" s="1222"/>
      <c r="D18" s="1206"/>
      <c r="E18" s="1227"/>
      <c r="F18" s="1208" t="s">
        <v>3165</v>
      </c>
      <c r="I18" s="1228"/>
      <c r="J18" s="1229"/>
      <c r="K18" s="1226"/>
      <c r="L18" s="1213" t="s">
        <v>3698</v>
      </c>
    </row>
    <row r="19" spans="1:12" s="1208" customFormat="1" ht="11.25" customHeight="1">
      <c r="A19" s="1205"/>
      <c r="C19" s="1222"/>
      <c r="D19" s="1206" t="s">
        <v>3037</v>
      </c>
      <c r="E19" s="1214" t="s">
        <v>2937</v>
      </c>
      <c r="F19" s="1208" t="s">
        <v>3166</v>
      </c>
      <c r="I19" s="1223" t="s">
        <v>3606</v>
      </c>
      <c r="J19" s="1224" t="s">
        <v>3043</v>
      </c>
      <c r="K19" s="1224" t="s">
        <v>3044</v>
      </c>
      <c r="L19" s="1213" t="s">
        <v>3698</v>
      </c>
    </row>
    <row r="20" spans="1:12" s="1208" customFormat="1" ht="11.25" customHeight="1">
      <c r="A20" s="1205"/>
      <c r="C20" s="1222"/>
      <c r="D20" s="1206"/>
      <c r="E20" s="1227"/>
      <c r="F20" s="1208" t="s">
        <v>3167</v>
      </c>
      <c r="L20" s="1213" t="s">
        <v>3699</v>
      </c>
    </row>
    <row r="21" spans="1:12" s="1208" customFormat="1" ht="11.25" customHeight="1">
      <c r="A21" s="1205"/>
      <c r="C21" s="1222"/>
      <c r="D21" s="1206"/>
      <c r="E21" s="1227"/>
      <c r="F21" s="1208" t="s">
        <v>3168</v>
      </c>
      <c r="I21" s="1209"/>
      <c r="J21" s="1215"/>
      <c r="L21" s="1213" t="s">
        <v>3699</v>
      </c>
    </row>
    <row r="22" spans="1:12" s="1208" customFormat="1" ht="11.25" customHeight="1">
      <c r="A22" s="1205"/>
      <c r="C22" s="1222"/>
      <c r="D22" s="1206"/>
      <c r="E22" s="1227"/>
      <c r="F22" s="1208" t="s">
        <v>3169</v>
      </c>
      <c r="I22" s="1209"/>
      <c r="J22" s="1215"/>
      <c r="L22" s="1213" t="s">
        <v>3699</v>
      </c>
    </row>
    <row r="23" spans="1:12" s="1208" customFormat="1" ht="11.25" customHeight="1">
      <c r="A23" s="1205"/>
      <c r="C23" s="1222"/>
      <c r="D23" s="1206"/>
      <c r="E23" s="1227"/>
      <c r="F23" s="1208" t="s">
        <v>3604</v>
      </c>
      <c r="I23" s="1209"/>
      <c r="J23" s="1215"/>
      <c r="L23" s="1213" t="s">
        <v>3699</v>
      </c>
    </row>
    <row r="24" spans="1:12" s="1208" customFormat="1" ht="11.25" customHeight="1">
      <c r="A24" s="1205"/>
      <c r="C24" s="1222"/>
      <c r="D24" s="1206" t="s">
        <v>3039</v>
      </c>
      <c r="E24" s="1214" t="s">
        <v>2938</v>
      </c>
      <c r="F24" s="1208" t="s">
        <v>3170</v>
      </c>
      <c r="I24" s="1209"/>
      <c r="J24" s="1215"/>
      <c r="L24" s="1213" t="s">
        <v>3699</v>
      </c>
    </row>
    <row r="25" spans="1:12" s="1208" customFormat="1" ht="11.25" customHeight="1">
      <c r="A25" s="1205"/>
      <c r="B25" s="1230"/>
      <c r="C25" s="1230"/>
      <c r="D25" s="1230"/>
      <c r="E25" s="1227"/>
      <c r="F25" s="1208" t="s">
        <v>3408</v>
      </c>
      <c r="I25" s="1209"/>
      <c r="J25" s="1215"/>
      <c r="L25" s="1213" t="s">
        <v>3699</v>
      </c>
    </row>
    <row r="26" spans="1:12" s="1208" customFormat="1" ht="11.25" customHeight="1">
      <c r="A26" s="1205"/>
      <c r="B26" s="1230"/>
      <c r="C26" s="1230"/>
      <c r="D26" s="1230"/>
      <c r="E26" s="1227"/>
      <c r="F26" s="1208" t="s">
        <v>3409</v>
      </c>
      <c r="I26" s="1209"/>
      <c r="J26" s="1215"/>
      <c r="L26" s="1213" t="s">
        <v>3699</v>
      </c>
    </row>
    <row r="27" spans="1:12" s="1208" customFormat="1" ht="11.25" customHeight="1">
      <c r="A27" s="1205"/>
      <c r="B27" s="1230"/>
      <c r="C27" s="1230"/>
      <c r="D27" s="1230"/>
      <c r="E27" s="1227"/>
      <c r="F27" s="1208" t="s">
        <v>3410</v>
      </c>
      <c r="I27" s="1209"/>
      <c r="J27" s="1215"/>
      <c r="L27" s="1213" t="s">
        <v>3699</v>
      </c>
    </row>
    <row r="28" spans="1:12" s="1208" customFormat="1" ht="11.25" customHeight="1">
      <c r="A28" s="1205"/>
      <c r="B28" s="1230"/>
      <c r="C28" s="1230"/>
      <c r="D28" s="1230"/>
      <c r="E28" s="1214" t="s">
        <v>2939</v>
      </c>
      <c r="F28" s="1208" t="s">
        <v>3040</v>
      </c>
      <c r="I28" s="1209"/>
      <c r="J28" s="1215"/>
      <c r="L28" s="1213" t="s">
        <v>3698</v>
      </c>
    </row>
    <row r="29" spans="1:12" s="1208" customFormat="1" ht="11.25" customHeight="1">
      <c r="A29" s="1205"/>
      <c r="B29" s="1230"/>
      <c r="C29" s="1230"/>
      <c r="D29" s="1230"/>
      <c r="E29" s="1214" t="s">
        <v>2940</v>
      </c>
      <c r="F29" s="1208" t="s">
        <v>3041</v>
      </c>
      <c r="I29" s="1209"/>
      <c r="J29" s="1215"/>
      <c r="L29" s="1213" t="s">
        <v>3698</v>
      </c>
    </row>
    <row r="30" spans="1:12" s="1208" customFormat="1" ht="11.25" customHeight="1">
      <c r="A30" s="1218" t="s">
        <v>2934</v>
      </c>
      <c r="B30" s="1220" t="s">
        <v>3042</v>
      </c>
      <c r="C30" s="1220"/>
      <c r="D30" s="1220"/>
      <c r="E30" s="1212" t="s">
        <v>2936</v>
      </c>
      <c r="F30" s="1461" t="s">
        <v>3045</v>
      </c>
      <c r="G30" s="1461"/>
      <c r="H30" s="1461"/>
      <c r="I30" s="1231" t="s">
        <v>3606</v>
      </c>
      <c r="J30" s="1232" t="s">
        <v>3043</v>
      </c>
      <c r="K30" s="1233" t="s">
        <v>3044</v>
      </c>
      <c r="L30" s="1213" t="s">
        <v>3699</v>
      </c>
    </row>
    <row r="31" spans="1:12" s="1208" customFormat="1" ht="11.25" customHeight="1">
      <c r="A31" s="1218" t="s">
        <v>2935</v>
      </c>
      <c r="B31" s="1220" t="s">
        <v>3189</v>
      </c>
      <c r="C31" s="1220"/>
      <c r="D31" s="1220" t="s">
        <v>3076</v>
      </c>
      <c r="E31" s="1212" t="s">
        <v>2936</v>
      </c>
      <c r="F31" s="1221" t="s">
        <v>3046</v>
      </c>
      <c r="G31" s="1221"/>
      <c r="H31" s="1221"/>
      <c r="I31" s="1231"/>
      <c r="J31" s="1232"/>
      <c r="K31" s="1233"/>
      <c r="L31" s="1213" t="s">
        <v>3699</v>
      </c>
    </row>
    <row r="32" spans="1:12" s="1208" customFormat="1" ht="11.25" customHeight="1">
      <c r="A32" s="1218" t="s">
        <v>2937</v>
      </c>
      <c r="B32" s="1220" t="s">
        <v>3190</v>
      </c>
      <c r="C32" s="1220"/>
      <c r="D32" s="1220" t="s">
        <v>3073</v>
      </c>
      <c r="E32" s="1212" t="s">
        <v>2936</v>
      </c>
      <c r="F32" s="1221" t="s">
        <v>3047</v>
      </c>
      <c r="G32" s="1221"/>
      <c r="H32" s="1221"/>
      <c r="I32" s="1231"/>
      <c r="J32" s="1232"/>
      <c r="K32" s="1233"/>
      <c r="L32" s="1213" t="s">
        <v>3699</v>
      </c>
    </row>
    <row r="33" spans="1:12" s="1208" customFormat="1" ht="11.25" customHeight="1">
      <c r="A33" s="1205"/>
      <c r="B33" s="1222"/>
      <c r="C33" s="1222"/>
      <c r="D33" s="1206" t="s">
        <v>3048</v>
      </c>
      <c r="E33" s="1214" t="s">
        <v>2934</v>
      </c>
      <c r="F33" s="1226" t="s">
        <v>3049</v>
      </c>
      <c r="I33" s="1209"/>
      <c r="J33" s="1215"/>
      <c r="L33" s="1213" t="s">
        <v>3699</v>
      </c>
    </row>
    <row r="34" spans="1:12" s="1208" customFormat="1" ht="11.25" customHeight="1">
      <c r="A34" s="1218" t="s">
        <v>2938</v>
      </c>
      <c r="B34" s="1220" t="s">
        <v>3050</v>
      </c>
      <c r="C34" s="1220"/>
      <c r="D34" s="1220"/>
      <c r="E34" s="1212" t="s">
        <v>2936</v>
      </c>
      <c r="F34" s="1221" t="s">
        <v>481</v>
      </c>
      <c r="G34" s="1221"/>
      <c r="H34" s="1221"/>
      <c r="I34" s="1231" t="s">
        <v>381</v>
      </c>
      <c r="J34" s="1232"/>
      <c r="K34" s="1233" t="s">
        <v>3051</v>
      </c>
      <c r="L34" s="1213" t="s">
        <v>3698</v>
      </c>
    </row>
    <row r="35" spans="1:12" s="1208" customFormat="1" ht="11.25" customHeight="1">
      <c r="A35" s="1218" t="s">
        <v>2939</v>
      </c>
      <c r="B35" s="1220" t="s">
        <v>3191</v>
      </c>
      <c r="C35" s="1220"/>
      <c r="D35" s="1220" t="s">
        <v>3048</v>
      </c>
      <c r="E35" s="1212" t="s">
        <v>2936</v>
      </c>
      <c r="F35" s="1221" t="s">
        <v>3052</v>
      </c>
      <c r="G35" s="1221"/>
      <c r="H35" s="1221"/>
      <c r="I35" s="1231"/>
      <c r="J35" s="1232"/>
      <c r="K35" s="1233"/>
      <c r="L35" s="1213" t="s">
        <v>3699</v>
      </c>
    </row>
    <row r="36" spans="1:12" s="1208" customFormat="1" ht="11.25" customHeight="1">
      <c r="A36" s="1218" t="s">
        <v>2940</v>
      </c>
      <c r="B36" s="1220" t="s">
        <v>3192</v>
      </c>
      <c r="C36" s="1220"/>
      <c r="D36" s="1220" t="s">
        <v>3193</v>
      </c>
      <c r="E36" s="1212" t="s">
        <v>2936</v>
      </c>
      <c r="F36" s="1221" t="s">
        <v>3053</v>
      </c>
      <c r="G36" s="1221"/>
      <c r="H36" s="1221"/>
      <c r="I36" s="1231"/>
      <c r="J36" s="1232"/>
      <c r="K36" s="1233"/>
      <c r="L36" s="1213" t="s">
        <v>3698</v>
      </c>
    </row>
    <row r="37" spans="1:12" s="1208" customFormat="1" ht="11.25" customHeight="1">
      <c r="B37" s="1462" t="s">
        <v>3194</v>
      </c>
      <c r="C37" s="1462"/>
      <c r="D37" s="1234"/>
      <c r="E37" s="1214" t="s">
        <v>2934</v>
      </c>
      <c r="F37" s="1208" t="s">
        <v>3054</v>
      </c>
      <c r="I37" s="1209"/>
      <c r="J37" s="1215"/>
      <c r="L37" s="1213" t="s">
        <v>3698</v>
      </c>
    </row>
    <row r="38" spans="1:12" s="1208" customFormat="1" ht="11.25" customHeight="1">
      <c r="B38" s="1462"/>
      <c r="C38" s="1462"/>
      <c r="D38" s="1234"/>
      <c r="E38" s="1214" t="s">
        <v>2935</v>
      </c>
      <c r="F38" s="1208" t="s">
        <v>3055</v>
      </c>
      <c r="I38" s="1209"/>
      <c r="J38" s="1215"/>
      <c r="L38" s="1213" t="s">
        <v>3699</v>
      </c>
    </row>
    <row r="39" spans="1:12" s="1208" customFormat="1" ht="11.25" customHeight="1">
      <c r="B39" s="1462"/>
      <c r="C39" s="1462"/>
      <c r="D39" s="1205"/>
      <c r="E39" s="1235" t="s">
        <v>2937</v>
      </c>
      <c r="F39" s="1463" t="s">
        <v>3159</v>
      </c>
      <c r="G39" s="1463"/>
      <c r="H39" s="1463"/>
      <c r="I39" s="1463"/>
      <c r="J39" s="1463"/>
      <c r="K39" s="1464"/>
      <c r="L39" s="1213" t="s">
        <v>3699</v>
      </c>
    </row>
    <row r="40" spans="1:12" s="1208" customFormat="1" ht="11.25" customHeight="1">
      <c r="A40" s="1218" t="s">
        <v>3141</v>
      </c>
      <c r="B40" s="1236" t="s">
        <v>3056</v>
      </c>
      <c r="C40" s="1236"/>
      <c r="D40" s="1236"/>
      <c r="E40" s="1212" t="s">
        <v>2936</v>
      </c>
      <c r="F40" s="1465" t="s">
        <v>3605</v>
      </c>
      <c r="G40" s="1465"/>
      <c r="H40" s="1465"/>
      <c r="I40" s="1231"/>
      <c r="J40" s="1232"/>
      <c r="K40" s="1233"/>
      <c r="L40" s="1213" t="s">
        <v>3698</v>
      </c>
    </row>
    <row r="41" spans="1:12" s="1208" customFormat="1" ht="11.25" customHeight="1">
      <c r="A41" s="1205"/>
      <c r="B41" s="1206"/>
      <c r="C41" s="1206"/>
      <c r="D41" s="1206"/>
      <c r="E41" s="1214" t="s">
        <v>2934</v>
      </c>
      <c r="F41" s="1208" t="s">
        <v>3624</v>
      </c>
      <c r="I41" s="1223" t="s">
        <v>3606</v>
      </c>
      <c r="J41" s="1224" t="s">
        <v>3607</v>
      </c>
      <c r="K41" s="1224" t="s">
        <v>3044</v>
      </c>
      <c r="L41" s="1213" t="s">
        <v>3699</v>
      </c>
    </row>
    <row r="42" spans="1:12" s="1208" customFormat="1" ht="11.25" customHeight="1">
      <c r="A42" s="1205"/>
      <c r="B42" s="1206"/>
      <c r="C42" s="1206"/>
      <c r="D42" s="1206"/>
      <c r="E42" s="1214" t="s">
        <v>2935</v>
      </c>
      <c r="F42" s="1208" t="s">
        <v>3411</v>
      </c>
      <c r="I42" s="1209"/>
      <c r="J42" s="1215"/>
      <c r="L42" s="1213" t="s">
        <v>3698</v>
      </c>
    </row>
    <row r="43" spans="1:12" s="1208" customFormat="1" ht="11.25" customHeight="1">
      <c r="A43" s="1237"/>
      <c r="B43" s="1238"/>
      <c r="C43" s="1238"/>
      <c r="D43" s="1238"/>
      <c r="E43" s="1235" t="s">
        <v>2937</v>
      </c>
      <c r="F43" s="1239" t="s">
        <v>3057</v>
      </c>
      <c r="G43" s="1239"/>
      <c r="H43" s="1239"/>
      <c r="I43" s="1209"/>
      <c r="J43" s="1215"/>
      <c r="L43" s="1213" t="s">
        <v>3698</v>
      </c>
    </row>
    <row r="44" spans="1:12" s="1208" customFormat="1" ht="11.25" customHeight="1">
      <c r="A44" s="1240" t="s">
        <v>3142</v>
      </c>
      <c r="B44" s="1241" t="s">
        <v>3058</v>
      </c>
      <c r="C44" s="1241"/>
      <c r="D44" s="1241"/>
      <c r="E44" s="1214" t="s">
        <v>2936</v>
      </c>
      <c r="F44" s="1242" t="s">
        <v>3059</v>
      </c>
      <c r="G44" s="1242"/>
      <c r="H44" s="1242"/>
      <c r="I44" s="1231"/>
      <c r="J44" s="1232"/>
      <c r="K44" s="1233"/>
      <c r="L44" s="1213" t="s">
        <v>3698</v>
      </c>
    </row>
    <row r="45" spans="1:12" s="1208" customFormat="1" ht="11.25" customHeight="1">
      <c r="A45" s="1240"/>
      <c r="B45" s="1241"/>
      <c r="C45" s="1241"/>
      <c r="D45" s="1241"/>
      <c r="E45" s="1214" t="s">
        <v>2934</v>
      </c>
      <c r="F45" s="1242" t="s">
        <v>3412</v>
      </c>
      <c r="G45" s="1242"/>
      <c r="H45" s="1242"/>
      <c r="I45" s="1243"/>
      <c r="J45" s="1244"/>
      <c r="K45" s="1245"/>
      <c r="L45" s="1213" t="s">
        <v>3699</v>
      </c>
    </row>
    <row r="46" spans="1:12" s="1208" customFormat="1" ht="11.25" customHeight="1">
      <c r="A46" s="1246"/>
      <c r="B46" s="1238"/>
      <c r="C46" s="1238"/>
      <c r="D46" s="1238"/>
      <c r="E46" s="1214" t="s">
        <v>2935</v>
      </c>
      <c r="F46" s="1239" t="s">
        <v>3413</v>
      </c>
      <c r="G46" s="1239"/>
      <c r="H46" s="1239"/>
      <c r="I46" s="1247"/>
      <c r="J46" s="1248"/>
      <c r="K46" s="1249"/>
      <c r="L46" s="1213" t="s">
        <v>3699</v>
      </c>
    </row>
    <row r="47" spans="1:12" s="1208" customFormat="1" ht="11.25" customHeight="1">
      <c r="A47" s="1219">
        <v>10</v>
      </c>
      <c r="B47" s="1220" t="s">
        <v>3060</v>
      </c>
      <c r="C47" s="1220"/>
      <c r="D47" s="1220"/>
      <c r="E47" s="1212" t="s">
        <v>2936</v>
      </c>
      <c r="F47" s="1221" t="s">
        <v>3625</v>
      </c>
      <c r="G47" s="1221"/>
      <c r="H47" s="1221"/>
      <c r="I47" s="1231"/>
      <c r="J47" s="1232"/>
      <c r="K47" s="1233"/>
      <c r="L47" s="1213" t="s">
        <v>3698</v>
      </c>
    </row>
    <row r="48" spans="1:12" s="1208" customFormat="1" ht="11.25" customHeight="1">
      <c r="A48" s="1205"/>
      <c r="B48" s="1206"/>
      <c r="C48" s="1206"/>
      <c r="D48" s="1206"/>
      <c r="E48" s="1214" t="s">
        <v>2934</v>
      </c>
      <c r="F48" s="1208" t="s">
        <v>3414</v>
      </c>
      <c r="I48" s="1209"/>
      <c r="J48" s="1215"/>
      <c r="L48" s="1213" t="s">
        <v>3698</v>
      </c>
    </row>
    <row r="49" spans="1:12" s="1208" customFormat="1" ht="11.25" customHeight="1">
      <c r="A49" s="1205"/>
      <c r="B49" s="1206"/>
      <c r="C49" s="1206"/>
      <c r="D49" s="1206"/>
      <c r="E49" s="1214" t="s">
        <v>2935</v>
      </c>
      <c r="F49" s="1208" t="s">
        <v>3415</v>
      </c>
      <c r="I49" s="1209"/>
      <c r="J49" s="1215"/>
      <c r="L49" s="1213" t="s">
        <v>3699</v>
      </c>
    </row>
    <row r="50" spans="1:12" s="1208" customFormat="1" ht="11.25" customHeight="1">
      <c r="A50" s="1205"/>
      <c r="B50" s="1206"/>
      <c r="C50" s="1206"/>
      <c r="D50" s="1206"/>
      <c r="E50" s="1214" t="s">
        <v>2937</v>
      </c>
      <c r="F50" s="1208" t="s">
        <v>3061</v>
      </c>
      <c r="I50" s="1209"/>
      <c r="J50" s="1215"/>
      <c r="L50" s="1213" t="s">
        <v>3698</v>
      </c>
    </row>
    <row r="51" spans="1:12" s="1208" customFormat="1" ht="11.25" customHeight="1">
      <c r="A51" s="1219">
        <v>11</v>
      </c>
      <c r="B51" s="1220" t="s">
        <v>3062</v>
      </c>
      <c r="C51" s="1220"/>
      <c r="D51" s="1220"/>
      <c r="E51" s="1212" t="s">
        <v>2936</v>
      </c>
      <c r="F51" s="1221" t="s">
        <v>3063</v>
      </c>
      <c r="G51" s="1221"/>
      <c r="H51" s="1221"/>
      <c r="I51" s="1231"/>
      <c r="J51" s="1232"/>
      <c r="K51" s="1233"/>
      <c r="L51" s="1213" t="s">
        <v>3698</v>
      </c>
    </row>
    <row r="52" spans="1:12" s="1208" customFormat="1" ht="11.25" customHeight="1">
      <c r="A52" s="1219">
        <v>12</v>
      </c>
      <c r="B52" s="1220" t="s">
        <v>3064</v>
      </c>
      <c r="C52" s="1220"/>
      <c r="D52" s="1220"/>
      <c r="E52" s="1212" t="s">
        <v>2936</v>
      </c>
      <c r="F52" s="1221" t="s">
        <v>3065</v>
      </c>
      <c r="G52" s="1221"/>
      <c r="H52" s="1221"/>
      <c r="I52" s="1231"/>
      <c r="J52" s="1232"/>
      <c r="K52" s="1233"/>
      <c r="L52" s="1213" t="s">
        <v>3698</v>
      </c>
    </row>
    <row r="53" spans="1:12" s="1208" customFormat="1" ht="11.25" customHeight="1">
      <c r="A53" s="1205"/>
      <c r="B53" s="1206"/>
      <c r="C53" s="1206"/>
      <c r="D53" s="1206"/>
      <c r="E53" s="1214" t="s">
        <v>2934</v>
      </c>
      <c r="F53" s="1208" t="s">
        <v>3066</v>
      </c>
      <c r="I53" s="1209"/>
      <c r="J53" s="1215"/>
      <c r="L53" s="1213" t="s">
        <v>3699</v>
      </c>
    </row>
    <row r="54" spans="1:12" s="1208" customFormat="1" ht="11.25" customHeight="1">
      <c r="A54" s="1205"/>
      <c r="B54" s="1206"/>
      <c r="C54" s="1206"/>
      <c r="D54" s="1206"/>
      <c r="E54" s="1214" t="s">
        <v>2935</v>
      </c>
      <c r="F54" s="1208" t="s">
        <v>3067</v>
      </c>
      <c r="I54" s="1209"/>
      <c r="J54" s="1215"/>
      <c r="L54" s="1213" t="s">
        <v>3699</v>
      </c>
    </row>
    <row r="55" spans="1:12" s="1208" customFormat="1" ht="11.25" customHeight="1">
      <c r="A55" s="1219">
        <v>13</v>
      </c>
      <c r="B55" s="1220" t="s">
        <v>3068</v>
      </c>
      <c r="C55" s="1220"/>
      <c r="D55" s="1220"/>
      <c r="E55" s="1212" t="s">
        <v>2936</v>
      </c>
      <c r="F55" s="1221" t="s">
        <v>3416</v>
      </c>
      <c r="G55" s="1221"/>
      <c r="H55" s="1221"/>
      <c r="I55" s="1231"/>
      <c r="J55" s="1232"/>
      <c r="K55" s="1233"/>
      <c r="L55" s="1213" t="s">
        <v>3698</v>
      </c>
    </row>
    <row r="56" spans="1:12" s="1208" customFormat="1" ht="11.25" customHeight="1">
      <c r="A56" s="1205"/>
      <c r="B56" s="1206"/>
      <c r="C56" s="1206"/>
      <c r="D56" s="1206"/>
      <c r="E56" s="1214" t="s">
        <v>2934</v>
      </c>
      <c r="F56" s="1208" t="s">
        <v>3417</v>
      </c>
      <c r="I56" s="1209"/>
      <c r="J56" s="1215"/>
      <c r="L56" s="1213" t="s">
        <v>3698</v>
      </c>
    </row>
    <row r="57" spans="1:12" s="1208" customFormat="1" ht="11.25" customHeight="1">
      <c r="A57" s="1205"/>
      <c r="B57" s="1206"/>
      <c r="C57" s="1206"/>
      <c r="D57" s="1206"/>
      <c r="E57" s="1214" t="s">
        <v>2935</v>
      </c>
      <c r="F57" s="1208" t="s">
        <v>3069</v>
      </c>
      <c r="I57" s="1209"/>
      <c r="J57" s="1215"/>
      <c r="L57" s="1213" t="s">
        <v>3699</v>
      </c>
    </row>
    <row r="58" spans="1:12" s="1208" customFormat="1" ht="11.25" customHeight="1">
      <c r="A58" s="1219">
        <v>14</v>
      </c>
      <c r="B58" s="1220" t="s">
        <v>3070</v>
      </c>
      <c r="C58" s="1220"/>
      <c r="D58" s="1220"/>
      <c r="E58" s="1212" t="s">
        <v>2936</v>
      </c>
      <c r="F58" s="1221" t="s">
        <v>3071</v>
      </c>
      <c r="G58" s="1221"/>
      <c r="H58" s="1221"/>
      <c r="I58" s="1231"/>
      <c r="J58" s="1232"/>
      <c r="K58" s="1233"/>
      <c r="L58" s="1213" t="s">
        <v>3699</v>
      </c>
    </row>
    <row r="59" spans="1:12" s="1208" customFormat="1" ht="11.25" customHeight="1">
      <c r="A59" s="1219">
        <v>15</v>
      </c>
      <c r="B59" s="1220" t="s">
        <v>3072</v>
      </c>
      <c r="C59" s="1220"/>
      <c r="D59" s="1220" t="s">
        <v>3073</v>
      </c>
      <c r="E59" s="1212" t="s">
        <v>2936</v>
      </c>
      <c r="F59" s="1221" t="s">
        <v>3074</v>
      </c>
      <c r="G59" s="1221"/>
      <c r="H59" s="1221"/>
      <c r="I59" s="1231"/>
      <c r="J59" s="1232"/>
      <c r="K59" s="1233"/>
      <c r="L59" s="1213" t="s">
        <v>3699</v>
      </c>
    </row>
    <row r="60" spans="1:12" s="1208" customFormat="1" ht="11.25" customHeight="1">
      <c r="A60" s="1205"/>
      <c r="B60" s="1222"/>
      <c r="C60" s="1222"/>
      <c r="D60" s="1206" t="s">
        <v>3048</v>
      </c>
      <c r="E60" s="1214" t="s">
        <v>2934</v>
      </c>
      <c r="F60" s="1208" t="s">
        <v>3075</v>
      </c>
      <c r="I60" s="1209"/>
      <c r="J60" s="1215"/>
      <c r="L60" s="1213" t="s">
        <v>3698</v>
      </c>
    </row>
    <row r="61" spans="1:12" s="1208" customFormat="1" ht="11.25" customHeight="1">
      <c r="A61" s="1205"/>
      <c r="B61" s="1222"/>
      <c r="C61" s="1222"/>
      <c r="D61" s="1206" t="s">
        <v>3076</v>
      </c>
      <c r="E61" s="1214" t="s">
        <v>2935</v>
      </c>
      <c r="F61" s="1208" t="s">
        <v>3077</v>
      </c>
      <c r="I61" s="1209"/>
      <c r="J61" s="1215"/>
      <c r="L61" s="1213" t="s">
        <v>3698</v>
      </c>
    </row>
    <row r="62" spans="1:12" s="1208" customFormat="1" ht="11.25" customHeight="1">
      <c r="A62" s="1219">
        <v>16</v>
      </c>
      <c r="B62" s="1449" t="s">
        <v>3078</v>
      </c>
      <c r="C62" s="1449"/>
      <c r="D62" s="1220"/>
      <c r="E62" s="1212" t="s">
        <v>2936</v>
      </c>
      <c r="F62" s="1221" t="s">
        <v>3079</v>
      </c>
      <c r="G62" s="1221"/>
      <c r="H62" s="1221"/>
      <c r="I62" s="1231"/>
      <c r="J62" s="1232"/>
      <c r="K62" s="1233"/>
      <c r="L62" s="1213" t="s">
        <v>3698</v>
      </c>
    </row>
    <row r="63" spans="1:12" s="1208" customFormat="1" ht="11.25" customHeight="1">
      <c r="A63" s="1205"/>
      <c r="B63" s="1450"/>
      <c r="C63" s="1450"/>
      <c r="D63" s="1206"/>
      <c r="E63" s="1214" t="s">
        <v>2934</v>
      </c>
      <c r="F63" s="1208" t="s">
        <v>3080</v>
      </c>
      <c r="I63" s="1209"/>
      <c r="J63" s="1215"/>
      <c r="L63" s="1213" t="s">
        <v>3698</v>
      </c>
    </row>
    <row r="64" spans="1:12" s="1208" customFormat="1" ht="11.25" customHeight="1">
      <c r="A64" s="1205"/>
      <c r="B64" s="1450"/>
      <c r="C64" s="1450"/>
      <c r="D64" s="1206"/>
      <c r="E64" s="1214" t="s">
        <v>2935</v>
      </c>
      <c r="F64" s="1208" t="s">
        <v>3081</v>
      </c>
      <c r="I64" s="1209"/>
      <c r="J64" s="1215"/>
      <c r="L64" s="1213" t="s">
        <v>3698</v>
      </c>
    </row>
    <row r="65" spans="1:12" s="1208" customFormat="1" ht="11.25" customHeight="1">
      <c r="A65" s="1205"/>
      <c r="B65" s="1206"/>
      <c r="C65" s="1206"/>
      <c r="D65" s="1206"/>
      <c r="E65" s="1214" t="s">
        <v>2937</v>
      </c>
      <c r="F65" s="1208" t="s">
        <v>3082</v>
      </c>
      <c r="I65" s="1209"/>
      <c r="J65" s="1215"/>
      <c r="L65" s="1213" t="s">
        <v>3698</v>
      </c>
    </row>
    <row r="66" spans="1:12" s="1208" customFormat="1" ht="11.25" customHeight="1">
      <c r="A66" s="1219" t="s">
        <v>3143</v>
      </c>
      <c r="B66" s="1449" t="s">
        <v>3195</v>
      </c>
      <c r="C66" s="1449"/>
      <c r="D66" s="1220" t="s">
        <v>3193</v>
      </c>
      <c r="E66" s="1212" t="s">
        <v>2936</v>
      </c>
      <c r="F66" s="1250" t="s">
        <v>3083</v>
      </c>
      <c r="G66" s="1251"/>
      <c r="H66" s="1221"/>
      <c r="I66" s="1231"/>
      <c r="J66" s="1232"/>
      <c r="K66" s="1233"/>
      <c r="L66" s="1213" t="s">
        <v>3698</v>
      </c>
    </row>
    <row r="67" spans="1:12" s="1208" customFormat="1" ht="11.25" customHeight="1">
      <c r="A67" s="1205"/>
      <c r="B67" s="1468"/>
      <c r="C67" s="1468"/>
      <c r="D67" s="1206"/>
      <c r="E67" s="1227" t="s">
        <v>2934</v>
      </c>
      <c r="F67" s="1208" t="s">
        <v>3084</v>
      </c>
      <c r="I67" s="1209"/>
      <c r="J67" s="1215"/>
      <c r="L67" s="1213" t="s">
        <v>3699</v>
      </c>
    </row>
    <row r="68" spans="1:12" s="1208" customFormat="1" ht="11.25" customHeight="1">
      <c r="A68" s="1219" t="s">
        <v>3144</v>
      </c>
      <c r="B68" s="1449" t="s">
        <v>3205</v>
      </c>
      <c r="C68" s="1449"/>
      <c r="D68" s="1220"/>
      <c r="E68" s="1212" t="s">
        <v>2936</v>
      </c>
      <c r="F68" s="1221" t="s">
        <v>3129</v>
      </c>
      <c r="G68" s="1221"/>
      <c r="H68" s="1221"/>
      <c r="I68" s="1231"/>
      <c r="J68" s="1232"/>
      <c r="K68" s="1233"/>
      <c r="L68" s="1213" t="s">
        <v>3698</v>
      </c>
    </row>
    <row r="69" spans="1:12" s="1208" customFormat="1" ht="11.25" customHeight="1">
      <c r="A69" s="1252"/>
      <c r="B69" s="1450"/>
      <c r="C69" s="1450"/>
      <c r="D69" s="1241"/>
      <c r="E69" s="1214" t="s">
        <v>2934</v>
      </c>
      <c r="F69" s="1242" t="s">
        <v>3086</v>
      </c>
      <c r="G69" s="1242"/>
      <c r="H69" s="1242"/>
      <c r="I69" s="1243"/>
      <c r="J69" s="1242"/>
      <c r="K69" s="1245"/>
      <c r="L69" s="1213" t="s">
        <v>3698</v>
      </c>
    </row>
    <row r="70" spans="1:12" s="1208" customFormat="1" ht="11.25" customHeight="1">
      <c r="A70" s="1205"/>
      <c r="B70" s="1206" t="s">
        <v>3206</v>
      </c>
      <c r="C70" s="1206"/>
      <c r="D70" s="1206"/>
      <c r="E70" s="1214" t="s">
        <v>2935</v>
      </c>
      <c r="F70" s="1208" t="s">
        <v>3087</v>
      </c>
      <c r="I70" s="1209"/>
      <c r="L70" s="1213" t="s">
        <v>3698</v>
      </c>
    </row>
    <row r="71" spans="1:12" s="1208" customFormat="1" ht="11.25" customHeight="1">
      <c r="A71" s="1205"/>
      <c r="B71" s="1206"/>
      <c r="C71" s="1206"/>
      <c r="D71" s="1206"/>
      <c r="E71" s="1214" t="s">
        <v>2937</v>
      </c>
      <c r="F71" s="1208" t="s">
        <v>3088</v>
      </c>
      <c r="I71" s="1209"/>
      <c r="L71" s="1213" t="s">
        <v>3699</v>
      </c>
    </row>
    <row r="72" spans="1:12" s="1208" customFormat="1" ht="11.25" customHeight="1">
      <c r="A72" s="1205"/>
      <c r="B72" s="1253" t="s">
        <v>3608</v>
      </c>
      <c r="C72" s="1222"/>
      <c r="D72" s="1206" t="s">
        <v>3073</v>
      </c>
      <c r="E72" s="1214" t="s">
        <v>2938</v>
      </c>
      <c r="F72" s="1466" t="s">
        <v>3609</v>
      </c>
      <c r="G72" s="1466"/>
      <c r="H72" s="1466"/>
      <c r="I72" s="1209"/>
      <c r="J72" s="1215"/>
      <c r="L72" s="1213" t="s">
        <v>3699</v>
      </c>
    </row>
    <row r="73" spans="1:12" s="1208" customFormat="1" ht="11.25" customHeight="1">
      <c r="A73" s="1205"/>
      <c r="C73" s="1222"/>
      <c r="D73" s="1206" t="s">
        <v>3048</v>
      </c>
      <c r="E73" s="1214" t="s">
        <v>2939</v>
      </c>
      <c r="F73" s="1208" t="s">
        <v>3610</v>
      </c>
      <c r="I73" s="1209"/>
      <c r="J73" s="1215"/>
      <c r="L73" s="1213" t="s">
        <v>3699</v>
      </c>
    </row>
    <row r="74" spans="1:12" s="1208" customFormat="1" ht="11.25" customHeight="1">
      <c r="A74" s="1205"/>
      <c r="B74" s="1206"/>
      <c r="C74" s="1206"/>
      <c r="D74" s="1206"/>
      <c r="E74" s="1214" t="s">
        <v>2940</v>
      </c>
      <c r="F74" s="1208" t="s">
        <v>3611</v>
      </c>
      <c r="I74" s="1209"/>
      <c r="J74" s="1215"/>
      <c r="L74" s="1213" t="s">
        <v>3699</v>
      </c>
    </row>
    <row r="75" spans="1:12" s="1208" customFormat="1" ht="11.25" customHeight="1">
      <c r="A75" s="1205"/>
      <c r="C75" s="1206"/>
      <c r="D75" s="1206"/>
      <c r="E75" s="1214" t="s">
        <v>3141</v>
      </c>
      <c r="F75" s="1469" t="s">
        <v>3612</v>
      </c>
      <c r="G75" s="1469"/>
      <c r="H75" s="1469"/>
      <c r="I75" s="1209"/>
      <c r="J75" s="1215"/>
      <c r="L75" s="1213" t="s">
        <v>3699</v>
      </c>
    </row>
    <row r="76" spans="1:12" s="1208" customFormat="1" ht="11.25" customHeight="1">
      <c r="A76" s="1205"/>
      <c r="B76" s="1206"/>
      <c r="C76" s="1206"/>
      <c r="D76" s="1206"/>
      <c r="E76" s="1214" t="s">
        <v>3142</v>
      </c>
      <c r="F76" s="1469" t="s">
        <v>3613</v>
      </c>
      <c r="G76" s="1469"/>
      <c r="H76" s="1469"/>
      <c r="I76" s="1209"/>
      <c r="J76" s="1215"/>
      <c r="L76" s="1213" t="s">
        <v>3699</v>
      </c>
    </row>
    <row r="77" spans="1:12" s="1208" customFormat="1" ht="11.25" customHeight="1">
      <c r="A77" s="1205"/>
      <c r="B77" s="1206"/>
      <c r="C77" s="1206"/>
      <c r="D77" s="1206"/>
      <c r="E77" s="1214" t="s">
        <v>3200</v>
      </c>
      <c r="F77" s="1463" t="s">
        <v>3159</v>
      </c>
      <c r="G77" s="1463"/>
      <c r="H77" s="1463"/>
      <c r="I77" s="1463"/>
      <c r="J77" s="1463"/>
      <c r="K77" s="1464"/>
      <c r="L77" s="1213" t="s">
        <v>3699</v>
      </c>
    </row>
    <row r="78" spans="1:12" s="1208" customFormat="1" ht="11.25" customHeight="1">
      <c r="A78" s="1219">
        <v>19</v>
      </c>
      <c r="B78" s="1220" t="s">
        <v>3196</v>
      </c>
      <c r="C78" s="1220"/>
      <c r="D78" s="1220" t="s">
        <v>3073</v>
      </c>
      <c r="E78" s="1212" t="s">
        <v>2936</v>
      </c>
      <c r="F78" s="1221" t="s">
        <v>3089</v>
      </c>
      <c r="G78" s="1221"/>
      <c r="H78" s="1221"/>
      <c r="I78" s="1231"/>
      <c r="J78" s="1232"/>
      <c r="K78" s="1221"/>
      <c r="L78" s="1213" t="s">
        <v>3699</v>
      </c>
    </row>
    <row r="79" spans="1:12" s="1208" customFormat="1" ht="11.25" customHeight="1">
      <c r="A79" s="1205"/>
      <c r="B79" s="1206"/>
      <c r="C79" s="1206"/>
      <c r="D79" s="1206"/>
      <c r="E79" s="1214" t="s">
        <v>2934</v>
      </c>
      <c r="F79" s="1208" t="s">
        <v>3090</v>
      </c>
      <c r="I79" s="1209"/>
      <c r="J79" s="1215"/>
      <c r="L79" s="1213" t="s">
        <v>3699</v>
      </c>
    </row>
    <row r="80" spans="1:12" s="1208" customFormat="1" ht="11.25" customHeight="1">
      <c r="A80" s="1205"/>
      <c r="C80" s="1222"/>
      <c r="D80" s="1206" t="s">
        <v>3091</v>
      </c>
      <c r="E80" s="1214" t="s">
        <v>2935</v>
      </c>
      <c r="F80" s="1208" t="s">
        <v>3092</v>
      </c>
      <c r="I80" s="1209"/>
      <c r="J80" s="1215"/>
      <c r="L80" s="1213" t="s">
        <v>3699</v>
      </c>
    </row>
    <row r="81" spans="1:12" s="1208" customFormat="1" ht="21" customHeight="1">
      <c r="A81" s="1237"/>
      <c r="B81" s="1238"/>
      <c r="C81" s="1238"/>
      <c r="D81" s="1238"/>
      <c r="E81" s="1235" t="s">
        <v>2937</v>
      </c>
      <c r="F81" s="1470" t="s">
        <v>3418</v>
      </c>
      <c r="G81" s="1471"/>
      <c r="H81" s="1471"/>
      <c r="I81" s="1471"/>
      <c r="J81" s="1471"/>
      <c r="K81" s="1472"/>
      <c r="L81" s="1213" t="s">
        <v>3699</v>
      </c>
    </row>
    <row r="82" spans="1:12" s="1208" customFormat="1" ht="11.25" customHeight="1">
      <c r="A82" s="1252">
        <v>20</v>
      </c>
      <c r="B82" s="1241" t="s">
        <v>3420</v>
      </c>
      <c r="C82" s="1241"/>
      <c r="D82" s="1241"/>
      <c r="E82" s="1214" t="s">
        <v>2936</v>
      </c>
      <c r="F82" s="1242" t="s">
        <v>3093</v>
      </c>
      <c r="G82" s="1242"/>
      <c r="H82" s="1242"/>
      <c r="I82" s="1243"/>
      <c r="J82" s="1244"/>
      <c r="K82" s="1242"/>
      <c r="L82" s="1213" t="s">
        <v>3699</v>
      </c>
    </row>
    <row r="83" spans="1:12" s="1208" customFormat="1" ht="11.25" customHeight="1">
      <c r="B83" s="1241"/>
      <c r="C83" s="1241"/>
      <c r="D83" s="1241"/>
      <c r="E83" s="1214" t="s">
        <v>2934</v>
      </c>
      <c r="F83" s="1242" t="s">
        <v>3419</v>
      </c>
      <c r="G83" s="1242"/>
      <c r="H83" s="1242"/>
      <c r="I83" s="1243"/>
      <c r="J83" s="1244"/>
      <c r="K83" s="1242"/>
      <c r="L83" s="1213" t="s">
        <v>3699</v>
      </c>
    </row>
    <row r="84" spans="1:12" s="1208" customFormat="1" ht="11.25" customHeight="1">
      <c r="A84" s="1237"/>
      <c r="B84" s="1238"/>
      <c r="C84" s="1238"/>
      <c r="D84" s="1238"/>
      <c r="E84" s="1235" t="s">
        <v>2935</v>
      </c>
      <c r="F84" s="1239" t="s">
        <v>3094</v>
      </c>
      <c r="G84" s="1239"/>
      <c r="H84" s="1239"/>
      <c r="I84" s="1209"/>
      <c r="J84" s="1215"/>
      <c r="L84" s="1213" t="s">
        <v>3699</v>
      </c>
    </row>
    <row r="85" spans="1:12" s="1208" customFormat="1" ht="11.25" customHeight="1">
      <c r="A85" s="1219">
        <v>21</v>
      </c>
      <c r="B85" s="1449" t="s">
        <v>3421</v>
      </c>
      <c r="C85" s="1449"/>
      <c r="D85" s="1220"/>
      <c r="E85" s="1212" t="s">
        <v>2936</v>
      </c>
      <c r="F85" s="1221" t="s">
        <v>3161</v>
      </c>
      <c r="G85" s="1221"/>
      <c r="H85" s="1221"/>
      <c r="I85" s="1231"/>
      <c r="J85" s="1232"/>
      <c r="K85" s="1233"/>
      <c r="L85" s="1213" t="s">
        <v>3699</v>
      </c>
    </row>
    <row r="86" spans="1:12" s="1208" customFormat="1" ht="11.25" customHeight="1">
      <c r="A86" s="1205"/>
      <c r="B86" s="1450"/>
      <c r="C86" s="1450"/>
      <c r="D86" s="1206"/>
      <c r="E86" s="1214" t="s">
        <v>2934</v>
      </c>
      <c r="F86" s="1208" t="s">
        <v>2580</v>
      </c>
      <c r="I86" s="1209"/>
      <c r="J86" s="1215"/>
      <c r="L86" s="1213" t="s">
        <v>3698</v>
      </c>
    </row>
    <row r="87" spans="1:12" s="1208" customFormat="1" ht="11.25" customHeight="1">
      <c r="B87" s="1206"/>
      <c r="C87" s="1206"/>
      <c r="D87" s="1206"/>
      <c r="E87" s="1214" t="s">
        <v>2935</v>
      </c>
      <c r="F87" s="1208" t="s">
        <v>3095</v>
      </c>
      <c r="I87" s="1209"/>
      <c r="J87" s="1215"/>
      <c r="L87" s="1213" t="s">
        <v>3698</v>
      </c>
    </row>
    <row r="88" spans="1:12" s="1208" customFormat="1" ht="11.25" customHeight="1">
      <c r="A88" s="1205"/>
      <c r="B88" s="1206"/>
      <c r="C88" s="1206"/>
      <c r="D88" s="1206"/>
      <c r="E88" s="1214" t="s">
        <v>2937</v>
      </c>
      <c r="F88" s="1208" t="s">
        <v>520</v>
      </c>
      <c r="I88" s="1209"/>
      <c r="J88" s="1215"/>
      <c r="L88" s="1213" t="s">
        <v>3698</v>
      </c>
    </row>
    <row r="89" spans="1:12" s="1208" customFormat="1" ht="11.25" customHeight="1">
      <c r="A89" s="1205"/>
      <c r="B89" s="1206"/>
      <c r="C89" s="1206"/>
      <c r="D89" s="1206"/>
      <c r="E89" s="1214" t="s">
        <v>2938</v>
      </c>
      <c r="F89" s="1208" t="s">
        <v>690</v>
      </c>
      <c r="I89" s="1209"/>
      <c r="J89" s="1215"/>
      <c r="L89" s="1213" t="s">
        <v>3698</v>
      </c>
    </row>
    <row r="90" spans="1:12" s="1208" customFormat="1" ht="11.25" customHeight="1">
      <c r="B90" s="1206"/>
      <c r="C90" s="1206"/>
      <c r="D90" s="1206"/>
      <c r="E90" s="1214" t="s">
        <v>2939</v>
      </c>
      <c r="F90" s="1208" t="s">
        <v>1645</v>
      </c>
      <c r="I90" s="1209"/>
      <c r="J90" s="1215"/>
      <c r="L90" s="1213" t="s">
        <v>3698</v>
      </c>
    </row>
    <row r="91" spans="1:12" s="1208" customFormat="1" ht="11.25" customHeight="1">
      <c r="A91" s="1205"/>
      <c r="B91" s="1206"/>
      <c r="C91" s="1206"/>
      <c r="D91" s="1206"/>
      <c r="E91" s="1214" t="s">
        <v>2940</v>
      </c>
      <c r="F91" s="1208" t="s">
        <v>3426</v>
      </c>
      <c r="I91" s="1209"/>
      <c r="J91" s="1215"/>
      <c r="L91" s="1213" t="s">
        <v>3698</v>
      </c>
    </row>
    <row r="92" spans="1:12" s="1208" customFormat="1" ht="11.25" customHeight="1">
      <c r="A92" s="1205"/>
      <c r="B92" s="1206"/>
      <c r="C92" s="1206"/>
      <c r="D92" s="1206"/>
      <c r="E92" s="1214" t="s">
        <v>3141</v>
      </c>
      <c r="F92" s="1208" t="s">
        <v>3423</v>
      </c>
      <c r="I92" s="1209"/>
      <c r="J92" s="1215"/>
      <c r="L92" s="1213" t="s">
        <v>3698</v>
      </c>
    </row>
    <row r="93" spans="1:12" s="1208" customFormat="1" ht="11.25" customHeight="1">
      <c r="A93" s="1254">
        <v>22</v>
      </c>
      <c r="B93" s="1220" t="s">
        <v>3422</v>
      </c>
      <c r="C93" s="1220"/>
      <c r="D93" s="1220" t="s">
        <v>3073</v>
      </c>
      <c r="E93" s="1212" t="s">
        <v>2936</v>
      </c>
      <c r="F93" s="1221" t="s">
        <v>3626</v>
      </c>
      <c r="G93" s="1221"/>
      <c r="H93" s="1221"/>
      <c r="I93" s="1231"/>
      <c r="J93" s="1232"/>
      <c r="K93" s="1221"/>
      <c r="L93" s="1213" t="s">
        <v>3698</v>
      </c>
    </row>
    <row r="94" spans="1:12" s="1208" customFormat="1" ht="11.25" customHeight="1">
      <c r="A94" s="1205"/>
      <c r="C94" s="1222"/>
      <c r="D94" s="1206" t="s">
        <v>3048</v>
      </c>
      <c r="E94" s="1214" t="s">
        <v>2934</v>
      </c>
      <c r="F94" s="1208" t="s">
        <v>3096</v>
      </c>
      <c r="I94" s="1209"/>
      <c r="J94" s="1215"/>
      <c r="L94" s="1213" t="s">
        <v>3699</v>
      </c>
    </row>
    <row r="95" spans="1:12" s="1208" customFormat="1" ht="11.25" customHeight="1">
      <c r="C95" s="1222"/>
      <c r="D95" s="1206" t="s">
        <v>3076</v>
      </c>
      <c r="E95" s="1214" t="s">
        <v>2935</v>
      </c>
      <c r="F95" s="1208" t="s">
        <v>3097</v>
      </c>
      <c r="I95" s="1209"/>
      <c r="J95" s="1215"/>
      <c r="L95" s="1213" t="s">
        <v>3699</v>
      </c>
    </row>
    <row r="96" spans="1:12" s="1208" customFormat="1" ht="11.25" customHeight="1">
      <c r="A96" s="1205"/>
      <c r="C96" s="1222"/>
      <c r="D96" s="1206" t="s">
        <v>3085</v>
      </c>
      <c r="E96" s="1214" t="s">
        <v>2937</v>
      </c>
      <c r="F96" s="1208" t="s">
        <v>3098</v>
      </c>
      <c r="I96" s="1209"/>
      <c r="J96" s="1215"/>
      <c r="L96" s="1213" t="s">
        <v>3699</v>
      </c>
    </row>
    <row r="97" spans="1:12" s="1208" customFormat="1" ht="11.25" customHeight="1">
      <c r="A97" s="1219">
        <v>23</v>
      </c>
      <c r="B97" s="1473" t="s">
        <v>3424</v>
      </c>
      <c r="C97" s="1473"/>
      <c r="D97" s="1255"/>
      <c r="E97" s="1212" t="s">
        <v>2936</v>
      </c>
      <c r="F97" s="1256" t="s">
        <v>3099</v>
      </c>
      <c r="G97" s="1256"/>
      <c r="H97" s="1256"/>
      <c r="I97" s="1231"/>
      <c r="J97" s="1232"/>
      <c r="K97" s="1221"/>
      <c r="L97" s="1213" t="s">
        <v>3698</v>
      </c>
    </row>
    <row r="98" spans="1:12" s="1208" customFormat="1" ht="11.25" customHeight="1">
      <c r="A98" s="1257"/>
      <c r="B98" s="1474"/>
      <c r="C98" s="1474"/>
      <c r="D98" s="1258"/>
      <c r="E98" s="1214" t="s">
        <v>2934</v>
      </c>
      <c r="F98" s="1226" t="s">
        <v>1563</v>
      </c>
      <c r="G98" s="1226"/>
      <c r="H98" s="1226"/>
      <c r="I98" s="1209"/>
      <c r="J98" s="1215"/>
      <c r="L98" s="1213" t="s">
        <v>3698</v>
      </c>
    </row>
    <row r="99" spans="1:12" s="1208" customFormat="1" ht="11.25" customHeight="1">
      <c r="A99" s="1257"/>
      <c r="B99" s="1259"/>
      <c r="C99" s="1259"/>
      <c r="D99" s="1259"/>
      <c r="E99" s="1214" t="s">
        <v>2935</v>
      </c>
      <c r="F99" s="1226" t="s">
        <v>3425</v>
      </c>
      <c r="G99" s="1226"/>
      <c r="H99" s="1226"/>
      <c r="I99" s="1209"/>
      <c r="J99" s="1215"/>
      <c r="L99" s="1213" t="s">
        <v>3698</v>
      </c>
    </row>
    <row r="100" spans="1:12" s="1208" customFormat="1" ht="11.25" customHeight="1">
      <c r="B100" s="1259"/>
      <c r="C100" s="1259"/>
      <c r="D100" s="1259"/>
      <c r="E100" s="1214" t="s">
        <v>2937</v>
      </c>
      <c r="F100" s="1226" t="s">
        <v>2363</v>
      </c>
      <c r="G100" s="1226"/>
      <c r="H100" s="1226"/>
      <c r="I100" s="1209"/>
      <c r="J100" s="1215"/>
      <c r="L100" s="1213" t="s">
        <v>3698</v>
      </c>
    </row>
    <row r="101" spans="1:12" s="1208" customFormat="1" ht="11.25" customHeight="1">
      <c r="A101" s="1257"/>
      <c r="B101" s="1259"/>
      <c r="C101" s="1259"/>
      <c r="D101" s="1259"/>
      <c r="E101" s="1214" t="s">
        <v>2938</v>
      </c>
      <c r="F101" s="1226" t="s">
        <v>3100</v>
      </c>
      <c r="G101" s="1226"/>
      <c r="H101" s="1226"/>
      <c r="I101" s="1209"/>
      <c r="J101" s="1215"/>
      <c r="L101" s="1213" t="s">
        <v>3698</v>
      </c>
    </row>
    <row r="102" spans="1:12" s="1208" customFormat="1" ht="11.25" customHeight="1">
      <c r="A102" s="1257"/>
      <c r="B102" s="1257"/>
      <c r="C102" s="1257"/>
      <c r="D102" s="1257"/>
      <c r="E102" s="1214" t="s">
        <v>2939</v>
      </c>
      <c r="F102" s="1226" t="s">
        <v>3101</v>
      </c>
      <c r="G102" s="1226"/>
      <c r="H102" s="1226"/>
      <c r="I102" s="1209"/>
      <c r="J102" s="1215"/>
      <c r="L102" s="1213" t="s">
        <v>3698</v>
      </c>
    </row>
    <row r="103" spans="1:12" s="1208" customFormat="1" ht="11.25" customHeight="1">
      <c r="A103" s="1257"/>
      <c r="B103" s="1257"/>
      <c r="C103" s="1257"/>
      <c r="D103" s="1257"/>
      <c r="E103" s="1214" t="s">
        <v>2940</v>
      </c>
      <c r="F103" s="1226" t="s">
        <v>3102</v>
      </c>
      <c r="G103" s="1226"/>
      <c r="H103" s="1226"/>
      <c r="I103" s="1209"/>
      <c r="J103" s="1215"/>
      <c r="L103" s="1216" t="s">
        <v>3699</v>
      </c>
    </row>
    <row r="104" spans="1:12" s="1208" customFormat="1" ht="11.25" customHeight="1">
      <c r="A104" s="1257"/>
      <c r="B104" s="1257"/>
      <c r="C104" s="1257"/>
      <c r="D104" s="1257"/>
      <c r="E104" s="1217" t="s">
        <v>3141</v>
      </c>
      <c r="F104" s="1226" t="s">
        <v>3162</v>
      </c>
      <c r="G104" s="1226"/>
      <c r="H104" s="1226"/>
      <c r="I104" s="1209"/>
      <c r="J104" s="1215"/>
      <c r="L104" s="1216" t="s">
        <v>3699</v>
      </c>
    </row>
    <row r="105" spans="1:12" s="1242" customFormat="1" ht="11.25" customHeight="1">
      <c r="A105" s="1459" t="s">
        <v>3103</v>
      </c>
      <c r="B105" s="1459"/>
      <c r="C105" s="1459"/>
      <c r="D105" s="1459"/>
      <c r="E105" s="1459"/>
      <c r="F105" s="1459"/>
      <c r="G105" s="1459"/>
      <c r="H105" s="1459"/>
      <c r="I105" s="1459"/>
      <c r="J105" s="1459"/>
      <c r="K105" s="1459"/>
      <c r="L105" s="1459"/>
    </row>
    <row r="106" spans="1:12" s="1208" customFormat="1" ht="11.25" customHeight="1">
      <c r="A106" s="1219">
        <v>24</v>
      </c>
      <c r="B106" s="1449" t="s">
        <v>3197</v>
      </c>
      <c r="C106" s="1449"/>
      <c r="D106" s="1260"/>
      <c r="E106" s="1212" t="s">
        <v>2936</v>
      </c>
      <c r="F106" s="1261" t="s">
        <v>3104</v>
      </c>
      <c r="G106" s="1221"/>
      <c r="H106" s="1221"/>
      <c r="I106" s="1231"/>
      <c r="J106" s="1232"/>
      <c r="K106" s="1233"/>
      <c r="L106" s="1213" t="s">
        <v>3698</v>
      </c>
    </row>
    <row r="107" spans="1:12" s="1208" customFormat="1" ht="11.25" customHeight="1">
      <c r="A107" s="1205"/>
      <c r="B107" s="1450"/>
      <c r="C107" s="1450"/>
      <c r="D107" s="1262"/>
      <c r="E107" s="1214" t="s">
        <v>2934</v>
      </c>
      <c r="F107" s="1208" t="s">
        <v>3614</v>
      </c>
      <c r="I107" s="1209"/>
      <c r="J107" s="1215"/>
      <c r="L107" s="1213" t="s">
        <v>3698</v>
      </c>
    </row>
    <row r="108" spans="1:12" s="1208" customFormat="1" ht="11.25" customHeight="1">
      <c r="A108" s="1205"/>
      <c r="B108" s="1206"/>
      <c r="C108" s="1206"/>
      <c r="D108" s="1206"/>
      <c r="E108" s="1214" t="s">
        <v>2935</v>
      </c>
      <c r="F108" s="1208" t="s">
        <v>3105</v>
      </c>
      <c r="I108" s="1209"/>
      <c r="J108" s="1215"/>
      <c r="L108" s="1213" t="s">
        <v>3698</v>
      </c>
    </row>
    <row r="109" spans="1:12" s="1208" customFormat="1" ht="11.25" customHeight="1">
      <c r="B109" s="1206"/>
      <c r="C109" s="1206"/>
      <c r="D109" s="1206"/>
      <c r="E109" s="1214" t="s">
        <v>2937</v>
      </c>
      <c r="F109" s="1466" t="s">
        <v>3163</v>
      </c>
      <c r="G109" s="1466"/>
      <c r="H109" s="1466"/>
      <c r="I109" s="1466"/>
      <c r="J109" s="1466"/>
      <c r="K109" s="1467"/>
      <c r="L109" s="1213" t="s">
        <v>3699</v>
      </c>
    </row>
    <row r="110" spans="1:12" s="1208" customFormat="1" ht="11.25" customHeight="1">
      <c r="A110" s="1205"/>
      <c r="B110" s="1206"/>
      <c r="C110" s="1206"/>
      <c r="D110" s="1206"/>
      <c r="E110" s="1214" t="s">
        <v>2938</v>
      </c>
      <c r="F110" s="1208" t="s">
        <v>3106</v>
      </c>
      <c r="I110" s="1209"/>
      <c r="J110" s="1215"/>
      <c r="L110" s="1213" t="s">
        <v>3699</v>
      </c>
    </row>
    <row r="111" spans="1:12" s="1208" customFormat="1" ht="11.25" customHeight="1">
      <c r="A111" s="1219">
        <v>25</v>
      </c>
      <c r="B111" s="1220" t="s">
        <v>3107</v>
      </c>
      <c r="C111" s="1220"/>
      <c r="D111" s="1220" t="s">
        <v>3073</v>
      </c>
      <c r="E111" s="1212" t="s">
        <v>2936</v>
      </c>
      <c r="F111" s="1221" t="s">
        <v>3442</v>
      </c>
      <c r="G111" s="1221"/>
      <c r="H111" s="1221"/>
      <c r="I111" s="1231"/>
      <c r="J111" s="1232"/>
      <c r="K111" s="1221"/>
      <c r="L111" s="1213" t="s">
        <v>3699</v>
      </c>
    </row>
    <row r="112" spans="1:12" s="1208" customFormat="1" ht="11.25" customHeight="1">
      <c r="A112" s="1205"/>
      <c r="B112" s="1241"/>
      <c r="C112" s="1241"/>
      <c r="D112" s="1262"/>
      <c r="E112" s="1214"/>
      <c r="F112" s="1208" t="s">
        <v>3443</v>
      </c>
      <c r="I112" s="1209"/>
      <c r="J112" s="1215"/>
      <c r="L112" s="1213" t="s">
        <v>3699</v>
      </c>
    </row>
    <row r="113" spans="1:12" s="1208" customFormat="1" ht="11.25" customHeight="1">
      <c r="A113" s="1205"/>
      <c r="B113" s="1206"/>
      <c r="C113" s="1206"/>
      <c r="D113" s="1206"/>
      <c r="E113" s="1214"/>
      <c r="F113" s="1208" t="s">
        <v>3444</v>
      </c>
      <c r="I113" s="1209"/>
      <c r="J113" s="1215"/>
      <c r="L113" s="1213" t="s">
        <v>3699</v>
      </c>
    </row>
    <row r="114" spans="1:12" s="1208" customFormat="1" ht="11.25" customHeight="1">
      <c r="B114" s="1206"/>
      <c r="C114" s="1206"/>
      <c r="D114" s="1206"/>
      <c r="E114" s="1214"/>
      <c r="F114" s="1263" t="s">
        <v>3445</v>
      </c>
      <c r="K114" s="1245"/>
      <c r="L114" s="1213" t="s">
        <v>3699</v>
      </c>
    </row>
    <row r="115" spans="1:12" s="1208" customFormat="1" ht="11.25" customHeight="1">
      <c r="B115" s="1206"/>
      <c r="C115" s="1206"/>
      <c r="D115" s="1206"/>
      <c r="E115" s="1214"/>
      <c r="F115" s="1242" t="s">
        <v>3446</v>
      </c>
      <c r="K115" s="1242"/>
      <c r="L115" s="1213" t="s">
        <v>3699</v>
      </c>
    </row>
    <row r="116" spans="1:12" s="1208" customFormat="1" ht="11.25" customHeight="1">
      <c r="B116" s="1206"/>
      <c r="C116" s="1206"/>
      <c r="D116" s="1222" t="s">
        <v>3440</v>
      </c>
      <c r="E116" s="1214" t="s">
        <v>2934</v>
      </c>
      <c r="F116" s="1242" t="s">
        <v>3447</v>
      </c>
      <c r="K116" s="1242"/>
      <c r="L116" s="1213" t="s">
        <v>3698</v>
      </c>
    </row>
    <row r="117" spans="1:12" s="1208" customFormat="1" ht="11.25" customHeight="1">
      <c r="B117" s="1206"/>
      <c r="C117" s="1206"/>
      <c r="D117" s="1222"/>
      <c r="E117" s="1214"/>
      <c r="F117" s="1263" t="s">
        <v>3448</v>
      </c>
      <c r="K117" s="1242"/>
      <c r="L117" s="1213" t="s">
        <v>3698</v>
      </c>
    </row>
    <row r="118" spans="1:12" s="1208" customFormat="1" ht="11.25" customHeight="1">
      <c r="B118" s="1206"/>
      <c r="C118" s="1206"/>
      <c r="D118" s="1222"/>
      <c r="E118" s="1214"/>
      <c r="F118" s="1242" t="s">
        <v>3449</v>
      </c>
      <c r="K118" s="1242"/>
      <c r="L118" s="1213" t="s">
        <v>3698</v>
      </c>
    </row>
    <row r="119" spans="1:12" s="1208" customFormat="1" ht="11.25" customHeight="1">
      <c r="A119" s="1205"/>
      <c r="B119" s="1206"/>
      <c r="C119" s="1206"/>
      <c r="D119" s="1206" t="s">
        <v>3441</v>
      </c>
      <c r="E119" s="1214" t="s">
        <v>2935</v>
      </c>
      <c r="F119" s="1208" t="s">
        <v>3450</v>
      </c>
      <c r="I119" s="1209"/>
      <c r="J119" s="1215"/>
      <c r="L119" s="1213" t="s">
        <v>3699</v>
      </c>
    </row>
    <row r="120" spans="1:12" s="1208" customFormat="1" ht="11.25" customHeight="1">
      <c r="A120" s="1205"/>
      <c r="B120" s="1206"/>
      <c r="C120" s="1206"/>
      <c r="D120" s="1206"/>
      <c r="E120" s="1214"/>
      <c r="F120" s="1263" t="s">
        <v>3448</v>
      </c>
      <c r="I120" s="1209"/>
      <c r="J120" s="1215"/>
      <c r="L120" s="1213" t="s">
        <v>3699</v>
      </c>
    </row>
    <row r="121" spans="1:12" s="1208" customFormat="1" ht="11.25" customHeight="1">
      <c r="A121" s="1252"/>
      <c r="B121" s="1206"/>
      <c r="C121" s="1206"/>
      <c r="D121" s="1206"/>
      <c r="E121" s="1214"/>
      <c r="F121" s="1208" t="s">
        <v>3451</v>
      </c>
      <c r="I121" s="1209"/>
      <c r="J121" s="1215"/>
      <c r="L121" s="1213" t="s">
        <v>3699</v>
      </c>
    </row>
    <row r="122" spans="1:12" s="1208" customFormat="1" ht="11.25" customHeight="1">
      <c r="A122" s="1237"/>
      <c r="B122" s="1238"/>
      <c r="C122" s="1238"/>
      <c r="D122" s="1238"/>
      <c r="E122" s="1235"/>
      <c r="F122" s="1239" t="s">
        <v>3452</v>
      </c>
      <c r="G122" s="1239"/>
      <c r="H122" s="1239"/>
      <c r="I122" s="1209"/>
      <c r="J122" s="1215"/>
      <c r="L122" s="1213" t="s">
        <v>3699</v>
      </c>
    </row>
    <row r="123" spans="1:12" s="1208" customFormat="1" ht="11.25" customHeight="1">
      <c r="A123" s="1252">
        <v>26</v>
      </c>
      <c r="B123" s="1241" t="s">
        <v>3108</v>
      </c>
      <c r="C123" s="1241"/>
      <c r="D123" s="1241"/>
      <c r="E123" s="1214" t="s">
        <v>2936</v>
      </c>
      <c r="F123" s="1242" t="s">
        <v>495</v>
      </c>
      <c r="G123" s="1242"/>
      <c r="H123" s="1242"/>
      <c r="I123" s="1231"/>
      <c r="J123" s="1232"/>
      <c r="K123" s="1221"/>
      <c r="L123" s="1213" t="s">
        <v>3699</v>
      </c>
    </row>
    <row r="124" spans="1:12" s="1208" customFormat="1" ht="21.75" customHeight="1">
      <c r="A124" s="1205"/>
      <c r="B124" s="1206"/>
      <c r="C124" s="1206"/>
      <c r="D124" s="1206"/>
      <c r="E124" s="1214" t="s">
        <v>2934</v>
      </c>
      <c r="F124" s="1466" t="s">
        <v>3109</v>
      </c>
      <c r="G124" s="1466"/>
      <c r="H124" s="1466"/>
      <c r="I124" s="1466"/>
      <c r="J124" s="1466"/>
      <c r="K124" s="1467"/>
      <c r="L124" s="1213" t="s">
        <v>3699</v>
      </c>
    </row>
    <row r="125" spans="1:12" s="1208" customFormat="1" ht="11.25" customHeight="1">
      <c r="A125" s="1205"/>
      <c r="B125" s="1206"/>
      <c r="C125" s="1206"/>
      <c r="D125" s="1206"/>
      <c r="E125" s="1214" t="s">
        <v>2935</v>
      </c>
      <c r="F125" s="1208" t="s">
        <v>3110</v>
      </c>
      <c r="I125" s="1209"/>
      <c r="J125" s="1215"/>
      <c r="L125" s="1213" t="s">
        <v>3699</v>
      </c>
    </row>
    <row r="126" spans="1:12" s="1208" customFormat="1" ht="11.25" customHeight="1">
      <c r="B126" s="1206"/>
      <c r="C126" s="1206"/>
      <c r="D126" s="1206"/>
      <c r="E126" s="1214" t="s">
        <v>2937</v>
      </c>
      <c r="F126" s="1208" t="s">
        <v>3111</v>
      </c>
      <c r="I126" s="1209"/>
      <c r="J126" s="1215"/>
      <c r="L126" s="1213" t="s">
        <v>3699</v>
      </c>
    </row>
    <row r="127" spans="1:12" s="1208" customFormat="1" ht="11.25" customHeight="1">
      <c r="A127" s="1237"/>
      <c r="B127" s="1238"/>
      <c r="C127" s="1238"/>
      <c r="D127" s="1238"/>
      <c r="E127" s="1235" t="s">
        <v>2938</v>
      </c>
      <c r="F127" s="1239" t="s">
        <v>3112</v>
      </c>
      <c r="G127" s="1239"/>
      <c r="H127" s="1239"/>
      <c r="I127" s="1209"/>
      <c r="J127" s="1215"/>
      <c r="L127" s="1213" t="s">
        <v>3699</v>
      </c>
    </row>
    <row r="128" spans="1:12" s="1208" customFormat="1" ht="12" customHeight="1">
      <c r="A128" s="1254">
        <v>27</v>
      </c>
      <c r="B128" s="1449" t="s">
        <v>3113</v>
      </c>
      <c r="C128" s="1449"/>
      <c r="D128" s="1220" t="s">
        <v>3201</v>
      </c>
      <c r="E128" s="1212" t="s">
        <v>2936</v>
      </c>
      <c r="F128" s="1221" t="s">
        <v>3427</v>
      </c>
      <c r="G128" s="1221"/>
      <c r="H128" s="1221"/>
      <c r="I128" s="1231"/>
      <c r="J128" s="1232"/>
      <c r="K128" s="1233"/>
      <c r="L128" s="1213" t="s">
        <v>3699</v>
      </c>
    </row>
    <row r="129" spans="1:12" s="1208" customFormat="1" ht="12" customHeight="1">
      <c r="B129" s="1450"/>
      <c r="C129" s="1450"/>
      <c r="D129" s="1206"/>
      <c r="E129" s="1214"/>
      <c r="F129" s="1208" t="s">
        <v>3171</v>
      </c>
      <c r="I129" s="1209"/>
      <c r="J129" s="1215"/>
      <c r="L129" s="1213" t="s">
        <v>3699</v>
      </c>
    </row>
    <row r="130" spans="1:12" s="1208" customFormat="1" ht="12" customHeight="1">
      <c r="A130" s="1205"/>
      <c r="C130" s="1206"/>
      <c r="D130" s="1206"/>
      <c r="E130" s="1214"/>
      <c r="F130" s="1208" t="s">
        <v>3172</v>
      </c>
      <c r="I130" s="1209"/>
      <c r="J130" s="1215"/>
      <c r="L130" s="1213" t="s">
        <v>3699</v>
      </c>
    </row>
    <row r="131" spans="1:12" s="1208" customFormat="1" ht="12" customHeight="1">
      <c r="A131" s="1205"/>
      <c r="C131" s="1206"/>
      <c r="D131" s="1206"/>
      <c r="E131" s="1214"/>
      <c r="F131" s="1264" t="s">
        <v>3173</v>
      </c>
      <c r="I131" s="1209"/>
      <c r="J131" s="1215"/>
      <c r="L131" s="1265"/>
    </row>
    <row r="132" spans="1:12" s="1208" customFormat="1" ht="12" customHeight="1">
      <c r="A132" s="1205"/>
      <c r="C132" s="1222"/>
      <c r="D132" s="1206" t="s">
        <v>3199</v>
      </c>
      <c r="E132" s="1214" t="s">
        <v>2934</v>
      </c>
      <c r="F132" s="1208" t="s">
        <v>3174</v>
      </c>
      <c r="I132" s="1209"/>
      <c r="J132" s="1215"/>
      <c r="L132" s="1213" t="s">
        <v>3699</v>
      </c>
    </row>
    <row r="133" spans="1:12" s="1208" customFormat="1" ht="12" customHeight="1">
      <c r="D133" s="1206"/>
      <c r="E133" s="1227"/>
      <c r="F133" s="1208" t="s">
        <v>3175</v>
      </c>
      <c r="I133" s="1209"/>
      <c r="J133" s="1215"/>
      <c r="L133" s="1213" t="s">
        <v>3699</v>
      </c>
    </row>
    <row r="134" spans="1:12" s="1208" customFormat="1" ht="12" customHeight="1">
      <c r="D134" s="1206"/>
      <c r="E134" s="1227"/>
      <c r="F134" s="1264" t="s">
        <v>3176</v>
      </c>
      <c r="I134" s="1209"/>
      <c r="J134" s="1215"/>
    </row>
    <row r="135" spans="1:12" s="1208" customFormat="1" ht="12" customHeight="1">
      <c r="C135" s="1222"/>
      <c r="D135" s="1206" t="s">
        <v>3048</v>
      </c>
      <c r="E135" s="1214" t="s">
        <v>2935</v>
      </c>
      <c r="F135" s="1208" t="s">
        <v>3177</v>
      </c>
      <c r="I135" s="1209"/>
      <c r="J135" s="1215"/>
      <c r="L135" s="1213" t="s">
        <v>3698</v>
      </c>
    </row>
    <row r="136" spans="1:12" s="1208" customFormat="1" ht="21.75" customHeight="1">
      <c r="A136" s="1205"/>
      <c r="B136" s="1206"/>
      <c r="C136" s="1206"/>
      <c r="D136" s="1206"/>
      <c r="E136" s="1227"/>
      <c r="F136" s="1460" t="s">
        <v>3428</v>
      </c>
      <c r="G136" s="1460"/>
      <c r="H136" s="1460"/>
      <c r="I136" s="1209"/>
      <c r="J136" s="1215"/>
      <c r="L136" s="1213" t="s">
        <v>3698</v>
      </c>
    </row>
    <row r="137" spans="1:12" s="1208" customFormat="1" ht="12" customHeight="1">
      <c r="A137" s="1219">
        <v>28</v>
      </c>
      <c r="B137" s="1449" t="s">
        <v>3198</v>
      </c>
      <c r="C137" s="1449"/>
      <c r="D137" s="1266"/>
      <c r="E137" s="1212" t="s">
        <v>2936</v>
      </c>
      <c r="F137" s="1221" t="s">
        <v>3114</v>
      </c>
      <c r="G137" s="1221"/>
      <c r="H137" s="1221"/>
      <c r="I137" s="1231"/>
      <c r="J137" s="1232"/>
      <c r="K137" s="1233"/>
      <c r="L137" s="1213" t="s">
        <v>3699</v>
      </c>
    </row>
    <row r="138" spans="1:12" s="1208" customFormat="1" ht="12" customHeight="1">
      <c r="A138" s="1252"/>
      <c r="B138" s="1450"/>
      <c r="C138" s="1450"/>
      <c r="D138" s="1241"/>
      <c r="E138" s="1214" t="s">
        <v>2934</v>
      </c>
      <c r="F138" s="1242" t="s">
        <v>3430</v>
      </c>
      <c r="G138" s="1242"/>
      <c r="H138" s="1242"/>
      <c r="I138" s="1243"/>
      <c r="J138" s="1244"/>
      <c r="K138" s="1242"/>
      <c r="L138" s="1213" t="s">
        <v>3699</v>
      </c>
    </row>
    <row r="139" spans="1:12" s="1208" customFormat="1" ht="12" customHeight="1">
      <c r="A139" s="1219">
        <v>29</v>
      </c>
      <c r="B139" s="1449" t="s">
        <v>3429</v>
      </c>
      <c r="C139" s="1449"/>
      <c r="D139" s="1220" t="s">
        <v>3073</v>
      </c>
      <c r="E139" s="1212" t="s">
        <v>2936</v>
      </c>
      <c r="F139" s="1261" t="s">
        <v>3615</v>
      </c>
      <c r="G139" s="1221"/>
      <c r="H139" s="1221"/>
      <c r="I139" s="1231"/>
      <c r="J139" s="1232"/>
      <c r="K139" s="1233"/>
      <c r="L139" s="1213" t="s">
        <v>3698</v>
      </c>
    </row>
    <row r="140" spans="1:12" s="1208" customFormat="1" ht="12" customHeight="1">
      <c r="A140" s="1205"/>
      <c r="B140" s="1450"/>
      <c r="C140" s="1450"/>
      <c r="E140" s="1227"/>
      <c r="F140" s="1208" t="s">
        <v>3431</v>
      </c>
      <c r="I140" s="1209"/>
      <c r="J140" s="1215"/>
      <c r="L140" s="1213" t="s">
        <v>3698</v>
      </c>
    </row>
    <row r="141" spans="1:12" s="1208" customFormat="1" ht="12" customHeight="1">
      <c r="A141" s="1205"/>
      <c r="B141" s="1267"/>
      <c r="C141" s="1267"/>
      <c r="E141" s="1227"/>
      <c r="F141" s="1208" t="s">
        <v>3432</v>
      </c>
      <c r="I141" s="1209"/>
      <c r="J141" s="1215"/>
      <c r="L141" s="1213" t="s">
        <v>3698</v>
      </c>
    </row>
    <row r="142" spans="1:12" s="1208" customFormat="1" ht="12" customHeight="1">
      <c r="A142" s="1205"/>
      <c r="B142" s="1267"/>
      <c r="E142" s="1227"/>
      <c r="F142" s="1208" t="s">
        <v>3433</v>
      </c>
      <c r="I142" s="1209"/>
      <c r="J142" s="1215"/>
      <c r="L142" s="1213" t="s">
        <v>3698</v>
      </c>
    </row>
    <row r="143" spans="1:12" s="1208" customFormat="1" ht="12" customHeight="1">
      <c r="A143" s="1205"/>
      <c r="B143" s="1267"/>
      <c r="C143" s="1206"/>
      <c r="D143" s="1205"/>
      <c r="E143" s="1227"/>
      <c r="F143" s="1208" t="s">
        <v>3434</v>
      </c>
      <c r="I143" s="1209"/>
      <c r="J143" s="1215"/>
      <c r="L143" s="1213" t="s">
        <v>3698</v>
      </c>
    </row>
    <row r="144" spans="1:12" s="1208" customFormat="1" ht="12" customHeight="1">
      <c r="A144" s="1205"/>
      <c r="C144" s="1222"/>
      <c r="E144" s="1227"/>
      <c r="F144" s="1208" t="s">
        <v>3435</v>
      </c>
      <c r="I144" s="1209"/>
      <c r="J144" s="1215"/>
      <c r="L144" s="1213" t="s">
        <v>3698</v>
      </c>
    </row>
    <row r="145" spans="1:12" s="1208" customFormat="1" ht="12" customHeight="1">
      <c r="A145" s="1205"/>
      <c r="C145" s="1206"/>
      <c r="D145" s="1205"/>
      <c r="E145" s="1227"/>
      <c r="F145" s="1208" t="s">
        <v>3436</v>
      </c>
      <c r="I145" s="1209"/>
      <c r="J145" s="1215"/>
      <c r="L145" s="1213" t="s">
        <v>3698</v>
      </c>
    </row>
    <row r="146" spans="1:12" s="1208" customFormat="1" ht="12" customHeight="1">
      <c r="A146" s="1205"/>
      <c r="D146" s="1206" t="s">
        <v>3048</v>
      </c>
      <c r="E146" s="1214" t="s">
        <v>2934</v>
      </c>
      <c r="F146" s="1208" t="s">
        <v>3437</v>
      </c>
      <c r="I146" s="1209"/>
      <c r="J146" s="1215"/>
      <c r="L146" s="1213" t="s">
        <v>3699</v>
      </c>
    </row>
    <row r="147" spans="1:12" s="1208" customFormat="1" ht="12" customHeight="1">
      <c r="A147" s="1205"/>
      <c r="B147" s="1206"/>
      <c r="C147" s="1206"/>
      <c r="D147" s="1205" t="s">
        <v>3076</v>
      </c>
      <c r="E147" s="1214" t="s">
        <v>2935</v>
      </c>
      <c r="F147" s="1208" t="s">
        <v>3438</v>
      </c>
      <c r="I147" s="1209"/>
      <c r="J147" s="1215"/>
      <c r="L147" s="1213" t="s">
        <v>3699</v>
      </c>
    </row>
    <row r="148" spans="1:12" s="1208" customFormat="1" ht="12" customHeight="1">
      <c r="A148" s="1205"/>
      <c r="B148" s="1206"/>
      <c r="C148" s="1206"/>
      <c r="D148" s="1206"/>
      <c r="E148" s="1227"/>
      <c r="F148" s="1208" t="s">
        <v>3439</v>
      </c>
      <c r="I148" s="1209"/>
      <c r="J148" s="1215"/>
      <c r="L148" s="1213" t="s">
        <v>3699</v>
      </c>
    </row>
    <row r="149" spans="1:12" s="1208" customFormat="1" ht="12" customHeight="1">
      <c r="A149" s="1219">
        <v>30</v>
      </c>
      <c r="B149" s="1449" t="s">
        <v>3455</v>
      </c>
      <c r="C149" s="1449"/>
      <c r="D149" s="1220" t="s">
        <v>3073</v>
      </c>
      <c r="E149" s="1212" t="s">
        <v>2936</v>
      </c>
      <c r="F149" s="1221" t="s">
        <v>3453</v>
      </c>
      <c r="G149" s="1221"/>
      <c r="H149" s="1221"/>
      <c r="I149" s="1231"/>
      <c r="J149" s="1232"/>
      <c r="K149" s="1233"/>
      <c r="L149" s="1213" t="s">
        <v>3699</v>
      </c>
    </row>
    <row r="150" spans="1:12" s="1208" customFormat="1">
      <c r="A150" s="1205"/>
      <c r="B150" s="1450"/>
      <c r="C150" s="1450"/>
      <c r="D150" s="1206"/>
      <c r="E150" s="1214"/>
      <c r="F150" s="1466" t="s">
        <v>3454</v>
      </c>
      <c r="G150" s="1466"/>
      <c r="H150" s="1466"/>
      <c r="I150" s="1466"/>
      <c r="J150" s="1466"/>
      <c r="K150" s="1467"/>
      <c r="L150" s="1213" t="s">
        <v>3699</v>
      </c>
    </row>
    <row r="151" spans="1:12" s="1208" customFormat="1">
      <c r="A151" s="1205"/>
      <c r="C151" s="1222"/>
      <c r="D151" s="1206" t="s">
        <v>3048</v>
      </c>
      <c r="E151" s="1214" t="s">
        <v>2934</v>
      </c>
      <c r="F151" s="1470" t="s">
        <v>3456</v>
      </c>
      <c r="G151" s="1471"/>
      <c r="H151" s="1471"/>
      <c r="I151" s="1471"/>
      <c r="J151" s="1471"/>
      <c r="K151" s="1472"/>
      <c r="L151" s="1213" t="s">
        <v>3698</v>
      </c>
    </row>
    <row r="152" spans="1:12" s="1208" customFormat="1" ht="12" customHeight="1">
      <c r="A152" s="1219">
        <v>31</v>
      </c>
      <c r="B152" s="1220" t="s">
        <v>3462</v>
      </c>
      <c r="C152" s="1220"/>
      <c r="D152" s="1220"/>
      <c r="E152" s="1212" t="s">
        <v>2936</v>
      </c>
      <c r="F152" s="1221" t="s">
        <v>3115</v>
      </c>
      <c r="G152" s="1221"/>
      <c r="H152" s="1221"/>
      <c r="I152" s="1231"/>
      <c r="J152" s="1232"/>
      <c r="K152" s="1233"/>
      <c r="L152" s="1213" t="s">
        <v>3699</v>
      </c>
    </row>
    <row r="153" spans="1:12" s="1208" customFormat="1" ht="12" customHeight="1">
      <c r="A153" s="1219">
        <v>32</v>
      </c>
      <c r="B153" s="1220" t="s">
        <v>3461</v>
      </c>
      <c r="C153" s="1220"/>
      <c r="D153" s="1220"/>
      <c r="E153" s="1212" t="s">
        <v>2936</v>
      </c>
      <c r="F153" s="1221" t="s">
        <v>3116</v>
      </c>
      <c r="G153" s="1221"/>
      <c r="H153" s="1221"/>
      <c r="I153" s="1231"/>
      <c r="J153" s="1232"/>
      <c r="K153" s="1233"/>
      <c r="L153" s="1213" t="s">
        <v>3699</v>
      </c>
    </row>
    <row r="154" spans="1:12" s="1208" customFormat="1" ht="12" customHeight="1">
      <c r="A154" s="1205"/>
      <c r="B154" s="1206"/>
      <c r="C154" s="1206"/>
      <c r="D154" s="1206"/>
      <c r="E154" s="1214" t="s">
        <v>2934</v>
      </c>
      <c r="F154" s="1208" t="s">
        <v>3457</v>
      </c>
      <c r="I154" s="1209"/>
      <c r="J154" s="1215"/>
      <c r="L154" s="1213" t="s">
        <v>3699</v>
      </c>
    </row>
    <row r="155" spans="1:12" s="1208" customFormat="1" ht="12" customHeight="1">
      <c r="A155" s="1205"/>
      <c r="B155" s="1206"/>
      <c r="C155" s="1206"/>
      <c r="D155" s="1206"/>
      <c r="E155" s="1214" t="s">
        <v>2935</v>
      </c>
      <c r="F155" s="1208" t="s">
        <v>3458</v>
      </c>
      <c r="I155" s="1209"/>
      <c r="J155" s="1215"/>
      <c r="L155" s="1213" t="s">
        <v>3699</v>
      </c>
    </row>
    <row r="156" spans="1:12" s="1208" customFormat="1" ht="12" customHeight="1">
      <c r="A156" s="1205"/>
      <c r="B156" s="1206"/>
      <c r="C156" s="1206"/>
      <c r="D156" s="1206"/>
      <c r="E156" s="1214" t="s">
        <v>2937</v>
      </c>
      <c r="F156" s="1208" t="s">
        <v>3459</v>
      </c>
      <c r="I156" s="1209"/>
      <c r="J156" s="1215"/>
      <c r="L156" s="1213" t="s">
        <v>3699</v>
      </c>
    </row>
    <row r="157" spans="1:12" s="1208" customFormat="1" ht="12" customHeight="1">
      <c r="A157" s="1205"/>
      <c r="B157" s="1206"/>
      <c r="C157" s="1206"/>
      <c r="D157" s="1206"/>
      <c r="E157" s="1214" t="s">
        <v>2938</v>
      </c>
      <c r="F157" s="1208" t="s">
        <v>3460</v>
      </c>
      <c r="I157" s="1209"/>
      <c r="J157" s="1215"/>
      <c r="L157" s="1213" t="s">
        <v>3699</v>
      </c>
    </row>
    <row r="158" spans="1:12" s="1208" customFormat="1" ht="12" customHeight="1">
      <c r="A158" s="1219">
        <v>33</v>
      </c>
      <c r="B158" s="1220" t="s">
        <v>3463</v>
      </c>
      <c r="C158" s="1220"/>
      <c r="D158" s="1220"/>
      <c r="E158" s="1268" t="s">
        <v>2936</v>
      </c>
      <c r="F158" s="1221" t="s">
        <v>3464</v>
      </c>
      <c r="G158" s="1221"/>
      <c r="H158" s="1221"/>
      <c r="I158" s="1231"/>
      <c r="J158" s="1232"/>
      <c r="K158" s="1233"/>
      <c r="L158" s="1213" t="s">
        <v>3699</v>
      </c>
    </row>
    <row r="159" spans="1:12" s="1208" customFormat="1" ht="11.25" customHeight="1">
      <c r="A159" s="1219">
        <v>34</v>
      </c>
      <c r="B159" s="1449" t="s">
        <v>3465</v>
      </c>
      <c r="C159" s="1449"/>
      <c r="D159" s="1220" t="s">
        <v>3076</v>
      </c>
      <c r="E159" s="1212" t="s">
        <v>2936</v>
      </c>
      <c r="F159" s="1208" t="s">
        <v>3616</v>
      </c>
      <c r="G159" s="1221"/>
      <c r="H159" s="1221"/>
      <c r="I159" s="1231"/>
      <c r="J159" s="1232"/>
      <c r="K159" s="1233"/>
      <c r="L159" s="1213" t="s">
        <v>3699</v>
      </c>
    </row>
    <row r="160" spans="1:12" s="1208" customFormat="1" ht="11.25" customHeight="1">
      <c r="A160" s="1205"/>
      <c r="B160" s="1450"/>
      <c r="C160" s="1450"/>
      <c r="D160" s="1206"/>
      <c r="E160" s="1214" t="s">
        <v>2934</v>
      </c>
      <c r="F160" s="1208" t="s">
        <v>3617</v>
      </c>
      <c r="I160" s="1209"/>
      <c r="J160" s="1215"/>
      <c r="L160" s="1213" t="s">
        <v>3699</v>
      </c>
    </row>
    <row r="161" spans="1:12" s="1208" customFormat="1" ht="11.25" customHeight="1">
      <c r="A161" s="1205"/>
      <c r="B161" s="1269"/>
      <c r="C161" s="1269"/>
      <c r="D161" s="1205"/>
      <c r="E161" s="1214" t="s">
        <v>2935</v>
      </c>
      <c r="F161" s="1208" t="s">
        <v>3618</v>
      </c>
      <c r="I161" s="1209"/>
      <c r="J161" s="1215"/>
      <c r="L161" s="1213" t="s">
        <v>3699</v>
      </c>
    </row>
    <row r="162" spans="1:12" s="1208" customFormat="1" ht="11.25" customHeight="1">
      <c r="A162" s="1205"/>
      <c r="B162" s="1206"/>
      <c r="C162" s="1206"/>
      <c r="D162" s="1206"/>
      <c r="E162" s="1214" t="s">
        <v>2937</v>
      </c>
      <c r="F162" s="1208" t="s">
        <v>3619</v>
      </c>
      <c r="I162" s="1209"/>
      <c r="J162" s="1215"/>
      <c r="L162" s="1213" t="s">
        <v>3699</v>
      </c>
    </row>
    <row r="163" spans="1:12" s="1208" customFormat="1" ht="11.25" customHeight="1">
      <c r="A163" s="1205"/>
      <c r="B163" s="1206"/>
      <c r="C163" s="1206"/>
      <c r="D163" s="1206"/>
      <c r="E163" s="1214" t="s">
        <v>2938</v>
      </c>
      <c r="F163" s="1208" t="s">
        <v>3620</v>
      </c>
      <c r="I163" s="1209"/>
      <c r="J163" s="1215"/>
      <c r="L163" s="1213" t="s">
        <v>3699</v>
      </c>
    </row>
    <row r="164" spans="1:12" s="1208" customFormat="1" ht="11.25" customHeight="1">
      <c r="A164" s="1237"/>
      <c r="B164" s="1238"/>
      <c r="C164" s="1238"/>
      <c r="D164" s="1239"/>
      <c r="E164" s="1235" t="s">
        <v>2939</v>
      </c>
      <c r="F164" s="1239" t="s">
        <v>3621</v>
      </c>
      <c r="G164" s="1239"/>
      <c r="H164" s="1239"/>
      <c r="I164" s="1209"/>
      <c r="J164" s="1215"/>
      <c r="L164" s="1213" t="s">
        <v>3699</v>
      </c>
    </row>
    <row r="165" spans="1:12" s="1208" customFormat="1" ht="11.25" customHeight="1">
      <c r="A165" s="1219">
        <v>35</v>
      </c>
      <c r="B165" s="1449" t="s">
        <v>3466</v>
      </c>
      <c r="C165" s="1220"/>
      <c r="D165" s="1220" t="s">
        <v>3073</v>
      </c>
      <c r="E165" s="1212" t="s">
        <v>2936</v>
      </c>
      <c r="F165" s="1221" t="s">
        <v>3179</v>
      </c>
      <c r="G165" s="1221"/>
      <c r="H165" s="1221"/>
      <c r="I165" s="1231"/>
      <c r="J165" s="1221"/>
      <c r="K165" s="1233"/>
      <c r="L165" s="1213" t="s">
        <v>3699</v>
      </c>
    </row>
    <row r="166" spans="1:12" s="1208" customFormat="1" ht="11.25" customHeight="1">
      <c r="A166" s="1205"/>
      <c r="B166" s="1450"/>
      <c r="C166" s="1206"/>
      <c r="D166" s="1206"/>
      <c r="E166" s="1227"/>
      <c r="F166" s="1208" t="s">
        <v>3180</v>
      </c>
      <c r="I166" s="1209"/>
      <c r="J166" s="1215"/>
      <c r="L166" s="1213" t="s">
        <v>3699</v>
      </c>
    </row>
    <row r="167" spans="1:12" s="1208" customFormat="1" ht="11.25" customHeight="1">
      <c r="A167" s="1205"/>
      <c r="B167" s="1450"/>
      <c r="C167" s="1206"/>
      <c r="D167" s="1206"/>
      <c r="E167" s="1227"/>
      <c r="F167" s="1208" t="s">
        <v>3181</v>
      </c>
      <c r="I167" s="1209"/>
      <c r="J167" s="1215"/>
      <c r="L167" s="1213" t="s">
        <v>3699</v>
      </c>
    </row>
    <row r="168" spans="1:12" s="1208" customFormat="1" ht="11.25" customHeight="1">
      <c r="A168" s="1205"/>
      <c r="B168" s="1206"/>
      <c r="C168" s="1206"/>
      <c r="D168" s="1206"/>
      <c r="E168" s="1227"/>
      <c r="F168" s="1208" t="s">
        <v>3182</v>
      </c>
      <c r="I168" s="1209"/>
      <c r="J168" s="1215"/>
      <c r="L168" s="1213" t="s">
        <v>3699</v>
      </c>
    </row>
    <row r="169" spans="1:12" s="1208" customFormat="1" ht="11.25" customHeight="1">
      <c r="A169" s="1205"/>
      <c r="B169" s="1206"/>
      <c r="C169" s="1206"/>
      <c r="D169" s="1206"/>
      <c r="E169" s="1227"/>
      <c r="F169" s="1208" t="s">
        <v>3183</v>
      </c>
      <c r="I169" s="1209"/>
      <c r="J169" s="1215"/>
      <c r="L169" s="1213" t="s">
        <v>3699</v>
      </c>
    </row>
    <row r="170" spans="1:12" s="1208" customFormat="1" ht="11.25" customHeight="1">
      <c r="A170" s="1205"/>
      <c r="B170" s="1206"/>
      <c r="C170" s="1206"/>
      <c r="D170" s="1206"/>
      <c r="E170" s="1227"/>
      <c r="F170" s="1208" t="s">
        <v>3184</v>
      </c>
      <c r="I170" s="1209"/>
      <c r="J170" s="1215"/>
      <c r="L170" s="1213" t="s">
        <v>3699</v>
      </c>
    </row>
    <row r="171" spans="1:12" s="1208" customFormat="1" ht="11.25" customHeight="1">
      <c r="A171" s="1205"/>
      <c r="C171" s="1222"/>
      <c r="D171" s="1206" t="s">
        <v>3048</v>
      </c>
      <c r="E171" s="1214" t="s">
        <v>2934</v>
      </c>
      <c r="F171" s="1208" t="s">
        <v>3185</v>
      </c>
      <c r="I171" s="1209"/>
      <c r="J171" s="1215"/>
      <c r="L171" s="1213" t="s">
        <v>3699</v>
      </c>
    </row>
    <row r="172" spans="1:12" s="1208" customFormat="1" ht="11.25" customHeight="1">
      <c r="A172" s="1205"/>
      <c r="B172" s="1206"/>
      <c r="C172" s="1206"/>
      <c r="D172" s="1206"/>
      <c r="E172" s="1227"/>
      <c r="F172" s="1208" t="s">
        <v>3186</v>
      </c>
      <c r="I172" s="1209"/>
      <c r="J172" s="1215"/>
      <c r="L172" s="1213" t="s">
        <v>3699</v>
      </c>
    </row>
    <row r="173" spans="1:12" s="1208" customFormat="1" ht="21.75" customHeight="1">
      <c r="A173" s="1219">
        <v>36</v>
      </c>
      <c r="B173" s="1449" t="s">
        <v>3467</v>
      </c>
      <c r="C173" s="1449"/>
      <c r="D173" s="1220" t="s">
        <v>3073</v>
      </c>
      <c r="E173" s="1212" t="s">
        <v>2936</v>
      </c>
      <c r="F173" s="1475" t="s">
        <v>3622</v>
      </c>
      <c r="G173" s="1476"/>
      <c r="H173" s="1476"/>
      <c r="I173" s="1476"/>
      <c r="J173" s="1476"/>
      <c r="K173" s="1477"/>
      <c r="L173" s="1213" t="s">
        <v>3698</v>
      </c>
    </row>
    <row r="174" spans="1:12" s="1208" customFormat="1" ht="11.25" customHeight="1">
      <c r="A174" s="1205"/>
      <c r="B174" s="1450"/>
      <c r="C174" s="1450"/>
      <c r="D174" s="1206"/>
      <c r="E174" s="1214" t="s">
        <v>2934</v>
      </c>
      <c r="F174" s="1270" t="s">
        <v>3623</v>
      </c>
      <c r="G174" s="1270"/>
      <c r="H174" s="1270"/>
      <c r="I174" s="1209"/>
      <c r="J174" s="1215"/>
      <c r="L174" s="1213" t="s">
        <v>3698</v>
      </c>
    </row>
    <row r="175" spans="1:12" s="1208" customFormat="1" ht="11.25" customHeight="1">
      <c r="A175" s="1219">
        <v>37</v>
      </c>
      <c r="B175" s="1449" t="s">
        <v>3468</v>
      </c>
      <c r="C175" s="1449"/>
      <c r="D175" s="1220" t="s">
        <v>3073</v>
      </c>
      <c r="E175" s="1212" t="s">
        <v>2936</v>
      </c>
      <c r="F175" s="1221" t="s">
        <v>494</v>
      </c>
      <c r="G175" s="1221"/>
      <c r="H175" s="1221"/>
      <c r="I175" s="1231"/>
      <c r="J175" s="1232"/>
      <c r="K175" s="1233"/>
      <c r="L175" s="1213" t="s">
        <v>3699</v>
      </c>
    </row>
    <row r="176" spans="1:12" s="1208" customFormat="1" ht="11.25" customHeight="1">
      <c r="A176" s="1205"/>
      <c r="B176" s="1450"/>
      <c r="C176" s="1450"/>
      <c r="D176" s="1206"/>
      <c r="E176" s="1214" t="s">
        <v>2934</v>
      </c>
      <c r="F176" s="1208" t="s">
        <v>448</v>
      </c>
      <c r="I176" s="1209"/>
      <c r="J176" s="1215"/>
      <c r="L176" s="1213" t="s">
        <v>3699</v>
      </c>
    </row>
    <row r="177" spans="1:12" s="1208" customFormat="1" ht="11.25" customHeight="1">
      <c r="A177" s="1205"/>
      <c r="B177" s="1206"/>
      <c r="C177" s="1206"/>
      <c r="D177" s="1206"/>
      <c r="E177" s="1214" t="s">
        <v>2935</v>
      </c>
      <c r="F177" s="1208" t="s">
        <v>3117</v>
      </c>
      <c r="I177" s="1209"/>
      <c r="J177" s="1215"/>
      <c r="L177" s="1213" t="s">
        <v>3699</v>
      </c>
    </row>
    <row r="178" spans="1:12" s="1208" customFormat="1" ht="11.25" customHeight="1">
      <c r="A178" s="1205"/>
      <c r="B178" s="1206"/>
      <c r="C178" s="1206"/>
      <c r="D178" s="1206"/>
      <c r="E178" s="1214" t="s">
        <v>2937</v>
      </c>
      <c r="F178" s="1208" t="s">
        <v>3469</v>
      </c>
      <c r="I178" s="1209"/>
      <c r="J178" s="1215"/>
      <c r="L178" s="1213" t="s">
        <v>3699</v>
      </c>
    </row>
    <row r="179" spans="1:12" s="1208" customFormat="1" ht="11.25" customHeight="1">
      <c r="A179" s="1205"/>
      <c r="C179" s="1222"/>
      <c r="D179" s="1222" t="s">
        <v>3470</v>
      </c>
      <c r="E179" s="1214" t="s">
        <v>2938</v>
      </c>
      <c r="F179" s="1208" t="s">
        <v>3118</v>
      </c>
      <c r="I179" s="1209"/>
      <c r="J179" s="1215"/>
      <c r="L179" s="1213" t="s">
        <v>3699</v>
      </c>
    </row>
    <row r="180" spans="1:12" s="1208" customFormat="1" ht="11.25" customHeight="1">
      <c r="A180" s="1219">
        <v>38</v>
      </c>
      <c r="B180" s="1220" t="s">
        <v>3471</v>
      </c>
      <c r="C180" s="1220"/>
      <c r="D180" s="1271" t="s">
        <v>3470</v>
      </c>
      <c r="E180" s="1212" t="s">
        <v>2936</v>
      </c>
      <c r="F180" s="1221" t="s">
        <v>3472</v>
      </c>
      <c r="G180" s="1221"/>
      <c r="H180" s="1221"/>
      <c r="I180" s="1231"/>
      <c r="J180" s="1232"/>
      <c r="K180" s="1233"/>
      <c r="L180" s="1213" t="s">
        <v>3698</v>
      </c>
    </row>
    <row r="181" spans="1:12" s="1208" customFormat="1" ht="11.25" customHeight="1">
      <c r="A181" s="1205"/>
      <c r="C181" s="1222"/>
      <c r="D181" s="1206" t="s">
        <v>3441</v>
      </c>
      <c r="E181" s="1214" t="s">
        <v>2935</v>
      </c>
      <c r="F181" s="1208" t="s">
        <v>3473</v>
      </c>
      <c r="I181" s="1209"/>
      <c r="J181" s="1215"/>
      <c r="L181" s="1213" t="s">
        <v>3698</v>
      </c>
    </row>
    <row r="182" spans="1:12" s="1208" customFormat="1" ht="11.25" customHeight="1">
      <c r="A182" s="1205"/>
      <c r="C182" s="1222"/>
      <c r="D182" s="1206" t="s">
        <v>3091</v>
      </c>
      <c r="E182" s="1214" t="s">
        <v>2937</v>
      </c>
      <c r="F182" s="1208" t="s">
        <v>3629</v>
      </c>
      <c r="I182" s="1209"/>
      <c r="J182" s="1215"/>
      <c r="L182" s="1213" t="s">
        <v>3698</v>
      </c>
    </row>
    <row r="183" spans="1:12" s="1208" customFormat="1" ht="11.25" customHeight="1">
      <c r="A183" s="1219" t="s">
        <v>3474</v>
      </c>
      <c r="B183" s="1220" t="s">
        <v>3475</v>
      </c>
      <c r="C183" s="1220"/>
      <c r="D183" s="1220"/>
      <c r="E183" s="1212" t="s">
        <v>2936</v>
      </c>
      <c r="F183" s="1221" t="s">
        <v>3627</v>
      </c>
      <c r="G183" s="1221"/>
      <c r="H183" s="1221"/>
      <c r="I183" s="1231"/>
      <c r="J183" s="1232"/>
      <c r="K183" s="1233"/>
      <c r="L183" s="1213" t="s">
        <v>3699</v>
      </c>
    </row>
    <row r="184" spans="1:12" s="1208" customFormat="1" ht="11.25" customHeight="1">
      <c r="A184" s="1252"/>
      <c r="B184" s="1241"/>
      <c r="C184" s="1241"/>
      <c r="D184" s="1206"/>
      <c r="E184" s="1214" t="s">
        <v>2934</v>
      </c>
      <c r="F184" s="1208" t="s">
        <v>3628</v>
      </c>
      <c r="I184" s="1209"/>
      <c r="J184" s="1215"/>
      <c r="L184" s="1213" t="s">
        <v>3699</v>
      </c>
    </row>
    <row r="185" spans="1:12" s="1208" customFormat="1" ht="11.25" customHeight="1">
      <c r="A185" s="1205"/>
      <c r="B185" s="1206"/>
      <c r="C185" s="1206"/>
      <c r="D185" s="1206"/>
      <c r="E185" s="1214" t="s">
        <v>2935</v>
      </c>
      <c r="F185" s="1208" t="s">
        <v>3476</v>
      </c>
      <c r="I185" s="1209"/>
      <c r="L185" s="1213" t="s">
        <v>3699</v>
      </c>
    </row>
    <row r="186" spans="1:12" s="1208" customFormat="1" ht="11.25" customHeight="1">
      <c r="A186" s="1219" t="s">
        <v>3477</v>
      </c>
      <c r="B186" s="1220" t="s">
        <v>3478</v>
      </c>
      <c r="C186" s="1220"/>
      <c r="D186" s="1220"/>
      <c r="E186" s="1268" t="s">
        <v>2936</v>
      </c>
      <c r="F186" s="1221" t="s">
        <v>3479</v>
      </c>
      <c r="G186" s="1221"/>
      <c r="H186" s="1221"/>
      <c r="I186" s="1231"/>
      <c r="J186" s="1232"/>
      <c r="K186" s="1233"/>
      <c r="L186" s="1213" t="s">
        <v>3698</v>
      </c>
    </row>
    <row r="187" spans="1:12" s="1208" customFormat="1" ht="11.25" customHeight="1">
      <c r="A187" s="1219" t="s">
        <v>3480</v>
      </c>
      <c r="B187" s="1220" t="s">
        <v>3481</v>
      </c>
      <c r="C187" s="1220"/>
      <c r="D187" s="1220"/>
      <c r="E187" s="1268" t="s">
        <v>2936</v>
      </c>
      <c r="F187" s="1221" t="s">
        <v>3482</v>
      </c>
      <c r="G187" s="1221"/>
      <c r="H187" s="1221"/>
      <c r="I187" s="1231"/>
      <c r="J187" s="1232"/>
      <c r="K187" s="1233"/>
      <c r="L187" s="1213" t="s">
        <v>3699</v>
      </c>
    </row>
    <row r="188" spans="1:12" s="1208" customFormat="1" ht="11.25" customHeight="1">
      <c r="A188" s="1272" t="s">
        <v>3483</v>
      </c>
      <c r="B188" s="1273" t="s">
        <v>3216</v>
      </c>
      <c r="C188" s="1273"/>
      <c r="D188" s="1273"/>
      <c r="E188" s="1478" t="s">
        <v>3024</v>
      </c>
      <c r="F188" s="1274"/>
      <c r="G188" s="1275" t="s">
        <v>3217</v>
      </c>
      <c r="H188" s="1274"/>
      <c r="I188" s="1274"/>
      <c r="J188" s="1274"/>
      <c r="K188" s="1274"/>
    </row>
    <row r="189" spans="1:12" s="1208" customFormat="1" ht="11.25" customHeight="1">
      <c r="A189" s="1252"/>
      <c r="B189" s="1480" t="s">
        <v>3202</v>
      </c>
      <c r="C189" s="1480"/>
      <c r="D189" s="1276" t="s">
        <v>3203</v>
      </c>
      <c r="E189" s="1479"/>
      <c r="F189" s="1277" t="s">
        <v>3215</v>
      </c>
      <c r="G189" s="1278"/>
      <c r="H189" s="1278"/>
      <c r="I189" s="1278"/>
      <c r="J189" s="1278"/>
      <c r="K189" s="1278"/>
    </row>
    <row r="190" spans="1:12" s="1208" customFormat="1" ht="11.25" customHeight="1">
      <c r="A190" s="1252"/>
      <c r="B190" s="1481" t="s">
        <v>3852</v>
      </c>
      <c r="C190" s="1482"/>
      <c r="D190" s="1279" t="s">
        <v>3850</v>
      </c>
      <c r="E190" s="1280" t="s">
        <v>2936</v>
      </c>
      <c r="F190" s="1483" t="s">
        <v>3851</v>
      </c>
      <c r="G190" s="1483"/>
      <c r="H190" s="1483"/>
      <c r="I190" s="1483"/>
      <c r="J190" s="1483"/>
      <c r="K190" s="1483"/>
      <c r="L190" s="1213" t="s">
        <v>3698</v>
      </c>
    </row>
    <row r="191" spans="1:12" s="1208" customFormat="1" ht="11.25" customHeight="1">
      <c r="A191" s="1205"/>
      <c r="B191" s="1484"/>
      <c r="C191" s="1485"/>
      <c r="D191" s="1281"/>
      <c r="E191" s="1282" t="s">
        <v>2934</v>
      </c>
      <c r="F191" s="1486"/>
      <c r="G191" s="1486"/>
      <c r="H191" s="1486"/>
      <c r="I191" s="1486"/>
      <c r="J191" s="1486"/>
      <c r="K191" s="1486"/>
      <c r="L191" s="1213"/>
    </row>
    <row r="192" spans="1:12" s="1208" customFormat="1" ht="11.25" customHeight="1">
      <c r="A192" s="1205"/>
      <c r="B192" s="1484"/>
      <c r="C192" s="1485"/>
      <c r="D192" s="1281"/>
      <c r="E192" s="1282" t="s">
        <v>2935</v>
      </c>
      <c r="F192" s="1486"/>
      <c r="G192" s="1486"/>
      <c r="H192" s="1486"/>
      <c r="I192" s="1486"/>
      <c r="J192" s="1486"/>
      <c r="K192" s="1486"/>
      <c r="L192" s="1213"/>
    </row>
    <row r="193" spans="1:12" s="1208" customFormat="1" ht="11.25" customHeight="1">
      <c r="A193" s="1205"/>
      <c r="B193" s="1484"/>
      <c r="C193" s="1485"/>
      <c r="D193" s="1281"/>
      <c r="E193" s="1282" t="s">
        <v>2937</v>
      </c>
      <c r="F193" s="1486"/>
      <c r="G193" s="1486"/>
      <c r="H193" s="1486"/>
      <c r="I193" s="1486"/>
      <c r="J193" s="1486"/>
      <c r="K193" s="1486"/>
      <c r="L193" s="1213"/>
    </row>
    <row r="194" spans="1:12" s="1208" customFormat="1" ht="11.25" customHeight="1">
      <c r="A194" s="1205"/>
      <c r="B194" s="1484"/>
      <c r="C194" s="1485"/>
      <c r="D194" s="1281"/>
      <c r="E194" s="1282" t="s">
        <v>2938</v>
      </c>
      <c r="F194" s="1486"/>
      <c r="G194" s="1486"/>
      <c r="H194" s="1486"/>
      <c r="I194" s="1486"/>
      <c r="J194" s="1486"/>
      <c r="K194" s="1486"/>
      <c r="L194" s="1213"/>
    </row>
    <row r="195" spans="1:12" s="1208" customFormat="1" ht="11.25" customHeight="1">
      <c r="A195" s="1205"/>
      <c r="B195" s="1484"/>
      <c r="C195" s="1485"/>
      <c r="D195" s="1281"/>
      <c r="E195" s="1282" t="s">
        <v>2939</v>
      </c>
      <c r="F195" s="1486"/>
      <c r="G195" s="1486"/>
      <c r="H195" s="1486"/>
      <c r="I195" s="1486"/>
      <c r="J195" s="1486"/>
      <c r="K195" s="1486"/>
      <c r="L195" s="1213"/>
    </row>
    <row r="196" spans="1:12" s="1208" customFormat="1" ht="11.25" customHeight="1">
      <c r="A196" s="1205"/>
      <c r="B196" s="1484"/>
      <c r="C196" s="1485"/>
      <c r="D196" s="1281"/>
      <c r="E196" s="1282" t="s">
        <v>2940</v>
      </c>
      <c r="F196" s="1486"/>
      <c r="G196" s="1486"/>
      <c r="H196" s="1486"/>
      <c r="I196" s="1486"/>
      <c r="J196" s="1486"/>
      <c r="K196" s="1486"/>
      <c r="L196" s="1213"/>
    </row>
    <row r="197" spans="1:12" s="1208" customFormat="1" ht="11.25" customHeight="1">
      <c r="A197" s="1205"/>
      <c r="B197" s="1484"/>
      <c r="C197" s="1485"/>
      <c r="D197" s="1281"/>
      <c r="E197" s="1282" t="s">
        <v>3141</v>
      </c>
      <c r="F197" s="1486"/>
      <c r="G197" s="1486"/>
      <c r="H197" s="1486"/>
      <c r="I197" s="1486"/>
      <c r="J197" s="1486"/>
      <c r="K197" s="1486"/>
      <c r="L197" s="1213"/>
    </row>
    <row r="198" spans="1:12" s="1208" customFormat="1" ht="11.25" customHeight="1">
      <c r="A198" s="1205"/>
      <c r="B198" s="1484"/>
      <c r="C198" s="1485"/>
      <c r="D198" s="1281"/>
      <c r="E198" s="1282" t="s">
        <v>3142</v>
      </c>
      <c r="F198" s="1486"/>
      <c r="G198" s="1486"/>
      <c r="H198" s="1486"/>
      <c r="I198" s="1486"/>
      <c r="J198" s="1486"/>
      <c r="K198" s="1486"/>
      <c r="L198" s="1213"/>
    </row>
    <row r="199" spans="1:12" s="1208" customFormat="1" ht="11.25" customHeight="1">
      <c r="A199" s="1205"/>
      <c r="B199" s="1487"/>
      <c r="C199" s="1488"/>
      <c r="D199" s="1283"/>
      <c r="E199" s="1284" t="s">
        <v>3200</v>
      </c>
      <c r="F199" s="1489"/>
      <c r="G199" s="1489"/>
      <c r="H199" s="1489"/>
      <c r="I199" s="1489"/>
      <c r="J199" s="1489"/>
      <c r="K199" s="1489"/>
      <c r="L199" s="1213"/>
    </row>
    <row r="200" spans="1:12" s="1208" customFormat="1" ht="39" customHeight="1">
      <c r="A200" s="1490" t="s">
        <v>3218</v>
      </c>
      <c r="B200" s="1490"/>
      <c r="C200" s="1490"/>
      <c r="D200" s="1490"/>
      <c r="E200" s="1490"/>
      <c r="F200" s="1490"/>
      <c r="G200" s="1490"/>
      <c r="H200" s="1490"/>
      <c r="I200" s="1490"/>
      <c r="J200" s="1490"/>
      <c r="K200" s="1490"/>
      <c r="L200" s="1490"/>
    </row>
    <row r="201" spans="1:12" s="1208" customFormat="1">
      <c r="A201" s="1205"/>
      <c r="B201" s="1206"/>
      <c r="C201" s="1206"/>
      <c r="D201" s="1206"/>
      <c r="E201" s="1230"/>
      <c r="I201" s="1209"/>
    </row>
    <row r="202" spans="1:12" s="1208" customFormat="1">
      <c r="A202" s="1205"/>
      <c r="B202" s="1206"/>
      <c r="C202" s="1206"/>
      <c r="D202" s="1206"/>
      <c r="E202" s="1230"/>
      <c r="I202" s="1209"/>
    </row>
    <row r="203" spans="1:12" s="1208" customFormat="1">
      <c r="A203" s="1205"/>
      <c r="B203" s="1206"/>
      <c r="C203" s="1206"/>
      <c r="D203" s="1206"/>
      <c r="E203" s="1230"/>
      <c r="I203" s="1209"/>
    </row>
    <row r="204" spans="1:12" s="1208" customFormat="1">
      <c r="A204" s="1205"/>
      <c r="B204" s="1206"/>
      <c r="C204" s="1206"/>
      <c r="D204" s="1206"/>
      <c r="E204" s="1230"/>
      <c r="I204" s="1209"/>
    </row>
    <row r="205" spans="1:12" s="1208" customFormat="1">
      <c r="A205" s="1205"/>
      <c r="B205" s="1206"/>
      <c r="C205" s="1206"/>
      <c r="D205" s="1206"/>
      <c r="E205" s="1230"/>
      <c r="I205" s="1209"/>
    </row>
    <row r="206" spans="1:12" s="1208" customFormat="1">
      <c r="A206" s="1205"/>
      <c r="B206" s="1206"/>
      <c r="C206" s="1206"/>
      <c r="D206" s="1206"/>
      <c r="E206" s="1230"/>
      <c r="I206" s="1209"/>
    </row>
    <row r="207" spans="1:12" s="1208" customFormat="1">
      <c r="A207" s="1205"/>
      <c r="B207" s="1206"/>
      <c r="C207" s="1206"/>
      <c r="D207" s="1206"/>
      <c r="E207" s="1230"/>
      <c r="I207" s="1209"/>
    </row>
    <row r="208" spans="1:12" s="1208" customFormat="1">
      <c r="A208" s="1205"/>
      <c r="B208" s="1206"/>
      <c r="C208" s="1206"/>
      <c r="D208" s="1206"/>
      <c r="E208" s="1230"/>
      <c r="I208" s="1209"/>
    </row>
    <row r="209" spans="1:9" s="1208" customFormat="1">
      <c r="A209" s="1205"/>
      <c r="B209" s="1206"/>
      <c r="C209" s="1206"/>
      <c r="D209" s="1206"/>
      <c r="E209" s="1230"/>
      <c r="I209" s="1209"/>
    </row>
    <row r="210" spans="1:9" s="1208" customFormat="1">
      <c r="A210" s="1205"/>
      <c r="B210" s="1206"/>
      <c r="C210" s="1206"/>
      <c r="D210" s="1206"/>
      <c r="E210" s="1230"/>
      <c r="I210" s="1209"/>
    </row>
    <row r="211" spans="1:9" s="1208" customFormat="1">
      <c r="A211" s="1205"/>
      <c r="B211" s="1206"/>
      <c r="C211" s="1206"/>
      <c r="D211" s="1206"/>
      <c r="E211" s="1230"/>
      <c r="I211" s="1209"/>
    </row>
    <row r="212" spans="1:9" s="1208" customFormat="1">
      <c r="A212" s="1205"/>
      <c r="B212" s="1206"/>
      <c r="C212" s="1206"/>
      <c r="D212" s="1206"/>
      <c r="E212" s="1230"/>
      <c r="I212" s="1209"/>
    </row>
    <row r="213" spans="1:9" s="1208" customFormat="1">
      <c r="A213" s="1205"/>
      <c r="B213" s="1206"/>
      <c r="C213" s="1206"/>
      <c r="D213" s="1206"/>
      <c r="E213" s="1230"/>
      <c r="I213" s="1209"/>
    </row>
    <row r="214" spans="1:9" s="1208" customFormat="1">
      <c r="A214" s="1205"/>
      <c r="B214" s="1206"/>
      <c r="C214" s="1206"/>
      <c r="D214" s="1206"/>
      <c r="E214" s="1230"/>
      <c r="I214" s="1209"/>
    </row>
    <row r="215" spans="1:9" s="1208" customFormat="1">
      <c r="A215" s="1205"/>
      <c r="B215" s="1206"/>
      <c r="C215" s="1206"/>
      <c r="D215" s="1206"/>
      <c r="E215" s="1230"/>
      <c r="I215" s="1209"/>
    </row>
    <row r="216" spans="1:9" s="1208" customFormat="1">
      <c r="A216" s="1205"/>
      <c r="B216" s="1206"/>
      <c r="C216" s="1206"/>
      <c r="D216" s="1206"/>
      <c r="E216" s="1230"/>
      <c r="I216" s="1209"/>
    </row>
    <row r="217" spans="1:9" s="1208" customFormat="1">
      <c r="A217" s="1205"/>
      <c r="B217" s="1206"/>
      <c r="C217" s="1206"/>
      <c r="D217" s="1206"/>
      <c r="E217" s="1230"/>
      <c r="I217" s="1209"/>
    </row>
    <row r="218" spans="1:9" s="1208" customFormat="1">
      <c r="A218" s="1205"/>
      <c r="B218" s="1206"/>
      <c r="C218" s="1206"/>
      <c r="D218" s="1206"/>
      <c r="E218" s="1230"/>
      <c r="I218" s="1209"/>
    </row>
    <row r="219" spans="1:9" s="1208" customFormat="1">
      <c r="A219" s="1205"/>
      <c r="B219" s="1206"/>
      <c r="C219" s="1206"/>
      <c r="D219" s="1206"/>
      <c r="E219" s="1230"/>
      <c r="I219" s="1209"/>
    </row>
    <row r="220" spans="1:9" s="1208" customFormat="1">
      <c r="A220" s="1205"/>
      <c r="B220" s="1206"/>
      <c r="C220" s="1206"/>
      <c r="D220" s="1206"/>
      <c r="E220" s="1230"/>
      <c r="I220" s="1209"/>
    </row>
    <row r="221" spans="1:9" s="1208" customFormat="1">
      <c r="A221" s="1205"/>
      <c r="B221" s="1206"/>
      <c r="C221" s="1206"/>
      <c r="D221" s="1206"/>
      <c r="E221" s="1230"/>
      <c r="I221" s="1209"/>
    </row>
    <row r="222" spans="1:9" s="1208" customFormat="1">
      <c r="A222" s="1205"/>
      <c r="B222" s="1206"/>
      <c r="C222" s="1206"/>
      <c r="D222" s="1206"/>
      <c r="E222" s="1230"/>
      <c r="I222" s="1209"/>
    </row>
    <row r="223" spans="1:9" s="1208" customFormat="1">
      <c r="A223" s="1205"/>
      <c r="B223" s="1206"/>
      <c r="C223" s="1206"/>
      <c r="D223" s="1206"/>
      <c r="E223" s="1230"/>
      <c r="I223" s="1209"/>
    </row>
    <row r="224" spans="1:9" s="1208" customFormat="1">
      <c r="A224" s="1205"/>
      <c r="B224" s="1206"/>
      <c r="C224" s="1206"/>
      <c r="D224" s="1206"/>
      <c r="E224" s="1230"/>
      <c r="I224" s="1209"/>
    </row>
    <row r="225" spans="1:9" s="1208" customFormat="1">
      <c r="A225" s="1205"/>
      <c r="B225" s="1206"/>
      <c r="C225" s="1206"/>
      <c r="D225" s="1206"/>
      <c r="E225" s="1230"/>
      <c r="I225" s="1209"/>
    </row>
    <row r="226" spans="1:9" s="1208" customFormat="1">
      <c r="A226" s="1205"/>
      <c r="B226" s="1206"/>
      <c r="C226" s="1206"/>
      <c r="D226" s="1206"/>
      <c r="E226" s="1230"/>
      <c r="I226" s="1209"/>
    </row>
    <row r="227" spans="1:9" s="1208" customFormat="1">
      <c r="A227" s="1205"/>
      <c r="B227" s="1206"/>
      <c r="C227" s="1206"/>
      <c r="D227" s="1206"/>
      <c r="E227" s="1230"/>
      <c r="I227" s="1209"/>
    </row>
    <row r="228" spans="1:9" s="1208" customFormat="1">
      <c r="A228" s="1205"/>
      <c r="B228" s="1206"/>
      <c r="C228" s="1206"/>
      <c r="D228" s="1206"/>
      <c r="E228" s="1230"/>
      <c r="I228" s="1209"/>
    </row>
    <row r="229" spans="1:9" s="1208" customFormat="1">
      <c r="A229" s="1205"/>
      <c r="B229" s="1206"/>
      <c r="C229" s="1206"/>
      <c r="D229" s="1206"/>
      <c r="E229" s="1230"/>
      <c r="I229" s="1209"/>
    </row>
    <row r="230" spans="1:9" s="1208" customFormat="1">
      <c r="A230" s="1205"/>
      <c r="B230" s="1206"/>
      <c r="C230" s="1206"/>
      <c r="D230" s="1206"/>
      <c r="E230" s="1230"/>
      <c r="I230" s="1209"/>
    </row>
    <row r="231" spans="1:9" s="1208" customFormat="1">
      <c r="A231" s="1205"/>
      <c r="B231" s="1206"/>
      <c r="C231" s="1206"/>
      <c r="D231" s="1206"/>
      <c r="E231" s="1230"/>
      <c r="I231" s="1209"/>
    </row>
    <row r="232" spans="1:9" s="1208" customFormat="1">
      <c r="A232" s="1205"/>
      <c r="B232" s="1206"/>
      <c r="C232" s="1206"/>
      <c r="D232" s="1206"/>
      <c r="E232" s="1230"/>
      <c r="I232" s="1209"/>
    </row>
    <row r="233" spans="1:9" s="1208" customFormat="1">
      <c r="A233" s="1205"/>
      <c r="B233" s="1206"/>
      <c r="C233" s="1206"/>
      <c r="D233" s="1206"/>
      <c r="E233" s="1230"/>
      <c r="I233" s="1209"/>
    </row>
    <row r="234" spans="1:9" s="1208" customFormat="1">
      <c r="A234" s="1205"/>
      <c r="B234" s="1206"/>
      <c r="C234" s="1206"/>
      <c r="D234" s="1206"/>
      <c r="E234" s="1230"/>
      <c r="I234" s="1209"/>
    </row>
    <row r="235" spans="1:9" s="1208" customFormat="1">
      <c r="A235" s="1205"/>
      <c r="B235" s="1206"/>
      <c r="C235" s="1206"/>
      <c r="D235" s="1206"/>
      <c r="E235" s="1230"/>
      <c r="I235" s="1209"/>
    </row>
    <row r="236" spans="1:9" s="1208" customFormat="1">
      <c r="A236" s="1205"/>
      <c r="B236" s="1206"/>
      <c r="C236" s="1206"/>
      <c r="D236" s="1206"/>
      <c r="E236" s="1230"/>
      <c r="I236" s="1209"/>
    </row>
    <row r="237" spans="1:9" s="1208" customFormat="1">
      <c r="A237" s="1205"/>
      <c r="B237" s="1206"/>
      <c r="C237" s="1206"/>
      <c r="D237" s="1206"/>
      <c r="E237" s="1230"/>
      <c r="I237" s="1209"/>
    </row>
    <row r="238" spans="1:9" s="1208" customFormat="1">
      <c r="A238" s="1205"/>
      <c r="B238" s="1206"/>
      <c r="C238" s="1206"/>
      <c r="D238" s="1206"/>
      <c r="E238" s="1230"/>
      <c r="I238" s="1209"/>
    </row>
    <row r="239" spans="1:9" s="1208" customFormat="1">
      <c r="A239" s="1205"/>
      <c r="B239" s="1206"/>
      <c r="C239" s="1206"/>
      <c r="D239" s="1206"/>
      <c r="E239" s="1230"/>
      <c r="I239" s="1209"/>
    </row>
    <row r="240" spans="1:9" s="1208" customFormat="1">
      <c r="A240" s="1205"/>
      <c r="B240" s="1206"/>
      <c r="C240" s="1206"/>
      <c r="D240" s="1206"/>
      <c r="E240" s="1230"/>
      <c r="I240" s="1209"/>
    </row>
    <row r="241" spans="1:9" s="1208" customFormat="1">
      <c r="A241" s="1205"/>
      <c r="B241" s="1206"/>
      <c r="C241" s="1206"/>
      <c r="D241" s="1206"/>
      <c r="E241" s="1230"/>
      <c r="I241" s="1209"/>
    </row>
    <row r="242" spans="1:9" s="1208" customFormat="1">
      <c r="A242" s="1205"/>
      <c r="B242" s="1206"/>
      <c r="C242" s="1206"/>
      <c r="D242" s="1206"/>
      <c r="E242" s="1230"/>
      <c r="I242" s="1209"/>
    </row>
    <row r="243" spans="1:9" s="1208" customFormat="1">
      <c r="A243" s="1205"/>
      <c r="B243" s="1206"/>
      <c r="C243" s="1206"/>
      <c r="D243" s="1206"/>
      <c r="E243" s="1230"/>
      <c r="I243" s="1209"/>
    </row>
    <row r="244" spans="1:9" s="1208" customFormat="1">
      <c r="A244" s="1205"/>
      <c r="B244" s="1206"/>
      <c r="C244" s="1206"/>
      <c r="D244" s="1206"/>
      <c r="E244" s="1230"/>
      <c r="I244" s="1209"/>
    </row>
    <row r="245" spans="1:9" s="1208" customFormat="1">
      <c r="A245" s="1205"/>
      <c r="B245" s="1206"/>
      <c r="C245" s="1206"/>
      <c r="D245" s="1206"/>
      <c r="E245" s="1230"/>
      <c r="I245" s="1209"/>
    </row>
    <row r="246" spans="1:9" s="1208" customFormat="1">
      <c r="A246" s="1205"/>
      <c r="B246" s="1206"/>
      <c r="C246" s="1206"/>
      <c r="D246" s="1206"/>
      <c r="E246" s="1230"/>
      <c r="I246" s="1209"/>
    </row>
    <row r="247" spans="1:9" s="1208" customFormat="1">
      <c r="A247" s="1205"/>
      <c r="B247" s="1206"/>
      <c r="C247" s="1206"/>
      <c r="D247" s="1206"/>
      <c r="E247" s="1230"/>
      <c r="I247" s="1209"/>
    </row>
    <row r="248" spans="1:9" s="1208" customFormat="1">
      <c r="A248" s="1205"/>
      <c r="B248" s="1206"/>
      <c r="C248" s="1206"/>
      <c r="D248" s="1206"/>
      <c r="E248" s="1230"/>
      <c r="I248" s="1209"/>
    </row>
    <row r="249" spans="1:9" s="1208" customFormat="1">
      <c r="A249" s="1205"/>
      <c r="B249" s="1206"/>
      <c r="C249" s="1206"/>
      <c r="D249" s="1206"/>
      <c r="E249" s="1230"/>
      <c r="I249" s="1209"/>
    </row>
    <row r="250" spans="1:9" s="1208" customFormat="1">
      <c r="A250" s="1205"/>
      <c r="B250" s="1206"/>
      <c r="C250" s="1206"/>
      <c r="D250" s="1206"/>
      <c r="E250" s="1230"/>
      <c r="I250" s="1209"/>
    </row>
    <row r="251" spans="1:9" s="1208" customFormat="1">
      <c r="A251" s="1205"/>
      <c r="B251" s="1206"/>
      <c r="C251" s="1206"/>
      <c r="D251" s="1206"/>
      <c r="E251" s="1230"/>
      <c r="I251" s="1209"/>
    </row>
    <row r="252" spans="1:9" s="1208" customFormat="1">
      <c r="A252" s="1205"/>
      <c r="B252" s="1206"/>
      <c r="C252" s="1206"/>
      <c r="D252" s="1206"/>
      <c r="E252" s="1230"/>
      <c r="I252" s="1209"/>
    </row>
    <row r="253" spans="1:9" s="1208" customFormat="1">
      <c r="A253" s="1205"/>
      <c r="B253" s="1206"/>
      <c r="C253" s="1206"/>
      <c r="D253" s="1206"/>
      <c r="E253" s="1230"/>
      <c r="I253" s="1209"/>
    </row>
    <row r="254" spans="1:9" s="1208" customFormat="1">
      <c r="A254" s="1205"/>
      <c r="B254" s="1206"/>
      <c r="C254" s="1206"/>
      <c r="D254" s="1206"/>
      <c r="E254" s="1230"/>
      <c r="I254" s="1209"/>
    </row>
    <row r="255" spans="1:9" s="1208" customFormat="1">
      <c r="A255" s="1205"/>
      <c r="B255" s="1206"/>
      <c r="C255" s="1206"/>
      <c r="D255" s="1206"/>
      <c r="E255" s="1230"/>
      <c r="I255" s="1209"/>
    </row>
    <row r="256" spans="1:9" s="1208" customFormat="1">
      <c r="A256" s="1205"/>
      <c r="B256" s="1206"/>
      <c r="C256" s="1206"/>
      <c r="D256" s="1206"/>
      <c r="E256" s="1230"/>
      <c r="I256" s="1209"/>
    </row>
    <row r="257" spans="1:9" s="1208" customFormat="1">
      <c r="A257" s="1205"/>
      <c r="B257" s="1206"/>
      <c r="C257" s="1206"/>
      <c r="D257" s="1206"/>
      <c r="E257" s="1230"/>
      <c r="I257" s="1209"/>
    </row>
    <row r="258" spans="1:9" s="1208" customFormat="1">
      <c r="A258" s="1205"/>
      <c r="B258" s="1206"/>
      <c r="C258" s="1206"/>
      <c r="D258" s="1206"/>
      <c r="E258" s="1230"/>
      <c r="I258" s="1209"/>
    </row>
    <row r="259" spans="1:9">
      <c r="A259" s="1285"/>
      <c r="B259" s="1286"/>
      <c r="C259" s="1286"/>
      <c r="D259" s="1286"/>
      <c r="E259" s="1287"/>
    </row>
    <row r="260" spans="1:9">
      <c r="A260" s="1285"/>
      <c r="B260" s="1286"/>
      <c r="C260" s="1286"/>
      <c r="D260" s="1286"/>
      <c r="E260" s="1287"/>
    </row>
    <row r="261" spans="1:9">
      <c r="A261" s="1285"/>
      <c r="B261" s="1286"/>
      <c r="C261" s="1286"/>
      <c r="D261" s="1286"/>
      <c r="E261" s="1287"/>
    </row>
    <row r="262" spans="1:9">
      <c r="A262" s="1285"/>
      <c r="B262" s="1286"/>
      <c r="C262" s="1286"/>
      <c r="D262" s="1286"/>
      <c r="E262" s="1287"/>
    </row>
    <row r="263" spans="1:9">
      <c r="A263" s="1285"/>
      <c r="B263" s="1286"/>
      <c r="C263" s="1286"/>
      <c r="D263" s="1286"/>
      <c r="E263" s="1287"/>
    </row>
    <row r="264" spans="1:9">
      <c r="A264" s="1285"/>
      <c r="B264" s="1286"/>
      <c r="C264" s="1286"/>
      <c r="D264" s="1286"/>
      <c r="E264" s="1287"/>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C4" zoomScaleNormal="100" workbookViewId="0">
      <selection activeCell="C4"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98" t="str">
        <f>CONCATENATE("PART SIX - PROJECTED REVENUES &amp; EXPENSES","  -  ",'Part I-Project Information'!$O$4," ",'Part I-Project Information'!$F$23,", ",'Part I-Project Information'!F27,", ",'Part I-Project Information'!J28," County")</f>
        <v>PART SIX - PROJECTED REVENUES &amp; EXPENSES  -  2014-006 North Grove Apartments, Athens, Clarke County</v>
      </c>
      <c r="B1" s="1799"/>
      <c r="C1" s="1799"/>
      <c r="D1" s="1799"/>
      <c r="E1" s="1799"/>
      <c r="F1" s="1799"/>
      <c r="G1" s="1799"/>
      <c r="H1" s="1799"/>
      <c r="I1" s="1799"/>
      <c r="J1" s="1799"/>
      <c r="K1" s="1799"/>
      <c r="L1" s="1799"/>
      <c r="M1" s="1799"/>
      <c r="N1" s="1799"/>
      <c r="O1" s="1799"/>
      <c r="P1" s="1800"/>
      <c r="T1" s="1992" t="str">
        <f>A1</f>
        <v>PART SIX - PROJECTED REVENUES &amp; EXPENSES  -  2014-006 North Grove Apartments, Athens, Clarke County</v>
      </c>
      <c r="U1" s="1992"/>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656</v>
      </c>
      <c r="B3" s="5" t="s">
        <v>2519</v>
      </c>
      <c r="C3" s="1"/>
      <c r="E3" s="162" t="s">
        <v>2902</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515</v>
      </c>
      <c r="FB3" s="573" t="s">
        <v>2603</v>
      </c>
      <c r="FC3" s="573" t="s">
        <v>2604</v>
      </c>
      <c r="FD3" s="573" t="s">
        <v>2605</v>
      </c>
      <c r="FE3" s="573" t="s">
        <v>2606</v>
      </c>
      <c r="FF3" s="575"/>
      <c r="FG3" s="575"/>
      <c r="FH3" s="575"/>
      <c r="FI3" s="575"/>
      <c r="FJ3" s="575"/>
      <c r="FK3" s="573" t="s">
        <v>515</v>
      </c>
      <c r="FL3" s="573" t="s">
        <v>2603</v>
      </c>
      <c r="FM3" s="573" t="s">
        <v>2604</v>
      </c>
      <c r="FN3" s="573" t="s">
        <v>2605</v>
      </c>
      <c r="FO3" s="573" t="s">
        <v>2606</v>
      </c>
      <c r="FP3" s="573" t="s">
        <v>515</v>
      </c>
      <c r="FQ3" s="573" t="s">
        <v>2603</v>
      </c>
      <c r="FR3" s="573" t="s">
        <v>2604</v>
      </c>
      <c r="FS3" s="573" t="s">
        <v>2605</v>
      </c>
      <c r="FT3" s="573" t="s">
        <v>2606</v>
      </c>
      <c r="FU3" s="573" t="s">
        <v>515</v>
      </c>
      <c r="FV3" s="573" t="s">
        <v>2603</v>
      </c>
      <c r="FW3" s="573" t="s">
        <v>2604</v>
      </c>
      <c r="FX3" s="573" t="s">
        <v>2605</v>
      </c>
      <c r="FY3" s="573" t="s">
        <v>2606</v>
      </c>
      <c r="FZ3" s="573" t="s">
        <v>515</v>
      </c>
      <c r="GA3" s="573" t="s">
        <v>2603</v>
      </c>
      <c r="GB3" s="573" t="s">
        <v>2604</v>
      </c>
      <c r="GC3" s="573" t="s">
        <v>2605</v>
      </c>
      <c r="GD3" s="573" t="s">
        <v>2606</v>
      </c>
      <c r="GE3" s="573" t="s">
        <v>515</v>
      </c>
      <c r="GF3" s="573" t="s">
        <v>2603</v>
      </c>
      <c r="GG3" s="573" t="s">
        <v>2604</v>
      </c>
      <c r="GH3" s="573" t="s">
        <v>2605</v>
      </c>
      <c r="GI3" s="573" t="s">
        <v>2606</v>
      </c>
      <c r="GJ3" s="573" t="s">
        <v>515</v>
      </c>
      <c r="GK3" s="573" t="s">
        <v>2603</v>
      </c>
      <c r="GL3" s="573" t="s">
        <v>2604</v>
      </c>
      <c r="GM3" s="573" t="s">
        <v>2605</v>
      </c>
      <c r="GN3" s="573" t="s">
        <v>2606</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48" t="s">
        <v>974</v>
      </c>
      <c r="W4" s="1948" t="s">
        <v>805</v>
      </c>
      <c r="X4" s="1948" t="s">
        <v>806</v>
      </c>
      <c r="Y4" s="1948" t="s">
        <v>807</v>
      </c>
      <c r="Z4" s="1948" t="s">
        <v>808</v>
      </c>
      <c r="AA4" s="1948" t="s">
        <v>975</v>
      </c>
      <c r="AB4" s="1948" t="s">
        <v>2458</v>
      </c>
      <c r="AC4" s="1948" t="s">
        <v>2459</v>
      </c>
      <c r="AD4" s="1948" t="s">
        <v>2460</v>
      </c>
      <c r="AE4" s="1948" t="s">
        <v>2461</v>
      </c>
      <c r="AF4" s="1948" t="s">
        <v>976</v>
      </c>
      <c r="AG4" s="1948" t="s">
        <v>2462</v>
      </c>
      <c r="AH4" s="1948" t="s">
        <v>2463</v>
      </c>
      <c r="AI4" s="1948" t="s">
        <v>2464</v>
      </c>
      <c r="AJ4" s="1948" t="s">
        <v>2465</v>
      </c>
      <c r="AK4" s="1948" t="s">
        <v>132</v>
      </c>
      <c r="AL4" s="1948" t="s">
        <v>2466</v>
      </c>
      <c r="AM4" s="1948" t="s">
        <v>2467</v>
      </c>
      <c r="AN4" s="1948" t="s">
        <v>2468</v>
      </c>
      <c r="AO4" s="1948" t="s">
        <v>1216</v>
      </c>
      <c r="AP4" s="1948" t="s">
        <v>588</v>
      </c>
      <c r="AQ4" s="1948" t="s">
        <v>589</v>
      </c>
      <c r="AR4" s="1948" t="s">
        <v>613</v>
      </c>
      <c r="AS4" s="1948" t="s">
        <v>614</v>
      </c>
      <c r="AT4" s="1948" t="s">
        <v>615</v>
      </c>
      <c r="AU4" s="1948" t="s">
        <v>616</v>
      </c>
      <c r="AV4" s="1948" t="s">
        <v>617</v>
      </c>
      <c r="AW4" s="1948" t="s">
        <v>618</v>
      </c>
      <c r="AX4" s="1948" t="s">
        <v>619</v>
      </c>
      <c r="AY4" s="1948" t="s">
        <v>620</v>
      </c>
      <c r="AZ4" s="1948" t="s">
        <v>621</v>
      </c>
      <c r="BA4" s="1948" t="s">
        <v>622</v>
      </c>
      <c r="BB4" s="1948" t="s">
        <v>986</v>
      </c>
      <c r="BC4" s="1948" t="s">
        <v>987</v>
      </c>
      <c r="BD4" s="1948" t="s">
        <v>988</v>
      </c>
      <c r="BE4" s="1948" t="s">
        <v>527</v>
      </c>
      <c r="BF4" s="1948" t="s">
        <v>528</v>
      </c>
      <c r="BG4" s="1948" t="s">
        <v>529</v>
      </c>
      <c r="BH4" s="1948" t="s">
        <v>530</v>
      </c>
      <c r="BI4" s="1948" t="s">
        <v>531</v>
      </c>
      <c r="BJ4" s="1948" t="s">
        <v>934</v>
      </c>
      <c r="BK4" s="1948" t="s">
        <v>935</v>
      </c>
      <c r="BL4" s="1948" t="s">
        <v>936</v>
      </c>
      <c r="BM4" s="1948" t="s">
        <v>937</v>
      </c>
      <c r="BN4" s="1948" t="s">
        <v>938</v>
      </c>
      <c r="BO4" s="1948" t="s">
        <v>939</v>
      </c>
      <c r="BP4" s="1948" t="s">
        <v>940</v>
      </c>
      <c r="BQ4" s="1948" t="s">
        <v>941</v>
      </c>
      <c r="BR4" s="1948" t="s">
        <v>942</v>
      </c>
      <c r="BS4" s="1948" t="s">
        <v>943</v>
      </c>
      <c r="BT4" s="1948" t="s">
        <v>2593</v>
      </c>
      <c r="BU4" s="1948" t="s">
        <v>2594</v>
      </c>
      <c r="BV4" s="1948" t="s">
        <v>2595</v>
      </c>
      <c r="BW4" s="1948" t="s">
        <v>2596</v>
      </c>
      <c r="BX4" s="1948" t="s">
        <v>2597</v>
      </c>
      <c r="BY4" s="1948" t="s">
        <v>120</v>
      </c>
      <c r="BZ4" s="1948" t="s">
        <v>1219</v>
      </c>
      <c r="CA4" s="1948" t="s">
        <v>1220</v>
      </c>
      <c r="CB4" s="1948" t="s">
        <v>1289</v>
      </c>
      <c r="CC4" s="1948" t="s">
        <v>1290</v>
      </c>
      <c r="CD4" s="1949" t="s">
        <v>135</v>
      </c>
      <c r="CE4" s="1949" t="s">
        <v>1291</v>
      </c>
      <c r="CF4" s="1949" t="s">
        <v>1292</v>
      </c>
      <c r="CG4" s="1949" t="s">
        <v>1293</v>
      </c>
      <c r="CH4" s="1949" t="s">
        <v>1294</v>
      </c>
      <c r="CI4" s="1949" t="s">
        <v>134</v>
      </c>
      <c r="CJ4" s="1949" t="s">
        <v>966</v>
      </c>
      <c r="CK4" s="1949" t="s">
        <v>967</v>
      </c>
      <c r="CL4" s="1949" t="s">
        <v>968</v>
      </c>
      <c r="CM4" s="1949" t="s">
        <v>969</v>
      </c>
      <c r="CN4" s="1949" t="s">
        <v>133</v>
      </c>
      <c r="CO4" s="1949" t="s">
        <v>970</v>
      </c>
      <c r="CP4" s="1949" t="s">
        <v>971</v>
      </c>
      <c r="CQ4" s="1949" t="s">
        <v>972</v>
      </c>
      <c r="CR4" s="1949" t="s">
        <v>973</v>
      </c>
      <c r="CS4" s="1949" t="s">
        <v>862</v>
      </c>
      <c r="CT4" s="1949" t="s">
        <v>863</v>
      </c>
      <c r="CU4" s="1949" t="s">
        <v>864</v>
      </c>
      <c r="CV4" s="1949" t="s">
        <v>865</v>
      </c>
      <c r="CW4" s="1949" t="s">
        <v>866</v>
      </c>
      <c r="CX4" s="1949" t="s">
        <v>1013</v>
      </c>
      <c r="CY4" s="1949" t="s">
        <v>1014</v>
      </c>
      <c r="CZ4" s="1949" t="s">
        <v>1015</v>
      </c>
      <c r="DA4" s="1949" t="s">
        <v>1016</v>
      </c>
      <c r="DB4" s="1949" t="s">
        <v>2592</v>
      </c>
      <c r="DC4" s="1949" t="s">
        <v>1526</v>
      </c>
      <c r="DD4" s="1949" t="s">
        <v>1527</v>
      </c>
      <c r="DE4" s="1949" t="s">
        <v>1528</v>
      </c>
      <c r="DF4" s="1949" t="s">
        <v>1529</v>
      </c>
      <c r="DG4" s="1949" t="s">
        <v>1530</v>
      </c>
      <c r="DH4" s="1949" t="s">
        <v>458</v>
      </c>
      <c r="DI4" s="1949" t="s">
        <v>459</v>
      </c>
      <c r="DJ4" s="1949" t="s">
        <v>460</v>
      </c>
      <c r="DK4" s="1949" t="s">
        <v>461</v>
      </c>
      <c r="DL4" s="1949" t="s">
        <v>462</v>
      </c>
      <c r="DM4" s="1949" t="s">
        <v>18</v>
      </c>
      <c r="DN4" s="1949" t="s">
        <v>19</v>
      </c>
      <c r="DO4" s="1949" t="s">
        <v>20</v>
      </c>
      <c r="DP4" s="1949" t="s">
        <v>21</v>
      </c>
      <c r="DQ4" s="1949" t="s">
        <v>22</v>
      </c>
      <c r="DR4" s="1949" t="s">
        <v>233</v>
      </c>
      <c r="DS4" s="1949" t="s">
        <v>234</v>
      </c>
      <c r="DT4" s="1949" t="s">
        <v>235</v>
      </c>
      <c r="DU4" s="1949" t="s">
        <v>1937</v>
      </c>
      <c r="DV4" s="1949" t="s">
        <v>1938</v>
      </c>
      <c r="DW4" s="1949" t="s">
        <v>1939</v>
      </c>
      <c r="DX4" s="1949" t="s">
        <v>629</v>
      </c>
      <c r="DY4" s="1949" t="s">
        <v>630</v>
      </c>
      <c r="DZ4" s="1949" t="s">
        <v>631</v>
      </c>
      <c r="EA4" s="1949" t="s">
        <v>632</v>
      </c>
      <c r="EB4" s="1949" t="s">
        <v>23</v>
      </c>
      <c r="EC4" s="1949" t="s">
        <v>24</v>
      </c>
      <c r="ED4" s="1949" t="s">
        <v>25</v>
      </c>
      <c r="EE4" s="1949" t="s">
        <v>26</v>
      </c>
      <c r="EF4" s="1949" t="s">
        <v>27</v>
      </c>
      <c r="EG4" s="1949" t="s">
        <v>526</v>
      </c>
      <c r="EH4" s="1949" t="s">
        <v>454</v>
      </c>
      <c r="EI4" s="1949" t="s">
        <v>455</v>
      </c>
      <c r="EJ4" s="1949" t="s">
        <v>456</v>
      </c>
      <c r="EK4" s="1949" t="s">
        <v>457</v>
      </c>
      <c r="EL4" s="1949" t="s">
        <v>2350</v>
      </c>
      <c r="EM4" s="1949" t="s">
        <v>2351</v>
      </c>
      <c r="EN4" s="1949" t="s">
        <v>2352</v>
      </c>
      <c r="EO4" s="1949" t="s">
        <v>1577</v>
      </c>
      <c r="EP4" s="1949" t="s">
        <v>1578</v>
      </c>
      <c r="EQ4" s="1949" t="s">
        <v>28</v>
      </c>
      <c r="ER4" s="1949" t="s">
        <v>29</v>
      </c>
      <c r="ES4" s="1949" t="s">
        <v>30</v>
      </c>
      <c r="ET4" s="1949" t="s">
        <v>31</v>
      </c>
      <c r="EU4" s="1949"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49" t="s">
        <v>1734</v>
      </c>
      <c r="GP4" s="1949" t="s">
        <v>2695</v>
      </c>
      <c r="GQ4" s="1949" t="s">
        <v>2696</v>
      </c>
      <c r="GR4" s="1949" t="s">
        <v>405</v>
      </c>
      <c r="GS4" s="1949" t="s">
        <v>406</v>
      </c>
      <c r="GT4" s="1949" t="s">
        <v>407</v>
      </c>
      <c r="GU4" s="1949" t="s">
        <v>408</v>
      </c>
      <c r="GV4" s="1949" t="s">
        <v>409</v>
      </c>
      <c r="GW4" s="1949" t="s">
        <v>410</v>
      </c>
      <c r="GX4" s="1949" t="s">
        <v>411</v>
      </c>
      <c r="GY4" s="1949" t="s">
        <v>210</v>
      </c>
      <c r="GZ4" s="1949" t="s">
        <v>211</v>
      </c>
      <c r="HA4" s="1949" t="s">
        <v>212</v>
      </c>
      <c r="HB4" s="1949" t="s">
        <v>213</v>
      </c>
      <c r="HC4" s="1949" t="s">
        <v>214</v>
      </c>
      <c r="HD4" s="1949" t="s">
        <v>215</v>
      </c>
      <c r="HE4" s="1949" t="s">
        <v>216</v>
      </c>
      <c r="HF4" s="1949" t="s">
        <v>217</v>
      </c>
      <c r="HG4" s="1949" t="s">
        <v>218</v>
      </c>
      <c r="HH4" s="1949" t="s">
        <v>219</v>
      </c>
      <c r="HI4" s="1949" t="s">
        <v>220</v>
      </c>
      <c r="HJ4" s="1949" t="s">
        <v>221</v>
      </c>
      <c r="HK4" s="1949" t="s">
        <v>222</v>
      </c>
      <c r="HL4" s="1949" t="s">
        <v>223</v>
      </c>
      <c r="HM4" s="1949"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349"/>
      <c r="N5" s="1181" t="s">
        <v>612</v>
      </c>
      <c r="P5" s="1174" t="s">
        <v>1096</v>
      </c>
      <c r="Q5" s="514"/>
      <c r="R5" s="514"/>
      <c r="S5" s="514"/>
      <c r="V5" s="1948"/>
      <c r="W5" s="1948"/>
      <c r="X5" s="1948"/>
      <c r="Y5" s="1948"/>
      <c r="Z5" s="1948"/>
      <c r="AA5" s="1948"/>
      <c r="AB5" s="1948"/>
      <c r="AC5" s="1948"/>
      <c r="AD5" s="1948"/>
      <c r="AE5" s="1948"/>
      <c r="AF5" s="1948"/>
      <c r="AG5" s="1948"/>
      <c r="AH5" s="1948"/>
      <c r="AI5" s="1948"/>
      <c r="AJ5" s="1948"/>
      <c r="AK5" s="1948"/>
      <c r="AL5" s="1948"/>
      <c r="AM5" s="1948"/>
      <c r="AN5" s="1948"/>
      <c r="AO5" s="1948"/>
      <c r="AP5" s="1948"/>
      <c r="AQ5" s="1948"/>
      <c r="AR5" s="1948"/>
      <c r="AS5" s="1948"/>
      <c r="AT5" s="1948"/>
      <c r="AU5" s="1948"/>
      <c r="AV5" s="1948"/>
      <c r="AW5" s="1948"/>
      <c r="AX5" s="1948"/>
      <c r="AY5" s="1948"/>
      <c r="AZ5" s="1948"/>
      <c r="BA5" s="1948"/>
      <c r="BB5" s="1948"/>
      <c r="BC5" s="1948"/>
      <c r="BD5" s="1948"/>
      <c r="BE5" s="1948"/>
      <c r="BF5" s="1948"/>
      <c r="BG5" s="1948"/>
      <c r="BH5" s="1948"/>
      <c r="BI5" s="1948"/>
      <c r="BJ5" s="1948"/>
      <c r="BK5" s="1948"/>
      <c r="BL5" s="1948"/>
      <c r="BM5" s="1948"/>
      <c r="BN5" s="1948"/>
      <c r="BO5" s="1948"/>
      <c r="BP5" s="1948"/>
      <c r="BQ5" s="1948"/>
      <c r="BR5" s="1948"/>
      <c r="BS5" s="1948"/>
      <c r="BT5" s="1948"/>
      <c r="BU5" s="1948"/>
      <c r="BV5" s="1948"/>
      <c r="BW5" s="1948"/>
      <c r="BX5" s="1948"/>
      <c r="BY5" s="1948"/>
      <c r="BZ5" s="1948"/>
      <c r="CA5" s="1948"/>
      <c r="CB5" s="1948"/>
      <c r="CC5" s="1948"/>
      <c r="CD5" s="1949"/>
      <c r="CE5" s="1949"/>
      <c r="CF5" s="1949"/>
      <c r="CG5" s="1949"/>
      <c r="CH5" s="1949"/>
      <c r="CI5" s="1949"/>
      <c r="CJ5" s="1949"/>
      <c r="CK5" s="1949"/>
      <c r="CL5" s="1949"/>
      <c r="CM5" s="1949"/>
      <c r="CN5" s="1949"/>
      <c r="CO5" s="1949"/>
      <c r="CP5" s="1949"/>
      <c r="CQ5" s="1949"/>
      <c r="CR5" s="1949"/>
      <c r="CS5" s="1949"/>
      <c r="CT5" s="1949"/>
      <c r="CU5" s="1949"/>
      <c r="CV5" s="1949"/>
      <c r="CW5" s="1949"/>
      <c r="CX5" s="1949"/>
      <c r="CY5" s="1949"/>
      <c r="CZ5" s="1949"/>
      <c r="DA5" s="1949"/>
      <c r="DB5" s="1949"/>
      <c r="DC5" s="1949"/>
      <c r="DD5" s="1949"/>
      <c r="DE5" s="1949"/>
      <c r="DF5" s="1949"/>
      <c r="DG5" s="1949"/>
      <c r="DH5" s="1949"/>
      <c r="DI5" s="1949"/>
      <c r="DJ5" s="1949"/>
      <c r="DK5" s="1949"/>
      <c r="DL5" s="1949"/>
      <c r="DM5" s="1949"/>
      <c r="DN5" s="1949"/>
      <c r="DO5" s="1949"/>
      <c r="DP5" s="1949"/>
      <c r="DQ5" s="1949"/>
      <c r="DR5" s="1949"/>
      <c r="DS5" s="1949"/>
      <c r="DT5" s="1949"/>
      <c r="DU5" s="1949"/>
      <c r="DV5" s="1949"/>
      <c r="DW5" s="1949"/>
      <c r="DX5" s="1949"/>
      <c r="DY5" s="1949"/>
      <c r="DZ5" s="1949"/>
      <c r="EA5" s="1949"/>
      <c r="EB5" s="1949"/>
      <c r="EC5" s="1949"/>
      <c r="ED5" s="1949"/>
      <c r="EE5" s="1949"/>
      <c r="EF5" s="1949"/>
      <c r="EG5" s="1949"/>
      <c r="EH5" s="1949"/>
      <c r="EI5" s="1949"/>
      <c r="EJ5" s="1949"/>
      <c r="EK5" s="1949"/>
      <c r="EL5" s="1949"/>
      <c r="EM5" s="1949"/>
      <c r="EN5" s="1949"/>
      <c r="EO5" s="1949"/>
      <c r="EP5" s="1949"/>
      <c r="EQ5" s="1949"/>
      <c r="ER5" s="1949"/>
      <c r="ES5" s="1949"/>
      <c r="ET5" s="1949"/>
      <c r="EU5" s="1949"/>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49"/>
      <c r="GP5" s="1949"/>
      <c r="GQ5" s="1949"/>
      <c r="GR5" s="1949"/>
      <c r="GS5" s="1949"/>
      <c r="GT5" s="1949"/>
      <c r="GU5" s="1949"/>
      <c r="GV5" s="1949"/>
      <c r="GW5" s="1949"/>
      <c r="GX5" s="1949"/>
      <c r="GY5" s="1949"/>
      <c r="GZ5" s="1949"/>
      <c r="HA5" s="1949"/>
      <c r="HB5" s="1949"/>
      <c r="HC5" s="1949"/>
      <c r="HD5" s="1949"/>
      <c r="HE5" s="1949"/>
      <c r="HF5" s="1949"/>
      <c r="HG5" s="1949"/>
      <c r="HH5" s="1949"/>
      <c r="HI5" s="1949"/>
      <c r="HJ5" s="1949"/>
      <c r="HK5" s="1949"/>
      <c r="HL5" s="1949"/>
      <c r="HM5" s="1949"/>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350"/>
      <c r="J6" s="1172" t="s">
        <v>2566</v>
      </c>
      <c r="N6" s="1986" t="str">
        <f>'Part I-Project Information'!$O$29</f>
        <v>Athens-Clarke Co.</v>
      </c>
      <c r="O6" s="1986"/>
      <c r="P6" s="517">
        <f>VLOOKUP('Part I-Project Information'!$O$29,'DCA Underwriting Assumptions'!$C$82:$D$192,2)</f>
        <v>43700</v>
      </c>
      <c r="Q6" s="569"/>
      <c r="R6" s="1988" t="s">
        <v>2929</v>
      </c>
      <c r="S6" s="1988"/>
      <c r="V6" s="1948"/>
      <c r="W6" s="1948"/>
      <c r="X6" s="1948"/>
      <c r="Y6" s="1948"/>
      <c r="Z6" s="1948"/>
      <c r="AA6" s="1948"/>
      <c r="AB6" s="1948"/>
      <c r="AC6" s="1948"/>
      <c r="AD6" s="1948"/>
      <c r="AE6" s="1948"/>
      <c r="AF6" s="1948"/>
      <c r="AG6" s="1948"/>
      <c r="AH6" s="1948"/>
      <c r="AI6" s="1948"/>
      <c r="AJ6" s="1948"/>
      <c r="AK6" s="1948"/>
      <c r="AL6" s="1948"/>
      <c r="AM6" s="1948"/>
      <c r="AN6" s="1948"/>
      <c r="AO6" s="1948"/>
      <c r="AP6" s="1948"/>
      <c r="AQ6" s="1948"/>
      <c r="AR6" s="1948"/>
      <c r="AS6" s="1948"/>
      <c r="AT6" s="1948"/>
      <c r="AU6" s="1948"/>
      <c r="AV6" s="1948"/>
      <c r="AW6" s="1948"/>
      <c r="AX6" s="1948"/>
      <c r="AY6" s="1948"/>
      <c r="AZ6" s="1948"/>
      <c r="BA6" s="1948"/>
      <c r="BB6" s="1948"/>
      <c r="BC6" s="1948"/>
      <c r="BD6" s="1948"/>
      <c r="BE6" s="1948"/>
      <c r="BF6" s="1948"/>
      <c r="BG6" s="1948"/>
      <c r="BH6" s="1948"/>
      <c r="BI6" s="1948"/>
      <c r="BJ6" s="1948"/>
      <c r="BK6" s="1948"/>
      <c r="BL6" s="1948"/>
      <c r="BM6" s="1948"/>
      <c r="BN6" s="1948"/>
      <c r="BO6" s="1948"/>
      <c r="BP6" s="1948"/>
      <c r="BQ6" s="1948"/>
      <c r="BR6" s="1948"/>
      <c r="BS6" s="1948"/>
      <c r="BT6" s="1948"/>
      <c r="BU6" s="1948"/>
      <c r="BV6" s="1948"/>
      <c r="BW6" s="1948"/>
      <c r="BX6" s="1948"/>
      <c r="BY6" s="1948"/>
      <c r="BZ6" s="1948"/>
      <c r="CA6" s="1948"/>
      <c r="CB6" s="1948"/>
      <c r="CC6" s="1948"/>
      <c r="CD6" s="1949"/>
      <c r="CE6" s="1949"/>
      <c r="CF6" s="1949"/>
      <c r="CG6" s="1949"/>
      <c r="CH6" s="1949"/>
      <c r="CI6" s="1949"/>
      <c r="CJ6" s="1949"/>
      <c r="CK6" s="1949"/>
      <c r="CL6" s="1949"/>
      <c r="CM6" s="1949"/>
      <c r="CN6" s="1949"/>
      <c r="CO6" s="1949"/>
      <c r="CP6" s="1949"/>
      <c r="CQ6" s="1949"/>
      <c r="CR6" s="1949"/>
      <c r="CS6" s="1949"/>
      <c r="CT6" s="1949"/>
      <c r="CU6" s="1949"/>
      <c r="CV6" s="1949"/>
      <c r="CW6" s="1949"/>
      <c r="CX6" s="1949"/>
      <c r="CY6" s="1949"/>
      <c r="CZ6" s="1949"/>
      <c r="DA6" s="1949"/>
      <c r="DB6" s="1949"/>
      <c r="DC6" s="1949"/>
      <c r="DD6" s="1949"/>
      <c r="DE6" s="1949"/>
      <c r="DF6" s="1949"/>
      <c r="DG6" s="1949"/>
      <c r="DH6" s="1949"/>
      <c r="DI6" s="1949"/>
      <c r="DJ6" s="1949"/>
      <c r="DK6" s="1949"/>
      <c r="DL6" s="1949"/>
      <c r="DM6" s="1949"/>
      <c r="DN6" s="1949"/>
      <c r="DO6" s="1949"/>
      <c r="DP6" s="1949"/>
      <c r="DQ6" s="1949"/>
      <c r="DR6" s="1949"/>
      <c r="DS6" s="1949"/>
      <c r="DT6" s="1949"/>
      <c r="DU6" s="1949"/>
      <c r="DV6" s="1949"/>
      <c r="DW6" s="1949"/>
      <c r="DX6" s="1949"/>
      <c r="DY6" s="1949"/>
      <c r="DZ6" s="1949"/>
      <c r="EA6" s="1949"/>
      <c r="EB6" s="1949"/>
      <c r="EC6" s="1949"/>
      <c r="ED6" s="1949"/>
      <c r="EE6" s="1949"/>
      <c r="EF6" s="1949"/>
      <c r="EG6" s="1949"/>
      <c r="EH6" s="1949"/>
      <c r="EI6" s="1949"/>
      <c r="EJ6" s="1949"/>
      <c r="EK6" s="1949"/>
      <c r="EL6" s="1949"/>
      <c r="EM6" s="1949"/>
      <c r="EN6" s="1949"/>
      <c r="EO6" s="1949"/>
      <c r="EP6" s="1949"/>
      <c r="EQ6" s="1949"/>
      <c r="ER6" s="1949"/>
      <c r="ES6" s="1949"/>
      <c r="ET6" s="1949"/>
      <c r="EU6" s="1949"/>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49"/>
      <c r="GP6" s="1949"/>
      <c r="GQ6" s="1949"/>
      <c r="GR6" s="1949"/>
      <c r="GS6" s="1949"/>
      <c r="GT6" s="1949"/>
      <c r="GU6" s="1949"/>
      <c r="GV6" s="1949"/>
      <c r="GW6" s="1949"/>
      <c r="GX6" s="1949"/>
      <c r="GY6" s="1949"/>
      <c r="GZ6" s="1949"/>
      <c r="HA6" s="1949"/>
      <c r="HB6" s="1949"/>
      <c r="HC6" s="1949"/>
      <c r="HD6" s="1949"/>
      <c r="HE6" s="1949"/>
      <c r="HF6" s="1949"/>
      <c r="HG6" s="1949"/>
      <c r="HH6" s="1949"/>
      <c r="HI6" s="1949"/>
      <c r="HJ6" s="1949"/>
      <c r="HK6" s="1949"/>
      <c r="HL6" s="1949"/>
      <c r="HM6" s="1949"/>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85" t="str">
        <f>IF(A48&gt;0,"Finish!","")</f>
        <v/>
      </c>
      <c r="B7" s="5"/>
      <c r="C7" s="1"/>
      <c r="D7" s="5"/>
      <c r="E7" s="1"/>
      <c r="F7" s="1"/>
      <c r="G7" s="1"/>
      <c r="H7" s="1"/>
      <c r="I7" s="1"/>
      <c r="J7" s="1172" t="s">
        <v>2567</v>
      </c>
      <c r="K7" s="1"/>
      <c r="L7" s="1"/>
      <c r="M7" s="1"/>
      <c r="N7" s="37"/>
      <c r="O7" s="37"/>
      <c r="P7" s="1194"/>
      <c r="Q7" s="1194"/>
      <c r="R7" s="605"/>
      <c r="S7" s="1196" t="s">
        <v>2926</v>
      </c>
      <c r="T7" s="513"/>
      <c r="U7" s="514"/>
      <c r="V7" s="1948"/>
      <c r="W7" s="1948"/>
      <c r="X7" s="1948"/>
      <c r="Y7" s="1948"/>
      <c r="Z7" s="1948"/>
      <c r="AA7" s="1948"/>
      <c r="AB7" s="1948"/>
      <c r="AC7" s="1948"/>
      <c r="AD7" s="1948"/>
      <c r="AE7" s="1948"/>
      <c r="AF7" s="1948"/>
      <c r="AG7" s="1948"/>
      <c r="AH7" s="1948"/>
      <c r="AI7" s="1948"/>
      <c r="AJ7" s="1948"/>
      <c r="AK7" s="1948"/>
      <c r="AL7" s="1948"/>
      <c r="AM7" s="1948"/>
      <c r="AN7" s="1948"/>
      <c r="AO7" s="1948"/>
      <c r="AP7" s="1948"/>
      <c r="AQ7" s="1948"/>
      <c r="AR7" s="1948"/>
      <c r="AS7" s="1948"/>
      <c r="AT7" s="1948"/>
      <c r="AU7" s="1948"/>
      <c r="AV7" s="1948"/>
      <c r="AW7" s="1948"/>
      <c r="AX7" s="1948"/>
      <c r="AY7" s="1948"/>
      <c r="AZ7" s="1948"/>
      <c r="BA7" s="1948"/>
      <c r="BB7" s="1948"/>
      <c r="BC7" s="1948"/>
      <c r="BD7" s="1948"/>
      <c r="BE7" s="1948"/>
      <c r="BF7" s="1948"/>
      <c r="BG7" s="1948"/>
      <c r="BH7" s="1948"/>
      <c r="BI7" s="1948"/>
      <c r="BJ7" s="1948"/>
      <c r="BK7" s="1948"/>
      <c r="BL7" s="1948"/>
      <c r="BM7" s="1948"/>
      <c r="BN7" s="1948"/>
      <c r="BO7" s="1948"/>
      <c r="BP7" s="1948"/>
      <c r="BQ7" s="1948"/>
      <c r="BR7" s="1948"/>
      <c r="BS7" s="1948"/>
      <c r="BT7" s="1948"/>
      <c r="BU7" s="1948"/>
      <c r="BV7" s="1948"/>
      <c r="BW7" s="1948"/>
      <c r="BX7" s="1948"/>
      <c r="BY7" s="1948"/>
      <c r="BZ7" s="1948"/>
      <c r="CA7" s="1948"/>
      <c r="CB7" s="1948"/>
      <c r="CC7" s="1948"/>
      <c r="CD7" s="1949"/>
      <c r="CE7" s="1949"/>
      <c r="CF7" s="1949"/>
      <c r="CG7" s="1949"/>
      <c r="CH7" s="1949"/>
      <c r="CI7" s="1949"/>
      <c r="CJ7" s="1949"/>
      <c r="CK7" s="1949"/>
      <c r="CL7" s="1949"/>
      <c r="CM7" s="1949"/>
      <c r="CN7" s="1949"/>
      <c r="CO7" s="1949"/>
      <c r="CP7" s="1949"/>
      <c r="CQ7" s="1949"/>
      <c r="CR7" s="1949"/>
      <c r="CS7" s="1949"/>
      <c r="CT7" s="1949"/>
      <c r="CU7" s="1949"/>
      <c r="CV7" s="1949"/>
      <c r="CW7" s="1949"/>
      <c r="CX7" s="1949"/>
      <c r="CY7" s="1949"/>
      <c r="CZ7" s="1949"/>
      <c r="DA7" s="1949"/>
      <c r="DB7" s="1949"/>
      <c r="DC7" s="1949"/>
      <c r="DD7" s="1949"/>
      <c r="DE7" s="1949"/>
      <c r="DF7" s="1949"/>
      <c r="DG7" s="1949"/>
      <c r="DH7" s="1949"/>
      <c r="DI7" s="1949"/>
      <c r="DJ7" s="1949"/>
      <c r="DK7" s="1949"/>
      <c r="DL7" s="1949"/>
      <c r="DM7" s="1949"/>
      <c r="DN7" s="1949"/>
      <c r="DO7" s="1949"/>
      <c r="DP7" s="1949"/>
      <c r="DQ7" s="1949"/>
      <c r="DR7" s="1949"/>
      <c r="DS7" s="1949"/>
      <c r="DT7" s="1949"/>
      <c r="DU7" s="1949"/>
      <c r="DV7" s="1949"/>
      <c r="DW7" s="1949"/>
      <c r="DX7" s="1949"/>
      <c r="DY7" s="1949"/>
      <c r="DZ7" s="1949"/>
      <c r="EA7" s="1949"/>
      <c r="EB7" s="1949"/>
      <c r="EC7" s="1949"/>
      <c r="ED7" s="1949"/>
      <c r="EE7" s="1949"/>
      <c r="EF7" s="1949"/>
      <c r="EG7" s="1949"/>
      <c r="EH7" s="1949"/>
      <c r="EI7" s="1949"/>
      <c r="EJ7" s="1949"/>
      <c r="EK7" s="1949"/>
      <c r="EL7" s="1949"/>
      <c r="EM7" s="1949"/>
      <c r="EN7" s="1949"/>
      <c r="EO7" s="1949"/>
      <c r="EP7" s="1949"/>
      <c r="EQ7" s="1949"/>
      <c r="ER7" s="1949"/>
      <c r="ES7" s="1949"/>
      <c r="ET7" s="1949"/>
      <c r="EU7" s="1949"/>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49"/>
      <c r="GP7" s="1949"/>
      <c r="GQ7" s="1949"/>
      <c r="GR7" s="1949"/>
      <c r="GS7" s="1949"/>
      <c r="GT7" s="1949"/>
      <c r="GU7" s="1949"/>
      <c r="GV7" s="1949"/>
      <c r="GW7" s="1949"/>
      <c r="GX7" s="1949"/>
      <c r="GY7" s="1949"/>
      <c r="GZ7" s="1949"/>
      <c r="HA7" s="1949"/>
      <c r="HB7" s="1949"/>
      <c r="HC7" s="1949"/>
      <c r="HD7" s="1949"/>
      <c r="HE7" s="1949"/>
      <c r="HF7" s="1949"/>
      <c r="HG7" s="1949"/>
      <c r="HH7" s="1949"/>
      <c r="HI7" s="1949"/>
      <c r="HJ7" s="1949"/>
      <c r="HK7" s="1949"/>
      <c r="HL7" s="1949"/>
      <c r="HM7" s="1949"/>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85"/>
      <c r="B8" s="191" t="s">
        <v>1576</v>
      </c>
      <c r="C8" s="1172" t="s">
        <v>179</v>
      </c>
      <c r="D8" s="1172" t="s">
        <v>577</v>
      </c>
      <c r="E8" s="1172" t="s">
        <v>1574</v>
      </c>
      <c r="F8" s="1172" t="s">
        <v>1574</v>
      </c>
      <c r="G8" s="1172" t="s">
        <v>2544</v>
      </c>
      <c r="H8" s="1172" t="s">
        <v>2542</v>
      </c>
      <c r="I8" s="1172" t="s">
        <v>851</v>
      </c>
      <c r="J8" s="1172" t="s">
        <v>2568</v>
      </c>
      <c r="K8" s="1984" t="s">
        <v>148</v>
      </c>
      <c r="L8" s="1984"/>
      <c r="M8" s="1172" t="s">
        <v>2520</v>
      </c>
      <c r="N8" s="1172" t="s">
        <v>564</v>
      </c>
      <c r="O8" s="1172" t="s">
        <v>402</v>
      </c>
      <c r="P8" s="1987" t="s">
        <v>1103</v>
      </c>
      <c r="Q8" s="1987"/>
      <c r="R8" s="1173" t="s">
        <v>2925</v>
      </c>
      <c r="S8" s="1173" t="s">
        <v>2927</v>
      </c>
      <c r="T8" s="515"/>
      <c r="U8" s="516"/>
      <c r="V8" s="1948"/>
      <c r="W8" s="1948"/>
      <c r="X8" s="1948"/>
      <c r="Y8" s="1948"/>
      <c r="Z8" s="1948"/>
      <c r="AA8" s="1948"/>
      <c r="AB8" s="1948"/>
      <c r="AC8" s="1948"/>
      <c r="AD8" s="1948"/>
      <c r="AE8" s="1948"/>
      <c r="AF8" s="1948"/>
      <c r="AG8" s="1948"/>
      <c r="AH8" s="1948"/>
      <c r="AI8" s="1948"/>
      <c r="AJ8" s="1948"/>
      <c r="AK8" s="1948"/>
      <c r="AL8" s="1948"/>
      <c r="AM8" s="1948"/>
      <c r="AN8" s="1948"/>
      <c r="AO8" s="1948"/>
      <c r="AP8" s="1948"/>
      <c r="AQ8" s="1948"/>
      <c r="AR8" s="1948"/>
      <c r="AS8" s="1948"/>
      <c r="AT8" s="1948"/>
      <c r="AU8" s="1948"/>
      <c r="AV8" s="1948"/>
      <c r="AW8" s="1948"/>
      <c r="AX8" s="1948"/>
      <c r="AY8" s="1948"/>
      <c r="AZ8" s="1948"/>
      <c r="BA8" s="1948"/>
      <c r="BB8" s="1948"/>
      <c r="BC8" s="1948"/>
      <c r="BD8" s="1948"/>
      <c r="BE8" s="1948"/>
      <c r="BF8" s="1948"/>
      <c r="BG8" s="1948"/>
      <c r="BH8" s="1948"/>
      <c r="BI8" s="1948"/>
      <c r="BJ8" s="1948"/>
      <c r="BK8" s="1948"/>
      <c r="BL8" s="1948"/>
      <c r="BM8" s="1948"/>
      <c r="BN8" s="1948"/>
      <c r="BO8" s="1948"/>
      <c r="BP8" s="1948"/>
      <c r="BQ8" s="1948"/>
      <c r="BR8" s="1948"/>
      <c r="BS8" s="1948"/>
      <c r="BT8" s="1948"/>
      <c r="BU8" s="1948"/>
      <c r="BV8" s="1948"/>
      <c r="BW8" s="1948"/>
      <c r="BX8" s="1948"/>
      <c r="BY8" s="1948"/>
      <c r="BZ8" s="1948"/>
      <c r="CA8" s="1948"/>
      <c r="CB8" s="1948"/>
      <c r="CC8" s="1948"/>
      <c r="CD8" s="1949"/>
      <c r="CE8" s="1949"/>
      <c r="CF8" s="1949"/>
      <c r="CG8" s="1949"/>
      <c r="CH8" s="1949"/>
      <c r="CI8" s="1949"/>
      <c r="CJ8" s="1949"/>
      <c r="CK8" s="1949"/>
      <c r="CL8" s="1949"/>
      <c r="CM8" s="1949"/>
      <c r="CN8" s="1949"/>
      <c r="CO8" s="1949"/>
      <c r="CP8" s="1949"/>
      <c r="CQ8" s="1949"/>
      <c r="CR8" s="1949"/>
      <c r="CS8" s="1949"/>
      <c r="CT8" s="1949"/>
      <c r="CU8" s="1949"/>
      <c r="CV8" s="1949"/>
      <c r="CW8" s="1949"/>
      <c r="CX8" s="1949"/>
      <c r="CY8" s="1949"/>
      <c r="CZ8" s="1949"/>
      <c r="DA8" s="1949"/>
      <c r="DB8" s="1949"/>
      <c r="DC8" s="1949"/>
      <c r="DD8" s="1949"/>
      <c r="DE8" s="1949"/>
      <c r="DF8" s="1949"/>
      <c r="DG8" s="1949"/>
      <c r="DH8" s="1949"/>
      <c r="DI8" s="1949"/>
      <c r="DJ8" s="1949"/>
      <c r="DK8" s="1949"/>
      <c r="DL8" s="1949"/>
      <c r="DM8" s="1949"/>
      <c r="DN8" s="1949"/>
      <c r="DO8" s="1949"/>
      <c r="DP8" s="1949"/>
      <c r="DQ8" s="1949"/>
      <c r="DR8" s="1949"/>
      <c r="DS8" s="1949"/>
      <c r="DT8" s="1949"/>
      <c r="DU8" s="1949"/>
      <c r="DV8" s="1949"/>
      <c r="DW8" s="1949"/>
      <c r="DX8" s="1949"/>
      <c r="DY8" s="1949"/>
      <c r="DZ8" s="1949"/>
      <c r="EA8" s="1949"/>
      <c r="EB8" s="1949"/>
      <c r="EC8" s="1949"/>
      <c r="ED8" s="1949"/>
      <c r="EE8" s="1949"/>
      <c r="EF8" s="1949"/>
      <c r="EG8" s="1949"/>
      <c r="EH8" s="1949"/>
      <c r="EI8" s="1949"/>
      <c r="EJ8" s="1949"/>
      <c r="EK8" s="1949"/>
      <c r="EL8" s="1949"/>
      <c r="EM8" s="1949"/>
      <c r="EN8" s="1949"/>
      <c r="EO8" s="1949"/>
      <c r="EP8" s="1949"/>
      <c r="EQ8" s="1949"/>
      <c r="ER8" s="1949"/>
      <c r="ES8" s="1949"/>
      <c r="ET8" s="1949"/>
      <c r="EU8" s="1949"/>
      <c r="EV8" s="1949" t="s">
        <v>1557</v>
      </c>
      <c r="EW8" s="576" t="s">
        <v>2603</v>
      </c>
      <c r="EX8" s="576" t="s">
        <v>2604</v>
      </c>
      <c r="EY8" s="576" t="s">
        <v>2605</v>
      </c>
      <c r="EZ8" s="576" t="s">
        <v>2606</v>
      </c>
      <c r="FA8" s="1949" t="s">
        <v>2664</v>
      </c>
      <c r="FB8" s="1949" t="s">
        <v>2664</v>
      </c>
      <c r="FC8" s="1949" t="s">
        <v>2664</v>
      </c>
      <c r="FD8" s="1949" t="s">
        <v>2664</v>
      </c>
      <c r="FE8" s="1949" t="s">
        <v>2664</v>
      </c>
      <c r="FF8" s="576" t="s">
        <v>515</v>
      </c>
      <c r="FG8" s="576" t="s">
        <v>2603</v>
      </c>
      <c r="FH8" s="576" t="s">
        <v>2604</v>
      </c>
      <c r="FI8" s="576" t="s">
        <v>2605</v>
      </c>
      <c r="FJ8" s="576" t="s">
        <v>2606</v>
      </c>
      <c r="FK8" s="1949" t="s">
        <v>2666</v>
      </c>
      <c r="FL8" s="1949" t="s">
        <v>2666</v>
      </c>
      <c r="FM8" s="1949" t="s">
        <v>2666</v>
      </c>
      <c r="FN8" s="1949" t="s">
        <v>2666</v>
      </c>
      <c r="FO8" s="1949" t="s">
        <v>2666</v>
      </c>
      <c r="FP8" s="1949" t="s">
        <v>377</v>
      </c>
      <c r="FQ8" s="1949" t="s">
        <v>377</v>
      </c>
      <c r="FR8" s="1949" t="s">
        <v>377</v>
      </c>
      <c r="FS8" s="1949" t="s">
        <v>377</v>
      </c>
      <c r="FT8" s="1949" t="s">
        <v>377</v>
      </c>
      <c r="FU8" s="1949" t="s">
        <v>378</v>
      </c>
      <c r="FV8" s="1949" t="s">
        <v>378</v>
      </c>
      <c r="FW8" s="1949" t="s">
        <v>378</v>
      </c>
      <c r="FX8" s="1949" t="s">
        <v>378</v>
      </c>
      <c r="FY8" s="1949" t="s">
        <v>378</v>
      </c>
      <c r="FZ8" s="1949" t="s">
        <v>379</v>
      </c>
      <c r="GA8" s="1949" t="s">
        <v>379</v>
      </c>
      <c r="GB8" s="1949" t="s">
        <v>379</v>
      </c>
      <c r="GC8" s="1949" t="s">
        <v>379</v>
      </c>
      <c r="GD8" s="1949" t="s">
        <v>379</v>
      </c>
      <c r="GE8" s="1949" t="s">
        <v>380</v>
      </c>
      <c r="GF8" s="1949" t="s">
        <v>380</v>
      </c>
      <c r="GG8" s="1949" t="s">
        <v>380</v>
      </c>
      <c r="GH8" s="1949" t="s">
        <v>380</v>
      </c>
      <c r="GI8" s="1949" t="s">
        <v>380</v>
      </c>
      <c r="GJ8" s="1949" t="s">
        <v>1556</v>
      </c>
      <c r="GK8" s="1949" t="s">
        <v>1556</v>
      </c>
      <c r="GL8" s="1949" t="s">
        <v>1556</v>
      </c>
      <c r="GM8" s="1949" t="s">
        <v>1556</v>
      </c>
      <c r="GN8" s="1949" t="s">
        <v>1556</v>
      </c>
      <c r="GO8" s="1949"/>
      <c r="GP8" s="1949"/>
      <c r="GQ8" s="1949"/>
      <c r="GR8" s="1949"/>
      <c r="GS8" s="1949"/>
      <c r="GT8" s="1949"/>
      <c r="GU8" s="1949"/>
      <c r="GV8" s="1949"/>
      <c r="GW8" s="1949"/>
      <c r="GX8" s="1949"/>
      <c r="GY8" s="1949"/>
      <c r="GZ8" s="1949"/>
      <c r="HA8" s="1949"/>
      <c r="HB8" s="1949"/>
      <c r="HC8" s="1949"/>
      <c r="HD8" s="1949"/>
      <c r="HE8" s="1949"/>
      <c r="HF8" s="1949"/>
      <c r="HG8" s="1949"/>
      <c r="HH8" s="1949"/>
      <c r="HI8" s="1949"/>
      <c r="HJ8" s="1949"/>
      <c r="HK8" s="1949"/>
      <c r="HL8" s="1949"/>
      <c r="HM8" s="1949"/>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85"/>
      <c r="B9" s="191" t="s">
        <v>1381</v>
      </c>
      <c r="C9" s="1172" t="s">
        <v>178</v>
      </c>
      <c r="D9" s="1172" t="s">
        <v>180</v>
      </c>
      <c r="E9" s="1172" t="s">
        <v>1575</v>
      </c>
      <c r="F9" s="1172" t="s">
        <v>1358</v>
      </c>
      <c r="G9" s="1172" t="s">
        <v>1359</v>
      </c>
      <c r="H9" s="1172" t="s">
        <v>2543</v>
      </c>
      <c r="I9" s="1172" t="s">
        <v>852</v>
      </c>
      <c r="J9" s="568" t="s">
        <v>368</v>
      </c>
      <c r="K9" s="1172" t="s">
        <v>1635</v>
      </c>
      <c r="L9" s="1172" t="s">
        <v>571</v>
      </c>
      <c r="M9" s="1172" t="s">
        <v>1574</v>
      </c>
      <c r="N9" s="1172" t="s">
        <v>1381</v>
      </c>
      <c r="O9" s="1172" t="s">
        <v>403</v>
      </c>
      <c r="P9" s="1173" t="s">
        <v>1101</v>
      </c>
      <c r="Q9" s="1173" t="s">
        <v>1102</v>
      </c>
      <c r="R9" s="1173" t="s">
        <v>1576</v>
      </c>
      <c r="S9" s="1173" t="s">
        <v>2928</v>
      </c>
      <c r="T9" s="1771" t="s">
        <v>1973</v>
      </c>
      <c r="U9" s="1771"/>
      <c r="V9" s="1948"/>
      <c r="W9" s="1948"/>
      <c r="X9" s="1948"/>
      <c r="Y9" s="1948"/>
      <c r="Z9" s="1948"/>
      <c r="AA9" s="1948"/>
      <c r="AB9" s="1948"/>
      <c r="AC9" s="1948"/>
      <c r="AD9" s="1948"/>
      <c r="AE9" s="1948"/>
      <c r="AF9" s="1948"/>
      <c r="AG9" s="1948"/>
      <c r="AH9" s="1948"/>
      <c r="AI9" s="1948"/>
      <c r="AJ9" s="1948"/>
      <c r="AK9" s="1948"/>
      <c r="AL9" s="1948"/>
      <c r="AM9" s="1948"/>
      <c r="AN9" s="1948"/>
      <c r="AO9" s="1948"/>
      <c r="AP9" s="1948"/>
      <c r="AQ9" s="1948"/>
      <c r="AR9" s="1948"/>
      <c r="AS9" s="1948"/>
      <c r="AT9" s="1948"/>
      <c r="AU9" s="1948"/>
      <c r="AV9" s="1948"/>
      <c r="AW9" s="1948"/>
      <c r="AX9" s="1948"/>
      <c r="AY9" s="1948"/>
      <c r="AZ9" s="1948"/>
      <c r="BA9" s="1948"/>
      <c r="BB9" s="1948"/>
      <c r="BC9" s="1948"/>
      <c r="BD9" s="1948"/>
      <c r="BE9" s="1948"/>
      <c r="BF9" s="1948"/>
      <c r="BG9" s="1948"/>
      <c r="BH9" s="1948"/>
      <c r="BI9" s="1948"/>
      <c r="BJ9" s="1948"/>
      <c r="BK9" s="1948"/>
      <c r="BL9" s="1948"/>
      <c r="BM9" s="1948"/>
      <c r="BN9" s="1948"/>
      <c r="BO9" s="1948"/>
      <c r="BP9" s="1948"/>
      <c r="BQ9" s="1948"/>
      <c r="BR9" s="1948"/>
      <c r="BS9" s="1948"/>
      <c r="BT9" s="1948"/>
      <c r="BU9" s="1948"/>
      <c r="BV9" s="1948"/>
      <c r="BW9" s="1948"/>
      <c r="BX9" s="1948"/>
      <c r="BY9" s="1948"/>
      <c r="BZ9" s="1948"/>
      <c r="CA9" s="1948"/>
      <c r="CB9" s="1948"/>
      <c r="CC9" s="1948"/>
      <c r="CD9" s="1949"/>
      <c r="CE9" s="1949"/>
      <c r="CF9" s="1949"/>
      <c r="CG9" s="1949"/>
      <c r="CH9" s="1949"/>
      <c r="CI9" s="1949"/>
      <c r="CJ9" s="1949"/>
      <c r="CK9" s="1949"/>
      <c r="CL9" s="1949"/>
      <c r="CM9" s="1949"/>
      <c r="CN9" s="1949"/>
      <c r="CO9" s="1949"/>
      <c r="CP9" s="1949"/>
      <c r="CQ9" s="1949"/>
      <c r="CR9" s="1949"/>
      <c r="CS9" s="1949"/>
      <c r="CT9" s="1949"/>
      <c r="CU9" s="1949"/>
      <c r="CV9" s="1949"/>
      <c r="CW9" s="1949"/>
      <c r="CX9" s="1949"/>
      <c r="CY9" s="1949"/>
      <c r="CZ9" s="1949"/>
      <c r="DA9" s="1949"/>
      <c r="DB9" s="1949"/>
      <c r="DC9" s="1949"/>
      <c r="DD9" s="1949"/>
      <c r="DE9" s="1949"/>
      <c r="DF9" s="1949"/>
      <c r="DG9" s="1949"/>
      <c r="DH9" s="1949"/>
      <c r="DI9" s="1949"/>
      <c r="DJ9" s="1949"/>
      <c r="DK9" s="1949"/>
      <c r="DL9" s="1949"/>
      <c r="DM9" s="1949"/>
      <c r="DN9" s="1949"/>
      <c r="DO9" s="1949"/>
      <c r="DP9" s="1949"/>
      <c r="DQ9" s="1949"/>
      <c r="DR9" s="1949"/>
      <c r="DS9" s="1949"/>
      <c r="DT9" s="1949"/>
      <c r="DU9" s="1949"/>
      <c r="DV9" s="1949"/>
      <c r="DW9" s="1949"/>
      <c r="DX9" s="1949"/>
      <c r="DY9" s="1949"/>
      <c r="DZ9" s="1949"/>
      <c r="EA9" s="1949"/>
      <c r="EB9" s="1949"/>
      <c r="EC9" s="1949"/>
      <c r="ED9" s="1949"/>
      <c r="EE9" s="1949"/>
      <c r="EF9" s="1949"/>
      <c r="EG9" s="1949"/>
      <c r="EH9" s="1949"/>
      <c r="EI9" s="1949"/>
      <c r="EJ9" s="1949"/>
      <c r="EK9" s="1949"/>
      <c r="EL9" s="1949"/>
      <c r="EM9" s="1949"/>
      <c r="EN9" s="1949"/>
      <c r="EO9" s="1949"/>
      <c r="EP9" s="1949"/>
      <c r="EQ9" s="1949"/>
      <c r="ER9" s="1949"/>
      <c r="ES9" s="1949"/>
      <c r="ET9" s="1949"/>
      <c r="EU9" s="1949"/>
      <c r="EV9" s="1949"/>
      <c r="EW9" s="576" t="s">
        <v>2663</v>
      </c>
      <c r="EX9" s="576" t="s">
        <v>2663</v>
      </c>
      <c r="EY9" s="576" t="s">
        <v>2663</v>
      </c>
      <c r="EZ9" s="576" t="s">
        <v>2663</v>
      </c>
      <c r="FA9" s="1949"/>
      <c r="FB9" s="1949"/>
      <c r="FC9" s="1949"/>
      <c r="FD9" s="1949"/>
      <c r="FE9" s="1949"/>
      <c r="FF9" s="576" t="s">
        <v>2665</v>
      </c>
      <c r="FG9" s="576" t="s">
        <v>2665</v>
      </c>
      <c r="FH9" s="576" t="s">
        <v>2665</v>
      </c>
      <c r="FI9" s="576" t="s">
        <v>2665</v>
      </c>
      <c r="FJ9" s="576" t="s">
        <v>2665</v>
      </c>
      <c r="FK9" s="1949"/>
      <c r="FL9" s="1949"/>
      <c r="FM9" s="1949"/>
      <c r="FN9" s="1949"/>
      <c r="FO9" s="1949"/>
      <c r="FP9" s="1949"/>
      <c r="FQ9" s="1949"/>
      <c r="FR9" s="1949"/>
      <c r="FS9" s="1949"/>
      <c r="FT9" s="1949"/>
      <c r="FU9" s="1949"/>
      <c r="FV9" s="1949"/>
      <c r="FW9" s="1949"/>
      <c r="FX9" s="1949"/>
      <c r="FY9" s="1949"/>
      <c r="FZ9" s="1949"/>
      <c r="GA9" s="1949"/>
      <c r="GB9" s="1949"/>
      <c r="GC9" s="1949"/>
      <c r="GD9" s="1949"/>
      <c r="GE9" s="1949"/>
      <c r="GF9" s="1949"/>
      <c r="GG9" s="1949"/>
      <c r="GH9" s="1949"/>
      <c r="GI9" s="1949"/>
      <c r="GJ9" s="1949"/>
      <c r="GK9" s="1949"/>
      <c r="GL9" s="1949"/>
      <c r="GM9" s="1949"/>
      <c r="GN9" s="1949"/>
      <c r="GO9" s="1949"/>
      <c r="GP9" s="1949"/>
      <c r="GQ9" s="1949"/>
      <c r="GR9" s="1949"/>
      <c r="GS9" s="1949"/>
      <c r="GT9" s="1949"/>
      <c r="GU9" s="1949"/>
      <c r="GV9" s="1949"/>
      <c r="GW9" s="1949"/>
      <c r="GX9" s="1949"/>
      <c r="GY9" s="1949"/>
      <c r="GZ9" s="1949"/>
      <c r="HA9" s="1949"/>
      <c r="HB9" s="1949"/>
      <c r="HC9" s="1949"/>
      <c r="HD9" s="1949"/>
      <c r="HE9" s="1949"/>
      <c r="HF9" s="1949"/>
      <c r="HG9" s="1949"/>
      <c r="HH9" s="1949"/>
      <c r="HI9" s="1949"/>
      <c r="HJ9" s="1949"/>
      <c r="HK9" s="1949"/>
      <c r="HL9" s="1949"/>
      <c r="HM9" s="1949"/>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51" t="s">
        <v>121</v>
      </c>
      <c r="C10" s="1352">
        <v>1</v>
      </c>
      <c r="D10" s="1353">
        <v>1</v>
      </c>
      <c r="E10" s="1354">
        <v>8</v>
      </c>
      <c r="F10" s="1354">
        <v>650</v>
      </c>
      <c r="G10" s="1354">
        <v>520</v>
      </c>
      <c r="H10" s="1354">
        <v>480</v>
      </c>
      <c r="I10" s="1354">
        <v>105</v>
      </c>
      <c r="J10" s="1355"/>
      <c r="K10" s="197">
        <f>MAX(0,H10-I10)</f>
        <v>375</v>
      </c>
      <c r="L10" s="197">
        <f t="shared" ref="L10:L47" si="0">MAX(0,E10*K10)</f>
        <v>3000</v>
      </c>
      <c r="M10" s="1098" t="s">
        <v>3699</v>
      </c>
      <c r="N10" s="1098" t="s">
        <v>3710</v>
      </c>
      <c r="O10" s="1098" t="s">
        <v>3711</v>
      </c>
      <c r="P10" s="518">
        <f>IF(H10="","",H10*12/0.3)</f>
        <v>19200</v>
      </c>
      <c r="Q10" s="519">
        <f>IF(H10="","",P10/($P$6*VLOOKUP(C10,'DCA Underwriting Assumptions'!$J$82:$K$87,2,FALSE)))</f>
        <v>0.58581235697940504</v>
      </c>
      <c r="R10" s="607"/>
      <c r="S10" s="519"/>
      <c r="T10" s="1829"/>
      <c r="U10" s="1830"/>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8</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5200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t="str">
        <f t="shared" ref="DD10:DD47" si="57">IF(AND($C10=1, $O10="New Construction",NOT($B10="Unrestricted"),NOT($B10="NSP 120% AMI"),NOT($B10="N/A-CS"),NOT($M10="Common")),$E10,"")</f>
        <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f t="shared" ref="DS10:DS47" si="72">IF(AND($C10=1, $O10="Acquisition/Rehab",NOT($B10="Unrestricted"),NOT($B10="NSP 120% AMI"),NOT($B10="N/A-CS"),NOT($M10="Common")),$E10,"")</f>
        <v>8</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8</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f t="shared" ref="GF10:GF47" si="137">IF(AND($C10=1, $N10="2-Story Walkup"),$E10,"")</f>
        <v>8</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356" t="s">
        <v>121</v>
      </c>
      <c r="C11" s="1357">
        <v>1</v>
      </c>
      <c r="D11" s="1358">
        <v>2</v>
      </c>
      <c r="E11" s="1354">
        <v>12</v>
      </c>
      <c r="F11" s="1354">
        <v>974</v>
      </c>
      <c r="G11" s="1354">
        <v>520</v>
      </c>
      <c r="H11" s="1354">
        <v>515</v>
      </c>
      <c r="I11" s="1354">
        <v>105</v>
      </c>
      <c r="J11" s="1359"/>
      <c r="K11" s="198">
        <f t="shared" ref="K11:K27" si="172">MAX(0,H11-I11)</f>
        <v>410</v>
      </c>
      <c r="L11" s="198">
        <f t="shared" si="0"/>
        <v>4920</v>
      </c>
      <c r="M11" s="1099" t="s">
        <v>3699</v>
      </c>
      <c r="N11" s="1099" t="s">
        <v>3710</v>
      </c>
      <c r="O11" s="1099" t="s">
        <v>3711</v>
      </c>
      <c r="P11" s="518">
        <f>IF(H11="","",H11*12/0.3)</f>
        <v>20600</v>
      </c>
      <c r="Q11" s="519">
        <f>IF(H11="","",P11/($P$6*VLOOKUP(C11,'DCA Underwriting Assumptions'!$J$82:$K$87,2,FALSE)))</f>
        <v>0.62852784134248663</v>
      </c>
      <c r="R11" s="607"/>
      <c r="S11" s="519"/>
      <c r="T11" s="1831"/>
      <c r="U11" s="1832"/>
      <c r="V11" s="567" t="str">
        <f t="shared" si="1"/>
        <v/>
      </c>
      <c r="W11" s="567" t="str">
        <f t="shared" si="2"/>
        <v/>
      </c>
      <c r="X11" s="567" t="str">
        <f t="shared" si="3"/>
        <v/>
      </c>
      <c r="Y11" s="567" t="str">
        <f t="shared" si="4"/>
        <v/>
      </c>
      <c r="Z11" s="567" t="str">
        <f t="shared" si="5"/>
        <v/>
      </c>
      <c r="AA11" s="567" t="str">
        <f t="shared" si="6"/>
        <v/>
      </c>
      <c r="AB11" s="567">
        <f t="shared" si="7"/>
        <v>12</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f t="shared" si="32"/>
        <v>11688</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f t="shared" si="72"/>
        <v>12</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12</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f t="shared" si="137"/>
        <v>12</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356" t="s">
        <v>1217</v>
      </c>
      <c r="C12" s="1357">
        <v>3</v>
      </c>
      <c r="D12" s="1358">
        <v>2</v>
      </c>
      <c r="E12" s="1354">
        <v>32</v>
      </c>
      <c r="F12" s="1354">
        <v>1187</v>
      </c>
      <c r="G12" s="1354">
        <v>866</v>
      </c>
      <c r="H12" s="1354">
        <v>732</v>
      </c>
      <c r="I12" s="1354">
        <v>167</v>
      </c>
      <c r="J12" s="1359"/>
      <c r="K12" s="198">
        <f t="shared" si="172"/>
        <v>565</v>
      </c>
      <c r="L12" s="198">
        <f t="shared" si="0"/>
        <v>18080</v>
      </c>
      <c r="M12" s="1099" t="s">
        <v>3699</v>
      </c>
      <c r="N12" s="1099" t="s">
        <v>3710</v>
      </c>
      <c r="O12" s="1099" t="s">
        <v>3711</v>
      </c>
      <c r="P12" s="518">
        <f>IF(H12="","",H12*12/0.3)</f>
        <v>29280</v>
      </c>
      <c r="Q12" s="519">
        <f>IF(H12="","",P12/($P$6*VLOOKUP(C12,'DCA Underwriting Assumptions'!$J$82:$K$87,2,FALSE)))</f>
        <v>0.64425277239922552</v>
      </c>
      <c r="R12" s="607"/>
      <c r="S12" s="519"/>
      <c r="T12" s="1831"/>
      <c r="U12" s="1832"/>
      <c r="V12" s="567" t="str">
        <f t="shared" si="1"/>
        <v/>
      </c>
      <c r="W12" s="567" t="str">
        <f t="shared" si="2"/>
        <v/>
      </c>
      <c r="X12" s="567" t="str">
        <f t="shared" si="3"/>
        <v/>
      </c>
      <c r="Y12" s="567">
        <f t="shared" si="4"/>
        <v>32</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f t="shared" si="29"/>
        <v>37984</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f t="shared" si="74"/>
        <v>32</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f t="shared" si="104"/>
        <v>32</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f t="shared" si="139"/>
        <v>32</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356" t="s">
        <v>1217</v>
      </c>
      <c r="C13" s="1357">
        <v>2</v>
      </c>
      <c r="D13" s="1358">
        <v>2</v>
      </c>
      <c r="E13" s="1354">
        <v>55</v>
      </c>
      <c r="F13" s="1354">
        <v>974</v>
      </c>
      <c r="G13" s="1354">
        <v>750</v>
      </c>
      <c r="H13" s="1354">
        <v>649</v>
      </c>
      <c r="I13" s="1354">
        <v>134</v>
      </c>
      <c r="J13" s="1359"/>
      <c r="K13" s="198">
        <f t="shared" si="172"/>
        <v>515</v>
      </c>
      <c r="L13" s="198">
        <f t="shared" si="0"/>
        <v>28325</v>
      </c>
      <c r="M13" s="1099" t="s">
        <v>3699</v>
      </c>
      <c r="N13" s="1099" t="s">
        <v>3710</v>
      </c>
      <c r="O13" s="1099" t="s">
        <v>3711</v>
      </c>
      <c r="P13" s="518">
        <f>IF(H13="","",H13*12/0.3)</f>
        <v>25960</v>
      </c>
      <c r="Q13" s="519">
        <f>IF(H13="","",P13/($P$6*VLOOKUP(C13,'DCA Underwriting Assumptions'!$J$82:$K$87,2,FALSE)))</f>
        <v>0.66005593694380882</v>
      </c>
      <c r="R13" s="607"/>
      <c r="S13" s="519"/>
      <c r="T13" s="1831"/>
      <c r="U13" s="1832"/>
      <c r="V13" s="567" t="str">
        <f t="shared" si="1"/>
        <v/>
      </c>
      <c r="W13" s="567" t="str">
        <f t="shared" si="2"/>
        <v/>
      </c>
      <c r="X13" s="567">
        <f t="shared" si="3"/>
        <v>55</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53570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f t="shared" si="73"/>
        <v>55</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55</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f t="shared" si="138"/>
        <v>55</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356" t="s">
        <v>1217</v>
      </c>
      <c r="C14" s="1357">
        <v>3</v>
      </c>
      <c r="D14" s="1358">
        <v>2</v>
      </c>
      <c r="E14" s="1354">
        <v>20</v>
      </c>
      <c r="F14" s="1354">
        <v>1153</v>
      </c>
      <c r="G14" s="1354">
        <v>866</v>
      </c>
      <c r="H14" s="1354">
        <v>732</v>
      </c>
      <c r="I14" s="1354">
        <v>167</v>
      </c>
      <c r="J14" s="1359"/>
      <c r="K14" s="198">
        <f t="shared" si="172"/>
        <v>565</v>
      </c>
      <c r="L14" s="198">
        <f t="shared" si="0"/>
        <v>11300</v>
      </c>
      <c r="M14" s="1099" t="s">
        <v>3699</v>
      </c>
      <c r="N14" s="1099" t="s">
        <v>3710</v>
      </c>
      <c r="O14" s="1099" t="s">
        <v>3711</v>
      </c>
      <c r="P14" s="518">
        <f>IF(H14="","",H14*12/0.3)</f>
        <v>29280</v>
      </c>
      <c r="Q14" s="519">
        <f>IF(H14="","",P14/($P$6*VLOOKUP(C14,'DCA Underwriting Assumptions'!$J$82:$K$87,2,FALSE)))</f>
        <v>0.64425277239922552</v>
      </c>
      <c r="R14" s="607"/>
      <c r="S14" s="519"/>
      <c r="T14" s="1831"/>
      <c r="U14" s="1832"/>
      <c r="V14" s="567" t="str">
        <f t="shared" si="1"/>
        <v/>
      </c>
      <c r="W14" s="567" t="str">
        <f t="shared" si="2"/>
        <v/>
      </c>
      <c r="X14" s="567" t="str">
        <f t="shared" si="3"/>
        <v/>
      </c>
      <c r="Y14" s="567">
        <f t="shared" si="4"/>
        <v>20</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f t="shared" si="29"/>
        <v>23060</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f t="shared" si="74"/>
        <v>20</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f t="shared" si="104"/>
        <v>20</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f t="shared" si="139"/>
        <v>20</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356" t="s">
        <v>3832</v>
      </c>
      <c r="C15" s="1357">
        <v>2</v>
      </c>
      <c r="D15" s="1358">
        <v>2</v>
      </c>
      <c r="E15" s="1354">
        <v>1</v>
      </c>
      <c r="F15" s="1354">
        <v>974</v>
      </c>
      <c r="G15" s="1354">
        <v>0</v>
      </c>
      <c r="H15" s="1354">
        <v>0</v>
      </c>
      <c r="I15" s="1354">
        <v>0</v>
      </c>
      <c r="J15" s="1359"/>
      <c r="K15" s="198">
        <f t="shared" si="172"/>
        <v>0</v>
      </c>
      <c r="L15" s="198">
        <f t="shared" si="0"/>
        <v>0</v>
      </c>
      <c r="M15" s="1099" t="s">
        <v>3833</v>
      </c>
      <c r="N15" s="1099" t="s">
        <v>3710</v>
      </c>
      <c r="O15" s="1099" t="s">
        <v>3711</v>
      </c>
      <c r="P15" s="518">
        <f t="shared" ref="P15:P47" si="203">IF(H15="","",H15*12/0.3)</f>
        <v>0</v>
      </c>
      <c r="Q15" s="519">
        <f>IF(H15="","",P15/($P$6*VLOOKUP(C15,'DCA Underwriting Assumptions'!$J$82:$K$87,2,FALSE)))</f>
        <v>0</v>
      </c>
      <c r="R15" s="607"/>
      <c r="S15" s="519"/>
      <c r="T15" s="1831"/>
      <c r="U15" s="1832"/>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f t="shared" si="23"/>
        <v>1</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f t="shared" si="53"/>
        <v>974</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f t="shared" si="83"/>
        <v>1</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1</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f t="shared" si="138"/>
        <v>1</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356" t="s">
        <v>1894</v>
      </c>
      <c r="C16" s="1357"/>
      <c r="D16" s="1358"/>
      <c r="E16" s="1354"/>
      <c r="F16" s="1354"/>
      <c r="G16" s="1354"/>
      <c r="H16" s="1354"/>
      <c r="I16" s="1354"/>
      <c r="J16" s="1359"/>
      <c r="K16" s="198">
        <f t="shared" si="172"/>
        <v>0</v>
      </c>
      <c r="L16" s="198">
        <f t="shared" si="0"/>
        <v>0</v>
      </c>
      <c r="M16" s="1099"/>
      <c r="N16" s="1099"/>
      <c r="O16" s="1099"/>
      <c r="P16" s="518" t="str">
        <f t="shared" si="203"/>
        <v/>
      </c>
      <c r="Q16" s="519" t="str">
        <f>IF(H16="","",P16/($P$6*VLOOKUP(C16,'DCA Underwriting Assumptions'!$J$82:$K$87,2,FALSE)))</f>
        <v/>
      </c>
      <c r="R16" s="607"/>
      <c r="S16" s="519"/>
      <c r="T16" s="1831"/>
      <c r="U16" s="1832"/>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356" t="s">
        <v>1894</v>
      </c>
      <c r="C17" s="1357"/>
      <c r="D17" s="1358"/>
      <c r="E17" s="1354"/>
      <c r="F17" s="1354"/>
      <c r="G17" s="1354"/>
      <c r="H17" s="1354"/>
      <c r="I17" s="1354"/>
      <c r="J17" s="1359"/>
      <c r="K17" s="198">
        <f t="shared" si="172"/>
        <v>0</v>
      </c>
      <c r="L17" s="198">
        <f t="shared" si="0"/>
        <v>0</v>
      </c>
      <c r="M17" s="1099"/>
      <c r="N17" s="1099"/>
      <c r="O17" s="1099"/>
      <c r="P17" s="518" t="str">
        <f t="shared" si="203"/>
        <v/>
      </c>
      <c r="Q17" s="519" t="str">
        <f>IF(H17="","",P17/($P$6*VLOOKUP(C17,'DCA Underwriting Assumptions'!$J$82:$K$87,2,FALSE)))</f>
        <v/>
      </c>
      <c r="R17" s="607"/>
      <c r="S17" s="519"/>
      <c r="T17" s="1831"/>
      <c r="U17" s="1832"/>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356" t="s">
        <v>1894</v>
      </c>
      <c r="C18" s="1357"/>
      <c r="D18" s="1358"/>
      <c r="E18" s="1354"/>
      <c r="F18" s="1354"/>
      <c r="G18" s="1354"/>
      <c r="H18" s="1354"/>
      <c r="I18" s="1354"/>
      <c r="J18" s="1359"/>
      <c r="K18" s="198">
        <f t="shared" si="172"/>
        <v>0</v>
      </c>
      <c r="L18" s="198">
        <f t="shared" si="0"/>
        <v>0</v>
      </c>
      <c r="M18" s="1099"/>
      <c r="N18" s="1099"/>
      <c r="O18" s="1099"/>
      <c r="P18" s="518" t="str">
        <f t="shared" si="203"/>
        <v/>
      </c>
      <c r="Q18" s="519" t="str">
        <f>IF(H18="","",P18/($P$6*VLOOKUP(C18,'DCA Underwriting Assumptions'!$J$82:$K$87,2,FALSE)))</f>
        <v/>
      </c>
      <c r="R18" s="607"/>
      <c r="S18" s="519"/>
      <c r="T18" s="1831"/>
      <c r="U18" s="1832"/>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356" t="s">
        <v>1894</v>
      </c>
      <c r="C19" s="1357"/>
      <c r="D19" s="1358"/>
      <c r="E19" s="1354"/>
      <c r="F19" s="1354"/>
      <c r="G19" s="1354"/>
      <c r="H19" s="1354"/>
      <c r="I19" s="1354"/>
      <c r="J19" s="1359"/>
      <c r="K19" s="198">
        <f t="shared" si="172"/>
        <v>0</v>
      </c>
      <c r="L19" s="198">
        <f t="shared" si="0"/>
        <v>0</v>
      </c>
      <c r="M19" s="1099"/>
      <c r="N19" s="1099"/>
      <c r="O19" s="1099"/>
      <c r="P19" s="518" t="str">
        <f t="shared" si="203"/>
        <v/>
      </c>
      <c r="Q19" s="519" t="str">
        <f>IF(H19="","",P19/($P$6*VLOOKUP(C19,'DCA Underwriting Assumptions'!$J$82:$K$87,2,FALSE)))</f>
        <v/>
      </c>
      <c r="R19" s="607"/>
      <c r="S19" s="519"/>
      <c r="T19" s="1831"/>
      <c r="U19" s="1832"/>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356" t="s">
        <v>1894</v>
      </c>
      <c r="C20" s="1357"/>
      <c r="D20" s="1358"/>
      <c r="E20" s="1354"/>
      <c r="F20" s="1354"/>
      <c r="G20" s="1354"/>
      <c r="H20" s="1354"/>
      <c r="I20" s="1354"/>
      <c r="J20" s="1359"/>
      <c r="K20" s="198">
        <f t="shared" si="172"/>
        <v>0</v>
      </c>
      <c r="L20" s="198">
        <f t="shared" si="0"/>
        <v>0</v>
      </c>
      <c r="M20" s="1099"/>
      <c r="N20" s="1099"/>
      <c r="O20" s="1099"/>
      <c r="P20" s="518" t="str">
        <f t="shared" si="203"/>
        <v/>
      </c>
      <c r="Q20" s="519" t="str">
        <f>IF(H20="","",P20/($P$6*VLOOKUP(C20,'DCA Underwriting Assumptions'!$J$82:$K$87,2,FALSE)))</f>
        <v/>
      </c>
      <c r="R20" s="607"/>
      <c r="S20" s="519"/>
      <c r="T20" s="1831"/>
      <c r="U20" s="1832"/>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356" t="s">
        <v>1894</v>
      </c>
      <c r="C21" s="1357"/>
      <c r="D21" s="1358"/>
      <c r="E21" s="1354"/>
      <c r="F21" s="1354"/>
      <c r="G21" s="1354"/>
      <c r="H21" s="1354"/>
      <c r="I21" s="1354"/>
      <c r="J21" s="1359"/>
      <c r="K21" s="198">
        <f t="shared" si="172"/>
        <v>0</v>
      </c>
      <c r="L21" s="198">
        <f t="shared" si="0"/>
        <v>0</v>
      </c>
      <c r="M21" s="1099"/>
      <c r="N21" s="1099"/>
      <c r="O21" s="1099"/>
      <c r="P21" s="518" t="str">
        <f t="shared" si="203"/>
        <v/>
      </c>
      <c r="Q21" s="519" t="str">
        <f>IF(H21="","",P21/($P$6*VLOOKUP(C21,'DCA Underwriting Assumptions'!$J$82:$K$87,2,FALSE)))</f>
        <v/>
      </c>
      <c r="R21" s="607"/>
      <c r="S21" s="519"/>
      <c r="T21" s="1831"/>
      <c r="U21" s="1832"/>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356" t="s">
        <v>1894</v>
      </c>
      <c r="C22" s="1357"/>
      <c r="D22" s="1358"/>
      <c r="E22" s="1354"/>
      <c r="F22" s="1354"/>
      <c r="G22" s="1354"/>
      <c r="H22" s="1354"/>
      <c r="I22" s="1354"/>
      <c r="J22" s="1359"/>
      <c r="K22" s="198">
        <f t="shared" si="172"/>
        <v>0</v>
      </c>
      <c r="L22" s="198">
        <f t="shared" si="0"/>
        <v>0</v>
      </c>
      <c r="M22" s="1099"/>
      <c r="N22" s="1099"/>
      <c r="O22" s="1099"/>
      <c r="P22" s="518" t="str">
        <f t="shared" si="203"/>
        <v/>
      </c>
      <c r="Q22" s="519" t="str">
        <f>IF(H22="","",P22/($P$6*VLOOKUP(C22,'DCA Underwriting Assumptions'!$J$82:$K$87,2,FALSE)))</f>
        <v/>
      </c>
      <c r="R22" s="607"/>
      <c r="S22" s="519"/>
      <c r="T22" s="1831"/>
      <c r="U22" s="1832"/>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356" t="s">
        <v>1894</v>
      </c>
      <c r="C23" s="1357"/>
      <c r="D23" s="1358"/>
      <c r="E23" s="1354"/>
      <c r="F23" s="1354"/>
      <c r="G23" s="1354"/>
      <c r="H23" s="1354"/>
      <c r="I23" s="1354"/>
      <c r="J23" s="1359"/>
      <c r="K23" s="198">
        <f t="shared" si="172"/>
        <v>0</v>
      </c>
      <c r="L23" s="198">
        <f t="shared" si="0"/>
        <v>0</v>
      </c>
      <c r="M23" s="1099"/>
      <c r="N23" s="1099"/>
      <c r="O23" s="1099"/>
      <c r="P23" s="518" t="str">
        <f t="shared" si="203"/>
        <v/>
      </c>
      <c r="Q23" s="519" t="str">
        <f>IF(H23="","",P23/($P$6*VLOOKUP(C23,'DCA Underwriting Assumptions'!$J$82:$K$87,2,FALSE)))</f>
        <v/>
      </c>
      <c r="R23" s="607"/>
      <c r="S23" s="519"/>
      <c r="T23" s="1831"/>
      <c r="U23" s="1832"/>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356" t="s">
        <v>1894</v>
      </c>
      <c r="C24" s="1357"/>
      <c r="D24" s="1358"/>
      <c r="E24" s="1354"/>
      <c r="F24" s="1354"/>
      <c r="G24" s="1354"/>
      <c r="H24" s="1354"/>
      <c r="I24" s="1354"/>
      <c r="J24" s="1359"/>
      <c r="K24" s="198">
        <f t="shared" si="172"/>
        <v>0</v>
      </c>
      <c r="L24" s="198">
        <f t="shared" si="0"/>
        <v>0</v>
      </c>
      <c r="M24" s="1099"/>
      <c r="N24" s="1099"/>
      <c r="O24" s="1099"/>
      <c r="P24" s="518" t="str">
        <f t="shared" si="203"/>
        <v/>
      </c>
      <c r="Q24" s="519" t="str">
        <f>IF(H24="","",P24/($P$6*VLOOKUP(C24,'DCA Underwriting Assumptions'!$J$82:$K$87,2,FALSE)))</f>
        <v/>
      </c>
      <c r="R24" s="607"/>
      <c r="S24" s="519"/>
      <c r="T24" s="1831"/>
      <c r="U24" s="1832"/>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356" t="s">
        <v>1894</v>
      </c>
      <c r="C25" s="1357"/>
      <c r="D25" s="1358"/>
      <c r="E25" s="1354"/>
      <c r="F25" s="1354"/>
      <c r="G25" s="1354"/>
      <c r="H25" s="1354"/>
      <c r="I25" s="1354"/>
      <c r="J25" s="1359"/>
      <c r="K25" s="198">
        <f t="shared" si="172"/>
        <v>0</v>
      </c>
      <c r="L25" s="198">
        <f t="shared" si="0"/>
        <v>0</v>
      </c>
      <c r="M25" s="1099"/>
      <c r="N25" s="1099"/>
      <c r="O25" s="1099"/>
      <c r="P25" s="518" t="str">
        <f t="shared" si="203"/>
        <v/>
      </c>
      <c r="Q25" s="519" t="str">
        <f>IF(H25="","",P25/($P$6*VLOOKUP(C25,'DCA Underwriting Assumptions'!$J$82:$K$87,2,FALSE)))</f>
        <v/>
      </c>
      <c r="R25" s="607"/>
      <c r="S25" s="519"/>
      <c r="T25" s="1831"/>
      <c r="U25" s="1832"/>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356" t="s">
        <v>1894</v>
      </c>
      <c r="C26" s="1357"/>
      <c r="D26" s="1358"/>
      <c r="E26" s="1354"/>
      <c r="F26" s="1354"/>
      <c r="G26" s="1354"/>
      <c r="H26" s="1354"/>
      <c r="I26" s="1354"/>
      <c r="J26" s="1359"/>
      <c r="K26" s="198">
        <f t="shared" si="172"/>
        <v>0</v>
      </c>
      <c r="L26" s="198">
        <f t="shared" si="0"/>
        <v>0</v>
      </c>
      <c r="M26" s="1099"/>
      <c r="N26" s="1099"/>
      <c r="O26" s="1099"/>
      <c r="P26" s="518" t="str">
        <f t="shared" si="203"/>
        <v/>
      </c>
      <c r="Q26" s="519" t="str">
        <f>IF(H26="","",P26/($P$6*VLOOKUP(C26,'DCA Underwriting Assumptions'!$J$82:$K$87,2,FALSE)))</f>
        <v/>
      </c>
      <c r="R26" s="607"/>
      <c r="S26" s="519"/>
      <c r="T26" s="1831"/>
      <c r="U26" s="1832"/>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356" t="s">
        <v>1894</v>
      </c>
      <c r="C27" s="1357"/>
      <c r="D27" s="1358"/>
      <c r="E27" s="1354"/>
      <c r="F27" s="1354"/>
      <c r="G27" s="1354"/>
      <c r="H27" s="1354"/>
      <c r="I27" s="1354"/>
      <c r="J27" s="1359"/>
      <c r="K27" s="198">
        <f t="shared" si="172"/>
        <v>0</v>
      </c>
      <c r="L27" s="198">
        <f t="shared" si="0"/>
        <v>0</v>
      </c>
      <c r="M27" s="1099"/>
      <c r="N27" s="1099"/>
      <c r="O27" s="1099"/>
      <c r="P27" s="518" t="str">
        <f t="shared" si="203"/>
        <v/>
      </c>
      <c r="Q27" s="519" t="str">
        <f>IF(H27="","",P27/($P$6*VLOOKUP(C27,'DCA Underwriting Assumptions'!$J$82:$K$87,2,FALSE)))</f>
        <v/>
      </c>
      <c r="R27" s="607"/>
      <c r="S27" s="519"/>
      <c r="T27" s="1831"/>
      <c r="U27" s="1832"/>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356" t="s">
        <v>1894</v>
      </c>
      <c r="C28" s="1357"/>
      <c r="D28" s="1358"/>
      <c r="E28" s="1354"/>
      <c r="F28" s="1354"/>
      <c r="G28" s="1354"/>
      <c r="H28" s="1354"/>
      <c r="I28" s="1354"/>
      <c r="J28" s="1359"/>
      <c r="K28" s="198">
        <f>MAX(0,H28-I28)</f>
        <v>0</v>
      </c>
      <c r="L28" s="198">
        <f t="shared" si="0"/>
        <v>0</v>
      </c>
      <c r="M28" s="1099"/>
      <c r="N28" s="1099"/>
      <c r="O28" s="1099"/>
      <c r="P28" s="518" t="str">
        <f t="shared" si="203"/>
        <v/>
      </c>
      <c r="Q28" s="519" t="str">
        <f>IF(H28="","",P28/($P$6*VLOOKUP(C28,'DCA Underwriting Assumptions'!$J$82:$K$87,2,FALSE)))</f>
        <v/>
      </c>
      <c r="R28" s="607"/>
      <c r="S28" s="519"/>
      <c r="T28" s="1831"/>
      <c r="U28" s="1832"/>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356" t="s">
        <v>1894</v>
      </c>
      <c r="C29" s="1357"/>
      <c r="D29" s="1358"/>
      <c r="E29" s="1354"/>
      <c r="F29" s="1354"/>
      <c r="G29" s="1354"/>
      <c r="H29" s="1354"/>
      <c r="I29" s="1354"/>
      <c r="J29" s="1359"/>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831"/>
      <c r="U29" s="1832"/>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356" t="s">
        <v>1894</v>
      </c>
      <c r="C30" s="1357"/>
      <c r="D30" s="1358"/>
      <c r="E30" s="1354"/>
      <c r="F30" s="1354"/>
      <c r="G30" s="1354"/>
      <c r="H30" s="1354"/>
      <c r="I30" s="1354"/>
      <c r="J30" s="1359"/>
      <c r="K30" s="198">
        <f t="shared" si="204"/>
        <v>0</v>
      </c>
      <c r="L30" s="198">
        <f t="shared" si="0"/>
        <v>0</v>
      </c>
      <c r="M30" s="1099"/>
      <c r="N30" s="1099"/>
      <c r="O30" s="1099"/>
      <c r="P30" s="518" t="str">
        <f t="shared" si="203"/>
        <v/>
      </c>
      <c r="Q30" s="519" t="str">
        <f>IF(H30="","",P30/($P$6*VLOOKUP(C30,'DCA Underwriting Assumptions'!$J$82:$K$87,2,FALSE)))</f>
        <v/>
      </c>
      <c r="R30" s="607"/>
      <c r="S30" s="519"/>
      <c r="T30" s="1831"/>
      <c r="U30" s="1832"/>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356" t="s">
        <v>1894</v>
      </c>
      <c r="C31" s="1357"/>
      <c r="D31" s="1358"/>
      <c r="E31" s="1354"/>
      <c r="F31" s="1354"/>
      <c r="G31" s="1354"/>
      <c r="H31" s="1354"/>
      <c r="I31" s="1354"/>
      <c r="J31" s="1359"/>
      <c r="K31" s="198">
        <f t="shared" si="204"/>
        <v>0</v>
      </c>
      <c r="L31" s="198">
        <f t="shared" si="0"/>
        <v>0</v>
      </c>
      <c r="M31" s="1099"/>
      <c r="N31" s="1099"/>
      <c r="O31" s="1099"/>
      <c r="P31" s="518" t="str">
        <f t="shared" si="203"/>
        <v/>
      </c>
      <c r="Q31" s="519" t="str">
        <f>IF(H31="","",P31/($P$6*VLOOKUP(C31,'DCA Underwriting Assumptions'!$J$82:$K$87,2,FALSE)))</f>
        <v/>
      </c>
      <c r="R31" s="607"/>
      <c r="S31" s="519"/>
      <c r="T31" s="1831"/>
      <c r="U31" s="1832"/>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356" t="s">
        <v>1894</v>
      </c>
      <c r="C32" s="1357"/>
      <c r="D32" s="1358"/>
      <c r="E32" s="1354"/>
      <c r="F32" s="1354"/>
      <c r="G32" s="1354"/>
      <c r="H32" s="1354"/>
      <c r="I32" s="1354"/>
      <c r="J32" s="1359"/>
      <c r="K32" s="198">
        <f t="shared" si="204"/>
        <v>0</v>
      </c>
      <c r="L32" s="198">
        <f t="shared" si="0"/>
        <v>0</v>
      </c>
      <c r="M32" s="1099"/>
      <c r="N32" s="1099"/>
      <c r="O32" s="1099"/>
      <c r="P32" s="518" t="str">
        <f t="shared" si="203"/>
        <v/>
      </c>
      <c r="Q32" s="519" t="str">
        <f>IF(H32="","",P32/($P$6*VLOOKUP(C32,'DCA Underwriting Assumptions'!$J$82:$K$87,2,FALSE)))</f>
        <v/>
      </c>
      <c r="R32" s="607"/>
      <c r="S32" s="519"/>
      <c r="T32" s="1831"/>
      <c r="U32" s="1832"/>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356" t="s">
        <v>1894</v>
      </c>
      <c r="C33" s="1357"/>
      <c r="D33" s="1358"/>
      <c r="E33" s="1354"/>
      <c r="F33" s="1354"/>
      <c r="G33" s="1354"/>
      <c r="H33" s="1354"/>
      <c r="I33" s="1354"/>
      <c r="J33" s="1359"/>
      <c r="K33" s="198">
        <f t="shared" si="204"/>
        <v>0</v>
      </c>
      <c r="L33" s="198">
        <f t="shared" si="0"/>
        <v>0</v>
      </c>
      <c r="M33" s="1099"/>
      <c r="N33" s="1099"/>
      <c r="O33" s="1099"/>
      <c r="P33" s="518" t="str">
        <f t="shared" si="203"/>
        <v/>
      </c>
      <c r="Q33" s="519" t="str">
        <f>IF(H33="","",P33/($P$6*VLOOKUP(C33,'DCA Underwriting Assumptions'!$J$82:$K$87,2,FALSE)))</f>
        <v/>
      </c>
      <c r="R33" s="607"/>
      <c r="S33" s="519"/>
      <c r="T33" s="1831"/>
      <c r="U33" s="1832"/>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356" t="s">
        <v>1894</v>
      </c>
      <c r="C34" s="1357"/>
      <c r="D34" s="1358"/>
      <c r="E34" s="1354"/>
      <c r="F34" s="1354"/>
      <c r="G34" s="1354"/>
      <c r="H34" s="1354"/>
      <c r="I34" s="1354"/>
      <c r="J34" s="1359"/>
      <c r="K34" s="198">
        <f t="shared" si="204"/>
        <v>0</v>
      </c>
      <c r="L34" s="198">
        <f t="shared" si="0"/>
        <v>0</v>
      </c>
      <c r="M34" s="1099"/>
      <c r="N34" s="1099"/>
      <c r="O34" s="1099"/>
      <c r="P34" s="518" t="str">
        <f t="shared" si="203"/>
        <v/>
      </c>
      <c r="Q34" s="519" t="str">
        <f>IF(H34="","",P34/($P$6*VLOOKUP(C34,'DCA Underwriting Assumptions'!$J$82:$K$87,2,FALSE)))</f>
        <v/>
      </c>
      <c r="R34" s="607"/>
      <c r="S34" s="519"/>
      <c r="T34" s="1831"/>
      <c r="U34" s="1832"/>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356" t="s">
        <v>1894</v>
      </c>
      <c r="C35" s="1357"/>
      <c r="D35" s="1358"/>
      <c r="E35" s="1354"/>
      <c r="F35" s="1354"/>
      <c r="G35" s="1354"/>
      <c r="H35" s="1354"/>
      <c r="I35" s="1354"/>
      <c r="J35" s="1359"/>
      <c r="K35" s="198">
        <f t="shared" si="204"/>
        <v>0</v>
      </c>
      <c r="L35" s="198">
        <f t="shared" si="0"/>
        <v>0</v>
      </c>
      <c r="M35" s="1099"/>
      <c r="N35" s="1099"/>
      <c r="O35" s="1099"/>
      <c r="P35" s="518" t="str">
        <f t="shared" si="203"/>
        <v/>
      </c>
      <c r="Q35" s="519" t="str">
        <f>IF(H35="","",P35/($P$6*VLOOKUP(C35,'DCA Underwriting Assumptions'!$J$82:$K$87,2,FALSE)))</f>
        <v/>
      </c>
      <c r="R35" s="607"/>
      <c r="S35" s="519"/>
      <c r="T35" s="1831"/>
      <c r="U35" s="1832"/>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356" t="s">
        <v>1894</v>
      </c>
      <c r="C36" s="1357"/>
      <c r="D36" s="1358"/>
      <c r="E36" s="1354"/>
      <c r="F36" s="1354"/>
      <c r="G36" s="1354"/>
      <c r="H36" s="1354"/>
      <c r="I36" s="1354"/>
      <c r="J36" s="1359"/>
      <c r="K36" s="198">
        <f t="shared" si="204"/>
        <v>0</v>
      </c>
      <c r="L36" s="198">
        <f t="shared" si="0"/>
        <v>0</v>
      </c>
      <c r="M36" s="1099"/>
      <c r="N36" s="1099"/>
      <c r="O36" s="1099"/>
      <c r="P36" s="518" t="str">
        <f t="shared" si="203"/>
        <v/>
      </c>
      <c r="Q36" s="519" t="str">
        <f>IF(H36="","",P36/($P$6*VLOOKUP(C36,'DCA Underwriting Assumptions'!$J$82:$K$87,2,FALSE)))</f>
        <v/>
      </c>
      <c r="R36" s="607"/>
      <c r="S36" s="519"/>
      <c r="T36" s="1831"/>
      <c r="U36" s="1832"/>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356" t="s">
        <v>1894</v>
      </c>
      <c r="C37" s="1357"/>
      <c r="D37" s="1358"/>
      <c r="E37" s="1354"/>
      <c r="F37" s="1354"/>
      <c r="G37" s="1354"/>
      <c r="H37" s="1354"/>
      <c r="I37" s="1354"/>
      <c r="J37" s="1359"/>
      <c r="K37" s="198">
        <f t="shared" si="204"/>
        <v>0</v>
      </c>
      <c r="L37" s="198">
        <f t="shared" si="0"/>
        <v>0</v>
      </c>
      <c r="M37" s="1099"/>
      <c r="N37" s="1099"/>
      <c r="O37" s="1099"/>
      <c r="P37" s="518" t="str">
        <f t="shared" si="203"/>
        <v/>
      </c>
      <c r="Q37" s="519" t="str">
        <f>IF(H37="","",P37/($P$6*VLOOKUP(C37,'DCA Underwriting Assumptions'!$J$82:$K$87,2,FALSE)))</f>
        <v/>
      </c>
      <c r="R37" s="607"/>
      <c r="S37" s="519"/>
      <c r="T37" s="1831"/>
      <c r="U37" s="1832"/>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356" t="s">
        <v>1894</v>
      </c>
      <c r="C38" s="1357"/>
      <c r="D38" s="1358"/>
      <c r="E38" s="1354"/>
      <c r="F38" s="1354"/>
      <c r="G38" s="1354"/>
      <c r="H38" s="1354"/>
      <c r="I38" s="1354"/>
      <c r="J38" s="1359"/>
      <c r="K38" s="198">
        <f>MAX(0,H38-I38)</f>
        <v>0</v>
      </c>
      <c r="L38" s="198">
        <f t="shared" si="0"/>
        <v>0</v>
      </c>
      <c r="M38" s="1099"/>
      <c r="N38" s="1099"/>
      <c r="O38" s="1099"/>
      <c r="P38" s="518" t="str">
        <f t="shared" si="203"/>
        <v/>
      </c>
      <c r="Q38" s="519" t="str">
        <f>IF(H38="","",P38/($P$6*VLOOKUP(C38,'DCA Underwriting Assumptions'!$J$82:$K$87,2,FALSE)))</f>
        <v/>
      </c>
      <c r="R38" s="607"/>
      <c r="S38" s="519"/>
      <c r="T38" s="1831"/>
      <c r="U38" s="1832"/>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356" t="s">
        <v>1894</v>
      </c>
      <c r="C39" s="1357"/>
      <c r="D39" s="1358"/>
      <c r="E39" s="1354"/>
      <c r="F39" s="1354"/>
      <c r="G39" s="1354"/>
      <c r="H39" s="1354"/>
      <c r="I39" s="1354"/>
      <c r="J39" s="1359"/>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831"/>
      <c r="U39" s="1832"/>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356" t="s">
        <v>1894</v>
      </c>
      <c r="C40" s="1357"/>
      <c r="D40" s="1358"/>
      <c r="E40" s="1354"/>
      <c r="F40" s="1354"/>
      <c r="G40" s="1354"/>
      <c r="H40" s="1354"/>
      <c r="I40" s="1354"/>
      <c r="J40" s="1359"/>
      <c r="K40" s="198">
        <f t="shared" si="205"/>
        <v>0</v>
      </c>
      <c r="L40" s="198">
        <f t="shared" si="0"/>
        <v>0</v>
      </c>
      <c r="M40" s="1099"/>
      <c r="N40" s="1099"/>
      <c r="O40" s="1099"/>
      <c r="P40" s="518" t="str">
        <f t="shared" si="203"/>
        <v/>
      </c>
      <c r="Q40" s="519" t="str">
        <f>IF(H40="","",P40/($P$6*VLOOKUP(C40,'DCA Underwriting Assumptions'!$J$82:$K$87,2,FALSE)))</f>
        <v/>
      </c>
      <c r="R40" s="607"/>
      <c r="S40" s="519"/>
      <c r="T40" s="1831"/>
      <c r="U40" s="1832"/>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356" t="s">
        <v>1894</v>
      </c>
      <c r="C41" s="1357"/>
      <c r="D41" s="1358"/>
      <c r="E41" s="1354"/>
      <c r="F41" s="1354"/>
      <c r="G41" s="1354"/>
      <c r="H41" s="1354"/>
      <c r="I41" s="1354"/>
      <c r="J41" s="1359"/>
      <c r="K41" s="198">
        <f t="shared" si="205"/>
        <v>0</v>
      </c>
      <c r="L41" s="198">
        <f t="shared" si="0"/>
        <v>0</v>
      </c>
      <c r="M41" s="1099"/>
      <c r="N41" s="1099"/>
      <c r="O41" s="1099"/>
      <c r="P41" s="518" t="str">
        <f t="shared" si="203"/>
        <v/>
      </c>
      <c r="Q41" s="519" t="str">
        <f>IF(H41="","",P41/($P$6*VLOOKUP(C41,'DCA Underwriting Assumptions'!$J$82:$K$87,2,FALSE)))</f>
        <v/>
      </c>
      <c r="R41" s="607"/>
      <c r="S41" s="519"/>
      <c r="T41" s="1831"/>
      <c r="U41" s="1832"/>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356" t="s">
        <v>1894</v>
      </c>
      <c r="C42" s="1357"/>
      <c r="D42" s="1358"/>
      <c r="E42" s="1354"/>
      <c r="F42" s="1354"/>
      <c r="G42" s="1354"/>
      <c r="H42" s="1354"/>
      <c r="I42" s="1354"/>
      <c r="J42" s="1359"/>
      <c r="K42" s="198">
        <f t="shared" si="205"/>
        <v>0</v>
      </c>
      <c r="L42" s="198">
        <f t="shared" si="0"/>
        <v>0</v>
      </c>
      <c r="M42" s="1099"/>
      <c r="N42" s="1099"/>
      <c r="O42" s="1099"/>
      <c r="P42" s="518" t="str">
        <f t="shared" si="203"/>
        <v/>
      </c>
      <c r="Q42" s="519" t="str">
        <f>IF(H42="","",P42/($P$6*VLOOKUP(C42,'DCA Underwriting Assumptions'!$J$82:$K$87,2,FALSE)))</f>
        <v/>
      </c>
      <c r="R42" s="607"/>
      <c r="S42" s="519"/>
      <c r="T42" s="1831"/>
      <c r="U42" s="1832"/>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356" t="s">
        <v>1894</v>
      </c>
      <c r="C43" s="1357"/>
      <c r="D43" s="1358"/>
      <c r="E43" s="1354"/>
      <c r="F43" s="1354"/>
      <c r="G43" s="1354"/>
      <c r="H43" s="1354"/>
      <c r="I43" s="1354"/>
      <c r="J43" s="1359"/>
      <c r="K43" s="198">
        <f t="shared" si="205"/>
        <v>0</v>
      </c>
      <c r="L43" s="198">
        <f t="shared" si="0"/>
        <v>0</v>
      </c>
      <c r="M43" s="1099"/>
      <c r="N43" s="1099"/>
      <c r="O43" s="1099"/>
      <c r="P43" s="518" t="str">
        <f t="shared" si="203"/>
        <v/>
      </c>
      <c r="Q43" s="519" t="str">
        <f>IF(H43="","",P43/($P$6*VLOOKUP(C43,'DCA Underwriting Assumptions'!$J$82:$K$87,2,FALSE)))</f>
        <v/>
      </c>
      <c r="R43" s="607"/>
      <c r="S43" s="519"/>
      <c r="T43" s="1831"/>
      <c r="U43" s="1832"/>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356" t="s">
        <v>1894</v>
      </c>
      <c r="C44" s="1357"/>
      <c r="D44" s="1358"/>
      <c r="E44" s="1354"/>
      <c r="F44" s="1354"/>
      <c r="G44" s="1354"/>
      <c r="H44" s="1354"/>
      <c r="I44" s="1354"/>
      <c r="J44" s="1359"/>
      <c r="K44" s="198">
        <f t="shared" si="205"/>
        <v>0</v>
      </c>
      <c r="L44" s="198">
        <f t="shared" si="0"/>
        <v>0</v>
      </c>
      <c r="M44" s="1099"/>
      <c r="N44" s="1099"/>
      <c r="O44" s="1099"/>
      <c r="P44" s="518" t="str">
        <f t="shared" si="203"/>
        <v/>
      </c>
      <c r="Q44" s="519" t="str">
        <f>IF(H44="","",P44/($P$6*VLOOKUP(C44,'DCA Underwriting Assumptions'!$J$82:$K$87,2,FALSE)))</f>
        <v/>
      </c>
      <c r="R44" s="607"/>
      <c r="S44" s="519"/>
      <c r="T44" s="1831"/>
      <c r="U44" s="1832"/>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356" t="s">
        <v>1894</v>
      </c>
      <c r="C45" s="1357"/>
      <c r="D45" s="1358"/>
      <c r="E45" s="1354"/>
      <c r="F45" s="1354"/>
      <c r="G45" s="1354"/>
      <c r="H45" s="1354"/>
      <c r="I45" s="1354"/>
      <c r="J45" s="1359"/>
      <c r="K45" s="198">
        <f t="shared" si="205"/>
        <v>0</v>
      </c>
      <c r="L45" s="198">
        <f t="shared" si="0"/>
        <v>0</v>
      </c>
      <c r="M45" s="1099"/>
      <c r="N45" s="1099"/>
      <c r="O45" s="1099"/>
      <c r="P45" s="518" t="str">
        <f t="shared" si="203"/>
        <v/>
      </c>
      <c r="Q45" s="519" t="str">
        <f>IF(H45="","",P45/($P$6*VLOOKUP(C45,'DCA Underwriting Assumptions'!$J$82:$K$87,2,FALSE)))</f>
        <v/>
      </c>
      <c r="R45" s="607"/>
      <c r="S45" s="519"/>
      <c r="T45" s="1831"/>
      <c r="U45" s="1832"/>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356" t="s">
        <v>1894</v>
      </c>
      <c r="C46" s="1357"/>
      <c r="D46" s="1358"/>
      <c r="E46" s="1354"/>
      <c r="F46" s="1354"/>
      <c r="G46" s="1354"/>
      <c r="H46" s="1354"/>
      <c r="I46" s="1354"/>
      <c r="J46" s="1359"/>
      <c r="K46" s="198">
        <f t="shared" si="205"/>
        <v>0</v>
      </c>
      <c r="L46" s="198">
        <f t="shared" si="0"/>
        <v>0</v>
      </c>
      <c r="M46" s="1099"/>
      <c r="N46" s="1099"/>
      <c r="O46" s="1099"/>
      <c r="P46" s="518" t="str">
        <f t="shared" si="203"/>
        <v/>
      </c>
      <c r="Q46" s="519" t="str">
        <f>IF(H46="","",P46/($P$6*VLOOKUP(C46,'DCA Underwriting Assumptions'!$J$82:$K$87,2,FALSE)))</f>
        <v/>
      </c>
      <c r="R46" s="607"/>
      <c r="S46" s="519"/>
      <c r="T46" s="1831"/>
      <c r="U46" s="1832"/>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360" t="s">
        <v>1894</v>
      </c>
      <c r="C47" s="1361"/>
      <c r="D47" s="1362"/>
      <c r="E47" s="1363"/>
      <c r="F47" s="1363"/>
      <c r="G47" s="1363"/>
      <c r="H47" s="1363"/>
      <c r="I47" s="1363"/>
      <c r="J47" s="1364"/>
      <c r="K47" s="199">
        <f t="shared" si="204"/>
        <v>0</v>
      </c>
      <c r="L47" s="199">
        <f t="shared" si="0"/>
        <v>0</v>
      </c>
      <c r="M47" s="1100"/>
      <c r="N47" s="1100"/>
      <c r="O47" s="1100"/>
      <c r="P47" s="518" t="str">
        <f t="shared" si="203"/>
        <v/>
      </c>
      <c r="Q47" s="519" t="str">
        <f>IF(H47="","",P47/($P$6*VLOOKUP(C47,'DCA Underwriting Assumptions'!$J$82:$K$87,2,FALSE)))</f>
        <v/>
      </c>
      <c r="R47" s="607"/>
      <c r="S47" s="519"/>
      <c r="T47" s="1833"/>
      <c r="U47" s="1834"/>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1079</v>
      </c>
      <c r="E48" s="148">
        <f>SUM(E10:E47)</f>
        <v>128</v>
      </c>
      <c r="F48" s="149">
        <f>(E10*F10+E11*F11+E12*F12+E13*F13+E14*F14+E15*F15+E16*F16+E17*F17+E18*F18+E19*F19+E20*F20+E21*F21+E22*F22+E23*F23+E24*F24+E25*F25+E26*F26+E27*F27+E28*F28+E29*F29+E30*F30+E31*F31+E32*F32+E33*F33+E34*F34+E35*F35+E36*F36+E37*F37+E38*F38+E39*F39+E40*F40+E41*F41+E42*F42+E43*F43+E44*F44+E45*F45+E46*F46+E47*F47)</f>
        <v>132476</v>
      </c>
      <c r="G48" s="140"/>
      <c r="H48" s="141"/>
      <c r="I48" s="141"/>
      <c r="J48" s="141"/>
      <c r="K48" s="15" t="s">
        <v>1387</v>
      </c>
      <c r="L48" s="147">
        <f>SUM(L10:L47)</f>
        <v>65625</v>
      </c>
      <c r="M48" s="1"/>
      <c r="N48" s="40"/>
      <c r="O48" s="1"/>
      <c r="P48" s="521"/>
      <c r="Q48" s="521"/>
      <c r="R48" s="521"/>
      <c r="S48" s="521"/>
      <c r="T48" s="520"/>
      <c r="U48" s="522"/>
      <c r="V48" s="579">
        <f t="shared" ref="V48:CK48" si="206">SUM(V10:V47)</f>
        <v>0</v>
      </c>
      <c r="W48" s="579">
        <f t="shared" si="206"/>
        <v>0</v>
      </c>
      <c r="X48" s="579">
        <f t="shared" si="206"/>
        <v>55</v>
      </c>
      <c r="Y48" s="579">
        <f t="shared" si="206"/>
        <v>52</v>
      </c>
      <c r="Z48" s="579">
        <f t="shared" si="206"/>
        <v>0</v>
      </c>
      <c r="AA48" s="579">
        <f t="shared" si="206"/>
        <v>0</v>
      </c>
      <c r="AB48" s="579">
        <f t="shared" si="206"/>
        <v>20</v>
      </c>
      <c r="AC48" s="579">
        <f t="shared" si="206"/>
        <v>0</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1</v>
      </c>
      <c r="BW48" s="579">
        <f t="shared" si="206"/>
        <v>0</v>
      </c>
      <c r="BX48" s="579">
        <f t="shared" si="206"/>
        <v>0</v>
      </c>
      <c r="BY48" s="579">
        <f t="shared" si="206"/>
        <v>0</v>
      </c>
      <c r="BZ48" s="579">
        <f t="shared" si="206"/>
        <v>0</v>
      </c>
      <c r="CA48" s="579">
        <f t="shared" si="206"/>
        <v>53570</v>
      </c>
      <c r="CB48" s="579">
        <f t="shared" si="206"/>
        <v>61044</v>
      </c>
      <c r="CC48" s="579">
        <f t="shared" si="206"/>
        <v>0</v>
      </c>
      <c r="CD48" s="579">
        <f t="shared" si="206"/>
        <v>0</v>
      </c>
      <c r="CE48" s="579">
        <f t="shared" si="206"/>
        <v>16888</v>
      </c>
      <c r="CF48" s="579">
        <f t="shared" si="206"/>
        <v>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974</v>
      </c>
      <c r="DA48" s="579">
        <f t="shared" si="208"/>
        <v>0</v>
      </c>
      <c r="DB48" s="579">
        <f t="shared" si="208"/>
        <v>0</v>
      </c>
      <c r="DC48" s="579">
        <f t="shared" si="208"/>
        <v>0</v>
      </c>
      <c r="DD48" s="579">
        <f t="shared" si="208"/>
        <v>0</v>
      </c>
      <c r="DE48" s="579">
        <f t="shared" si="208"/>
        <v>0</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20</v>
      </c>
      <c r="DT48" s="579">
        <f t="shared" si="208"/>
        <v>55</v>
      </c>
      <c r="DU48" s="579">
        <f t="shared" si="208"/>
        <v>52</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1</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20</v>
      </c>
      <c r="EX48" s="579">
        <f t="shared" si="209"/>
        <v>56</v>
      </c>
      <c r="EY48" s="579">
        <f t="shared" si="209"/>
        <v>52</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20</v>
      </c>
      <c r="GG48" s="579">
        <f t="shared" si="209"/>
        <v>56</v>
      </c>
      <c r="GH48" s="579">
        <f t="shared" si="209"/>
        <v>52</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867</v>
      </c>
      <c r="L49" s="147">
        <f>L48*12</f>
        <v>787500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74" t="s">
        <v>2803</v>
      </c>
      <c r="B51" s="1975"/>
      <c r="C51" s="1975"/>
      <c r="D51" s="1975"/>
      <c r="E51" s="1975"/>
      <c r="F51" s="1975"/>
      <c r="G51" s="1975"/>
      <c r="H51" s="1975"/>
      <c r="I51" s="1975"/>
      <c r="J51" s="1975"/>
      <c r="K51" s="1975"/>
      <c r="L51" s="1975"/>
      <c r="M51" s="1975"/>
      <c r="N51" s="1975"/>
      <c r="O51" s="1975"/>
      <c r="P51" s="1975"/>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75"/>
      <c r="B52" s="1975"/>
      <c r="C52" s="1975"/>
      <c r="D52" s="1975"/>
      <c r="E52" s="1975"/>
      <c r="F52" s="1975"/>
      <c r="G52" s="1975"/>
      <c r="H52" s="1975"/>
      <c r="I52" s="1975"/>
      <c r="J52" s="1975"/>
      <c r="K52" s="1975"/>
      <c r="L52" s="1975"/>
      <c r="M52" s="1975"/>
      <c r="N52" s="1975"/>
      <c r="O52" s="1975"/>
      <c r="P52" s="1975"/>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789</v>
      </c>
      <c r="B53" s="16" t="s">
        <v>566</v>
      </c>
      <c r="O53" s="96"/>
      <c r="Q53" s="1980" t="str">
        <f>IF(SUM(Q56:Q100)&gt;0,"ERROR Between Rent Schedule &amp; Unit Summary:", "")</f>
        <v>ERROR Between Rent Schedule &amp; Unit Summary:</v>
      </c>
      <c r="R53" s="1169"/>
      <c r="S53" s="1169"/>
      <c r="T53" s="5" t="str">
        <f>B53</f>
        <v>UNIT SUMMARY</v>
      </c>
      <c r="U53" s="499" t="s">
        <v>566</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981"/>
      <c r="R54" s="1170"/>
      <c r="S54" s="1170"/>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1203</v>
      </c>
      <c r="H55" s="142" t="s">
        <v>600</v>
      </c>
      <c r="I55" s="142" t="s">
        <v>567</v>
      </c>
      <c r="J55" s="142" t="s">
        <v>568</v>
      </c>
      <c r="K55" s="142" t="s">
        <v>569</v>
      </c>
      <c r="L55" s="142" t="s">
        <v>570</v>
      </c>
      <c r="M55" s="142" t="s">
        <v>571</v>
      </c>
      <c r="O55" s="96"/>
      <c r="Q55" s="1981"/>
      <c r="R55" s="1170"/>
      <c r="S55" s="1170"/>
      <c r="T55" s="1771" t="s">
        <v>1973</v>
      </c>
      <c r="U55" s="1771"/>
      <c r="V55" s="1193"/>
      <c r="W55" s="1193"/>
      <c r="X55" s="1193"/>
      <c r="Y55" s="1193"/>
      <c r="Z55" s="1193"/>
      <c r="AA55" s="582"/>
      <c r="AB55" s="582"/>
      <c r="AC55" s="582"/>
      <c r="AD55" s="582"/>
      <c r="AE55" s="582"/>
      <c r="AF55" s="582"/>
      <c r="AG55" s="1193"/>
      <c r="AH55" s="569"/>
      <c r="GW55" s="581"/>
      <c r="HL55" s="567"/>
    </row>
    <row r="56" spans="1:221" ht="12" customHeight="1">
      <c r="C56" s="1" t="s">
        <v>1205</v>
      </c>
      <c r="D56" s="1"/>
      <c r="E56" s="1"/>
      <c r="F56" s="1"/>
      <c r="G56" s="44" t="s">
        <v>1217</v>
      </c>
      <c r="H56" s="322">
        <f>V48</f>
        <v>0</v>
      </c>
      <c r="I56" s="322">
        <f>W48</f>
        <v>0</v>
      </c>
      <c r="J56" s="322">
        <f>X48</f>
        <v>55</v>
      </c>
      <c r="K56" s="322">
        <f>Y48</f>
        <v>52</v>
      </c>
      <c r="L56" s="322">
        <f>Z48</f>
        <v>0</v>
      </c>
      <c r="M56" s="322">
        <f t="shared" ref="M56:M62" si="211">SUM(H56:L56)</f>
        <v>107</v>
      </c>
      <c r="N56" s="1982" t="s">
        <v>945</v>
      </c>
      <c r="O56" s="1983"/>
      <c r="P56" s="1171"/>
      <c r="Q56" s="500">
        <f t="shared" ref="Q56:Q62" si="212">ABS(M56-AF56)</f>
        <v>107</v>
      </c>
      <c r="R56" s="500"/>
      <c r="S56" s="500"/>
      <c r="T56" s="1829"/>
      <c r="U56" s="1830"/>
      <c r="V56" s="583"/>
      <c r="W56" s="583"/>
      <c r="X56" s="583"/>
      <c r="Y56" s="583"/>
      <c r="Z56" s="584"/>
      <c r="AA56" s="585"/>
      <c r="AB56" s="585"/>
      <c r="AC56" s="585"/>
      <c r="AD56" s="585"/>
      <c r="AE56" s="585"/>
      <c r="AF56" s="585"/>
      <c r="AG56" s="584"/>
      <c r="AH56" s="569"/>
      <c r="GW56" s="581"/>
      <c r="HL56" s="567"/>
    </row>
    <row r="57" spans="1:221" ht="12" customHeight="1">
      <c r="A57" s="1976" t="s">
        <v>464</v>
      </c>
      <c r="B57" s="1976"/>
      <c r="C57" s="5"/>
      <c r="D57" s="1"/>
      <c r="E57" s="1"/>
      <c r="F57" s="1"/>
      <c r="G57" s="44" t="s">
        <v>121</v>
      </c>
      <c r="H57" s="323">
        <f>AA48</f>
        <v>0</v>
      </c>
      <c r="I57" s="323">
        <f>AB48</f>
        <v>20</v>
      </c>
      <c r="J57" s="323">
        <f>AC48</f>
        <v>0</v>
      </c>
      <c r="K57" s="323">
        <f>AD48</f>
        <v>0</v>
      </c>
      <c r="L57" s="323">
        <f>AE48</f>
        <v>0</v>
      </c>
      <c r="M57" s="323">
        <f t="shared" si="211"/>
        <v>20</v>
      </c>
      <c r="N57" s="1982"/>
      <c r="O57" s="1983"/>
      <c r="P57" s="1171"/>
      <c r="Q57" s="500">
        <f t="shared" si="212"/>
        <v>20</v>
      </c>
      <c r="R57" s="500"/>
      <c r="S57" s="500"/>
      <c r="T57" s="1831"/>
      <c r="U57" s="1832"/>
      <c r="V57" s="586"/>
      <c r="W57" s="583"/>
      <c r="X57" s="583"/>
      <c r="Y57" s="583"/>
      <c r="Z57" s="584"/>
      <c r="AA57" s="585"/>
      <c r="AB57" s="585"/>
      <c r="AC57" s="585"/>
      <c r="AD57" s="585"/>
      <c r="AE57" s="585"/>
      <c r="AF57" s="585"/>
      <c r="AG57" s="584"/>
      <c r="AH57" s="569"/>
      <c r="GW57" s="581"/>
      <c r="HL57" s="567"/>
    </row>
    <row r="58" spans="1:221" ht="12" customHeight="1">
      <c r="A58" s="1976"/>
      <c r="B58" s="1976"/>
      <c r="C58" s="5"/>
      <c r="D58" s="1"/>
      <c r="E58" s="1"/>
      <c r="F58" s="1"/>
      <c r="G58" s="44" t="s">
        <v>571</v>
      </c>
      <c r="H58" s="324">
        <f>SUM(H56:H57)</f>
        <v>0</v>
      </c>
      <c r="I58" s="324">
        <f>SUM(I56:I57)</f>
        <v>20</v>
      </c>
      <c r="J58" s="324">
        <f>SUM(J56:J57)</f>
        <v>55</v>
      </c>
      <c r="K58" s="324">
        <f>SUM(K56:K57)</f>
        <v>52</v>
      </c>
      <c r="L58" s="324">
        <f>SUM(L56:L57)</f>
        <v>0</v>
      </c>
      <c r="M58" s="324">
        <f t="shared" si="211"/>
        <v>127</v>
      </c>
      <c r="N58" s="327"/>
      <c r="O58" s="96"/>
      <c r="Q58" s="500">
        <f t="shared" si="212"/>
        <v>127</v>
      </c>
      <c r="R58" s="500"/>
      <c r="S58" s="500"/>
      <c r="T58" s="1831"/>
      <c r="U58" s="1832"/>
      <c r="V58" s="586"/>
      <c r="W58" s="583"/>
      <c r="X58" s="583"/>
      <c r="Y58" s="583"/>
      <c r="Z58" s="584"/>
      <c r="AA58" s="585"/>
      <c r="AB58" s="585"/>
      <c r="AC58" s="585"/>
      <c r="AD58" s="585"/>
      <c r="AE58" s="585"/>
      <c r="AF58" s="585"/>
      <c r="AG58" s="584"/>
      <c r="AH58" s="569"/>
      <c r="GW58" s="581"/>
      <c r="HL58" s="567"/>
    </row>
    <row r="59" spans="1:221" ht="12" customHeight="1">
      <c r="A59" s="1976"/>
      <c r="B59" s="1976"/>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831"/>
      <c r="U59" s="1832"/>
      <c r="V59" s="569"/>
      <c r="W59" s="583"/>
      <c r="X59" s="583"/>
      <c r="Y59" s="583"/>
      <c r="Z59" s="584"/>
      <c r="AA59" s="585"/>
      <c r="AB59" s="585"/>
      <c r="AC59" s="585"/>
      <c r="AD59" s="585"/>
      <c r="AE59" s="585"/>
      <c r="AF59" s="585"/>
      <c r="AG59" s="566"/>
      <c r="AH59" s="569"/>
      <c r="GW59" s="581"/>
      <c r="HL59" s="567"/>
    </row>
    <row r="60" spans="1:221" ht="12" customHeight="1">
      <c r="A60" s="1976"/>
      <c r="B60" s="1976"/>
      <c r="C60" s="1" t="s">
        <v>1206</v>
      </c>
      <c r="D60" s="1"/>
      <c r="E60" s="1"/>
      <c r="F60" s="1"/>
      <c r="G60" s="44"/>
      <c r="H60" s="324">
        <f>SUM(H58:H59)</f>
        <v>0</v>
      </c>
      <c r="I60" s="324">
        <f>SUM(I58:I59)</f>
        <v>20</v>
      </c>
      <c r="J60" s="324">
        <f>SUM(J58:J59)</f>
        <v>55</v>
      </c>
      <c r="K60" s="324">
        <f>SUM(K58:K59)</f>
        <v>52</v>
      </c>
      <c r="L60" s="324">
        <f>SUM(L58:L59)</f>
        <v>0</v>
      </c>
      <c r="M60" s="324">
        <f t="shared" si="211"/>
        <v>127</v>
      </c>
      <c r="N60" s="65"/>
      <c r="O60" s="96"/>
      <c r="Q60" s="500">
        <f t="shared" si="212"/>
        <v>127</v>
      </c>
      <c r="R60" s="500"/>
      <c r="S60" s="500"/>
      <c r="T60" s="1831"/>
      <c r="U60" s="1832"/>
      <c r="V60" s="583"/>
      <c r="W60" s="583"/>
      <c r="X60" s="583"/>
      <c r="Y60" s="583"/>
      <c r="Z60" s="584"/>
      <c r="AA60" s="585"/>
      <c r="AB60" s="585"/>
      <c r="AC60" s="585"/>
      <c r="AD60" s="585"/>
      <c r="AE60" s="585"/>
      <c r="AF60" s="585"/>
      <c r="AG60" s="566"/>
      <c r="AH60" s="569"/>
      <c r="GW60" s="581"/>
      <c r="HL60" s="567"/>
    </row>
    <row r="61" spans="1:221" ht="12" customHeight="1">
      <c r="A61" s="1976"/>
      <c r="B61" s="1976"/>
      <c r="C61" s="1" t="s">
        <v>2681</v>
      </c>
      <c r="D61" s="1"/>
      <c r="E61" s="1"/>
      <c r="F61" s="1"/>
      <c r="G61" s="44"/>
      <c r="H61" s="324">
        <f>BT48</f>
        <v>0</v>
      </c>
      <c r="I61" s="324">
        <f>BU48</f>
        <v>0</v>
      </c>
      <c r="J61" s="324">
        <f>BV48</f>
        <v>1</v>
      </c>
      <c r="K61" s="324">
        <f>BW48</f>
        <v>0</v>
      </c>
      <c r="L61" s="324">
        <f>BX48</f>
        <v>0</v>
      </c>
      <c r="M61" s="324">
        <f t="shared" si="211"/>
        <v>1</v>
      </c>
      <c r="N61" s="62" t="s">
        <v>2355</v>
      </c>
      <c r="O61" s="96"/>
      <c r="Q61" s="500">
        <f t="shared" si="212"/>
        <v>1</v>
      </c>
      <c r="R61" s="500"/>
      <c r="S61" s="500"/>
      <c r="T61" s="1831"/>
      <c r="U61" s="1832"/>
      <c r="V61" s="583"/>
      <c r="W61" s="583"/>
      <c r="X61" s="583"/>
      <c r="Y61" s="583"/>
      <c r="Z61" s="584"/>
      <c r="AA61" s="585"/>
      <c r="AB61" s="585"/>
      <c r="AC61" s="585"/>
      <c r="AD61" s="585"/>
      <c r="AE61" s="585"/>
      <c r="AF61" s="585"/>
      <c r="AG61" s="584"/>
      <c r="AH61" s="569"/>
      <c r="GW61" s="581"/>
      <c r="HL61" s="567"/>
    </row>
    <row r="62" spans="1:221" ht="12" customHeight="1">
      <c r="A62" s="1976"/>
      <c r="B62" s="1976"/>
      <c r="C62" s="1" t="s">
        <v>571</v>
      </c>
      <c r="D62" s="1"/>
      <c r="E62" s="1"/>
      <c r="F62" s="1"/>
      <c r="G62" s="44"/>
      <c r="H62" s="324">
        <f>SUM(H60:H61)</f>
        <v>0</v>
      </c>
      <c r="I62" s="324">
        <f>SUM(I60:I61)</f>
        <v>20</v>
      </c>
      <c r="J62" s="324">
        <f>SUM(J60:J61)</f>
        <v>56</v>
      </c>
      <c r="K62" s="324">
        <f>SUM(K60:K61)</f>
        <v>52</v>
      </c>
      <c r="L62" s="324">
        <f>SUM(L60:L61)</f>
        <v>0</v>
      </c>
      <c r="M62" s="324">
        <f t="shared" si="211"/>
        <v>128</v>
      </c>
      <c r="O62" s="96"/>
      <c r="Q62" s="500">
        <f t="shared" si="212"/>
        <v>128</v>
      </c>
      <c r="R62" s="500"/>
      <c r="S62" s="500"/>
      <c r="T62" s="1833"/>
      <c r="U62" s="1834"/>
      <c r="V62" s="583"/>
      <c r="W62" s="583"/>
      <c r="X62" s="583"/>
      <c r="Y62" s="583"/>
      <c r="Z62" s="584"/>
      <c r="AA62" s="585"/>
      <c r="AB62" s="585"/>
      <c r="AC62" s="585"/>
      <c r="AD62" s="585"/>
      <c r="AE62" s="585"/>
      <c r="AF62" s="585"/>
      <c r="AG62" s="1193"/>
      <c r="AH62" s="569"/>
      <c r="GW62" s="581"/>
      <c r="HL62" s="567"/>
    </row>
    <row r="63" spans="1:221" ht="12" customHeight="1">
      <c r="A63" s="1976"/>
      <c r="B63" s="1976"/>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976"/>
      <c r="B64" s="1976"/>
      <c r="C64" s="1" t="s">
        <v>989</v>
      </c>
      <c r="D64" s="1"/>
      <c r="E64" s="127"/>
      <c r="F64" s="1"/>
      <c r="G64" s="44" t="s">
        <v>1217</v>
      </c>
      <c r="H64" s="322">
        <f>AZ48</f>
        <v>0</v>
      </c>
      <c r="I64" s="322">
        <f>BA48</f>
        <v>0</v>
      </c>
      <c r="J64" s="322">
        <f>BB48</f>
        <v>0</v>
      </c>
      <c r="K64" s="322">
        <f>BC48</f>
        <v>0</v>
      </c>
      <c r="L64" s="322">
        <f>BD48</f>
        <v>0</v>
      </c>
      <c r="M64" s="322">
        <f>SUM(H64:L64)</f>
        <v>0</v>
      </c>
      <c r="N64" s="62"/>
      <c r="O64" s="96"/>
      <c r="Q64" s="500">
        <f>ABS(M64-AF64)</f>
        <v>0</v>
      </c>
      <c r="R64" s="500"/>
      <c r="S64" s="500"/>
      <c r="T64" s="1829"/>
      <c r="U64" s="1830"/>
      <c r="V64" s="583"/>
      <c r="W64" s="583"/>
      <c r="X64" s="587"/>
      <c r="Y64" s="583"/>
      <c r="Z64" s="584"/>
      <c r="AA64" s="585"/>
      <c r="AB64" s="585"/>
      <c r="AC64" s="585"/>
      <c r="AD64" s="585"/>
      <c r="AE64" s="585"/>
      <c r="AF64" s="585"/>
      <c r="AG64" s="584"/>
      <c r="AH64" s="569"/>
      <c r="GW64" s="581"/>
      <c r="HL64" s="567"/>
    </row>
    <row r="65" spans="1:220" ht="12" customHeight="1">
      <c r="A65" s="1976"/>
      <c r="B65" s="1976"/>
      <c r="C65" s="44" t="s">
        <v>2682</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831"/>
      <c r="U65" s="1832"/>
      <c r="V65" s="584"/>
      <c r="W65" s="583"/>
      <c r="X65" s="587"/>
      <c r="Y65" s="583"/>
      <c r="Z65" s="584"/>
      <c r="AA65" s="585"/>
      <c r="AB65" s="585"/>
      <c r="AC65" s="585"/>
      <c r="AD65" s="585"/>
      <c r="AE65" s="585"/>
      <c r="AF65" s="585"/>
      <c r="AG65" s="584"/>
      <c r="AH65" s="569"/>
      <c r="GW65" s="581"/>
      <c r="HL65" s="567"/>
    </row>
    <row r="66" spans="1:220" ht="12" customHeight="1">
      <c r="A66" s="1976"/>
      <c r="B66" s="1976"/>
      <c r="C66" s="5"/>
      <c r="D66" s="1"/>
      <c r="E66" s="127"/>
      <c r="F66" s="1"/>
      <c r="G66" s="44" t="s">
        <v>571</v>
      </c>
      <c r="H66" s="324">
        <f>SUM(H64:H65)</f>
        <v>0</v>
      </c>
      <c r="I66" s="324">
        <f>SUM(I64:I65)</f>
        <v>0</v>
      </c>
      <c r="J66" s="324">
        <f>SUM(J64:J65)</f>
        <v>0</v>
      </c>
      <c r="K66" s="324">
        <f>SUM(K64:K65)</f>
        <v>0</v>
      </c>
      <c r="L66" s="324">
        <f>SUM(L64:L65)</f>
        <v>0</v>
      </c>
      <c r="M66" s="324">
        <f>SUM(H66:L66)</f>
        <v>0</v>
      </c>
      <c r="N66" s="62"/>
      <c r="O66" s="96"/>
      <c r="Q66" s="500">
        <f>ABS(M66-AF66)</f>
        <v>0</v>
      </c>
      <c r="R66" s="500"/>
      <c r="S66" s="500"/>
      <c r="T66" s="1833"/>
      <c r="U66" s="1834"/>
      <c r="V66" s="586"/>
      <c r="W66" s="583"/>
      <c r="X66" s="587"/>
      <c r="Y66" s="583"/>
      <c r="Z66" s="584"/>
      <c r="AA66" s="585"/>
      <c r="AB66" s="585"/>
      <c r="AC66" s="585"/>
      <c r="AD66" s="585"/>
      <c r="AE66" s="585"/>
      <c r="AF66" s="585"/>
      <c r="AG66" s="584"/>
      <c r="AH66" s="569"/>
      <c r="GW66" s="581"/>
      <c r="HL66" s="567"/>
    </row>
    <row r="67" spans="1:220" ht="12" customHeight="1">
      <c r="A67" s="1976"/>
      <c r="B67" s="1976"/>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976"/>
      <c r="B68" s="1976"/>
      <c r="C68" s="1" t="s">
        <v>944</v>
      </c>
      <c r="D68" s="1"/>
      <c r="E68" s="127"/>
      <c r="F68" s="1"/>
      <c r="G68" s="44" t="s">
        <v>1217</v>
      </c>
      <c r="H68" s="322">
        <f>BO48</f>
        <v>0</v>
      </c>
      <c r="I68" s="322">
        <f>BP48</f>
        <v>0</v>
      </c>
      <c r="J68" s="322">
        <f>BQ48</f>
        <v>0</v>
      </c>
      <c r="K68" s="322">
        <f>BR48</f>
        <v>0</v>
      </c>
      <c r="L68" s="322">
        <f>BS48</f>
        <v>0</v>
      </c>
      <c r="M68" s="322">
        <f>SUM(H68:L68)</f>
        <v>0</v>
      </c>
      <c r="N68" s="62"/>
      <c r="O68" s="96"/>
      <c r="Q68" s="500">
        <f>ABS(M68-AF68)</f>
        <v>0</v>
      </c>
      <c r="R68" s="500"/>
      <c r="S68" s="500"/>
      <c r="T68" s="1829"/>
      <c r="U68" s="1830"/>
      <c r="V68" s="569"/>
      <c r="W68" s="583"/>
      <c r="X68" s="587"/>
      <c r="Y68" s="583"/>
      <c r="Z68" s="584"/>
      <c r="AA68" s="585"/>
      <c r="AB68" s="585"/>
      <c r="AC68" s="585"/>
      <c r="AD68" s="585"/>
      <c r="AE68" s="585"/>
      <c r="AF68" s="585"/>
      <c r="AG68" s="584"/>
      <c r="AH68" s="569"/>
      <c r="GW68" s="581"/>
      <c r="HL68" s="567"/>
    </row>
    <row r="69" spans="1:220" ht="12" customHeight="1">
      <c r="A69" s="1976"/>
      <c r="B69" s="1976"/>
      <c r="C69" s="44" t="s">
        <v>2682</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831"/>
      <c r="U69" s="1832"/>
      <c r="V69" s="588"/>
      <c r="W69" s="583"/>
      <c r="X69" s="587"/>
      <c r="Y69" s="583"/>
      <c r="Z69" s="584"/>
      <c r="AA69" s="585"/>
      <c r="AB69" s="585"/>
      <c r="AC69" s="585"/>
      <c r="AD69" s="585"/>
      <c r="AE69" s="585"/>
      <c r="AF69" s="585"/>
      <c r="AG69" s="584"/>
      <c r="AH69" s="569"/>
      <c r="GW69" s="581"/>
      <c r="HL69" s="567"/>
    </row>
    <row r="70" spans="1:220" ht="12" customHeight="1">
      <c r="A70" s="1976"/>
      <c r="B70" s="1976"/>
      <c r="C70" s="5"/>
      <c r="D70" s="1"/>
      <c r="E70" s="127"/>
      <c r="F70" s="1"/>
      <c r="G70" s="44" t="s">
        <v>571</v>
      </c>
      <c r="H70" s="324">
        <f>SUM(H68:H69)</f>
        <v>0</v>
      </c>
      <c r="I70" s="324">
        <f>SUM(I68:I69)</f>
        <v>0</v>
      </c>
      <c r="J70" s="324">
        <f>SUM(J68:J69)</f>
        <v>0</v>
      </c>
      <c r="K70" s="324">
        <f>SUM(K68:K69)</f>
        <v>0</v>
      </c>
      <c r="L70" s="324">
        <f>SUM(L68:L69)</f>
        <v>0</v>
      </c>
      <c r="M70" s="324">
        <f>SUM(H70:L70)</f>
        <v>0</v>
      </c>
      <c r="N70" s="62"/>
      <c r="O70" s="96"/>
      <c r="Q70" s="500">
        <f>ABS(M70-AF70)</f>
        <v>0</v>
      </c>
      <c r="R70" s="500"/>
      <c r="S70" s="500"/>
      <c r="T70" s="1833"/>
      <c r="U70" s="1834"/>
      <c r="V70" s="586"/>
      <c r="W70" s="583"/>
      <c r="X70" s="587"/>
      <c r="Y70" s="583"/>
      <c r="Z70" s="584"/>
      <c r="AA70" s="585"/>
      <c r="AB70" s="585"/>
      <c r="AC70" s="585"/>
      <c r="AD70" s="585"/>
      <c r="AE70" s="585"/>
      <c r="AF70" s="585"/>
      <c r="AG70" s="584"/>
      <c r="AH70" s="569"/>
      <c r="GW70" s="581"/>
      <c r="HL70" s="567"/>
    </row>
    <row r="71" spans="1:220" ht="12" customHeight="1">
      <c r="A71" s="1976"/>
      <c r="B71" s="1976"/>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976"/>
      <c r="B72" s="1976"/>
      <c r="C72" s="1"/>
      <c r="D72" s="1"/>
      <c r="E72" s="120" t="s">
        <v>2443</v>
      </c>
      <c r="F72" s="1"/>
      <c r="G72" s="44" t="s">
        <v>1525</v>
      </c>
      <c r="H72" s="322">
        <f>DC48</f>
        <v>0</v>
      </c>
      <c r="I72" s="322">
        <f>DD48</f>
        <v>0</v>
      </c>
      <c r="J72" s="322">
        <f>DE48</f>
        <v>0</v>
      </c>
      <c r="K72" s="322">
        <f>DF48</f>
        <v>0</v>
      </c>
      <c r="L72" s="322">
        <f>DG48</f>
        <v>0</v>
      </c>
      <c r="M72" s="322">
        <f t="shared" ref="M72:M82" si="213">SUM(H72:L72)</f>
        <v>0</v>
      </c>
      <c r="N72" s="31"/>
      <c r="O72" s="96"/>
      <c r="Q72" s="500">
        <f t="shared" ref="Q72:Q80" si="214">ABS(M72-AF72)</f>
        <v>0</v>
      </c>
      <c r="R72" s="500"/>
      <c r="S72" s="500"/>
      <c r="T72" s="1829"/>
      <c r="U72" s="1830"/>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76"/>
      <c r="B73" s="1976"/>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831"/>
      <c r="U73" s="1832"/>
      <c r="V73" s="583"/>
      <c r="W73" s="583"/>
      <c r="X73" s="587"/>
      <c r="Y73" s="583"/>
      <c r="Z73" s="584"/>
      <c r="AA73" s="585"/>
      <c r="AB73" s="585"/>
      <c r="AC73" s="585"/>
      <c r="AD73" s="585"/>
      <c r="AE73" s="585"/>
      <c r="AF73" s="585"/>
      <c r="AG73" s="566"/>
      <c r="AH73" s="569"/>
      <c r="GW73" s="581"/>
      <c r="HL73" s="567"/>
    </row>
    <row r="74" spans="1:220" ht="12" customHeight="1">
      <c r="A74" s="1976"/>
      <c r="B74" s="1976"/>
      <c r="C74" s="5"/>
      <c r="D74" s="1"/>
      <c r="E74" s="127"/>
      <c r="F74" s="1"/>
      <c r="G74" s="44" t="s">
        <v>33</v>
      </c>
      <c r="H74" s="324">
        <f>SUM(H72:H73)+DM48</f>
        <v>0</v>
      </c>
      <c r="I74" s="324">
        <f>SUM(I72:I73)+DN48</f>
        <v>0</v>
      </c>
      <c r="J74" s="324">
        <f>SUM(J72:J73)+DO48</f>
        <v>0</v>
      </c>
      <c r="K74" s="324">
        <f>SUM(K72:K73)+DP48</f>
        <v>0</v>
      </c>
      <c r="L74" s="324">
        <f>SUM(L72:L73)+DQ48</f>
        <v>0</v>
      </c>
      <c r="M74" s="324">
        <f t="shared" si="213"/>
        <v>0</v>
      </c>
      <c r="N74" s="62"/>
      <c r="O74" s="96"/>
      <c r="Q74" s="500">
        <f t="shared" si="214"/>
        <v>0</v>
      </c>
      <c r="R74" s="500"/>
      <c r="S74" s="500"/>
      <c r="T74" s="1831"/>
      <c r="U74" s="1832"/>
      <c r="V74" s="586"/>
      <c r="W74" s="583"/>
      <c r="X74" s="587"/>
      <c r="Y74" s="583"/>
      <c r="Z74" s="588"/>
      <c r="AA74" s="585"/>
      <c r="AB74" s="585"/>
      <c r="AC74" s="585"/>
      <c r="AD74" s="585"/>
      <c r="AE74" s="585"/>
      <c r="AF74" s="585"/>
      <c r="AG74" s="584"/>
      <c r="AH74" s="569"/>
      <c r="GW74" s="581"/>
      <c r="HL74" s="567"/>
    </row>
    <row r="75" spans="1:220" ht="12" customHeight="1">
      <c r="A75" s="1976"/>
      <c r="B75" s="1976"/>
      <c r="C75" s="1"/>
      <c r="D75" s="1"/>
      <c r="E75" s="120" t="s">
        <v>2274</v>
      </c>
      <c r="F75" s="1"/>
      <c r="G75" s="44" t="s">
        <v>1525</v>
      </c>
      <c r="H75" s="322">
        <f>DR48</f>
        <v>0</v>
      </c>
      <c r="I75" s="322">
        <f>DS48</f>
        <v>20</v>
      </c>
      <c r="J75" s="322">
        <f>DT48</f>
        <v>55</v>
      </c>
      <c r="K75" s="322">
        <f>DU48</f>
        <v>52</v>
      </c>
      <c r="L75" s="322">
        <f>DV48</f>
        <v>0</v>
      </c>
      <c r="M75" s="322">
        <f t="shared" si="213"/>
        <v>127</v>
      </c>
      <c r="N75" s="31"/>
      <c r="O75" s="96"/>
      <c r="Q75" s="500">
        <f t="shared" si="214"/>
        <v>127</v>
      </c>
      <c r="R75" s="500"/>
      <c r="S75" s="500"/>
      <c r="T75" s="1831"/>
      <c r="U75" s="1832"/>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831"/>
      <c r="U76" s="1832"/>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20</v>
      </c>
      <c r="J77" s="324">
        <f>SUM(J75:J76)+ED48</f>
        <v>56</v>
      </c>
      <c r="K77" s="324">
        <f>SUM(K75:K76)+EE48</f>
        <v>52</v>
      </c>
      <c r="L77" s="324">
        <f>SUM(L75:L76)+EF48</f>
        <v>0</v>
      </c>
      <c r="M77" s="324">
        <f t="shared" si="213"/>
        <v>128</v>
      </c>
      <c r="N77" s="62"/>
      <c r="O77" s="96"/>
      <c r="Q77" s="500">
        <f t="shared" si="214"/>
        <v>128</v>
      </c>
      <c r="R77" s="500"/>
      <c r="S77" s="500"/>
      <c r="T77" s="1831"/>
      <c r="U77" s="1832"/>
      <c r="V77" s="586"/>
      <c r="W77" s="583"/>
      <c r="X77" s="587"/>
      <c r="Y77" s="583"/>
      <c r="Z77" s="588"/>
      <c r="AA77" s="585"/>
      <c r="AB77" s="585"/>
      <c r="AC77" s="585"/>
      <c r="AD77" s="585"/>
      <c r="AE77" s="585"/>
      <c r="AF77" s="585"/>
      <c r="AG77" s="584"/>
      <c r="AH77" s="569"/>
      <c r="GW77" s="581"/>
      <c r="HL77" s="567"/>
    </row>
    <row r="78" spans="1:220" ht="12" customHeight="1">
      <c r="C78" s="1"/>
      <c r="D78" s="1"/>
      <c r="E78" s="1973" t="s">
        <v>1511</v>
      </c>
      <c r="F78" s="1973"/>
      <c r="G78" s="44" t="s">
        <v>1525</v>
      </c>
      <c r="H78" s="322">
        <f>EG48</f>
        <v>0</v>
      </c>
      <c r="I78" s="322">
        <f>EH48</f>
        <v>0</v>
      </c>
      <c r="J78" s="322">
        <f>EI48</f>
        <v>0</v>
      </c>
      <c r="K78" s="322">
        <f>EJ48</f>
        <v>0</v>
      </c>
      <c r="L78" s="322">
        <f>EK48</f>
        <v>0</v>
      </c>
      <c r="M78" s="322">
        <f t="shared" si="213"/>
        <v>0</v>
      </c>
      <c r="N78" s="31"/>
      <c r="O78" s="96"/>
      <c r="Q78" s="500">
        <f t="shared" si="214"/>
        <v>0</v>
      </c>
      <c r="R78" s="500"/>
      <c r="S78" s="500"/>
      <c r="T78" s="1831"/>
      <c r="U78" s="1832"/>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73"/>
      <c r="F79" s="1973"/>
      <c r="G79" s="44" t="s">
        <v>319</v>
      </c>
      <c r="H79" s="326">
        <f>EL48</f>
        <v>0</v>
      </c>
      <c r="I79" s="326">
        <f>EM48</f>
        <v>0</v>
      </c>
      <c r="J79" s="326">
        <f>EN48</f>
        <v>0</v>
      </c>
      <c r="K79" s="326">
        <f>EO48</f>
        <v>0</v>
      </c>
      <c r="L79" s="326">
        <f>EP48</f>
        <v>0</v>
      </c>
      <c r="M79" s="326">
        <f t="shared" si="213"/>
        <v>0</v>
      </c>
      <c r="N79" s="65"/>
      <c r="O79" s="96"/>
      <c r="Q79" s="500">
        <f t="shared" si="214"/>
        <v>0</v>
      </c>
      <c r="R79" s="500"/>
      <c r="S79" s="500"/>
      <c r="T79" s="1831"/>
      <c r="U79" s="1832"/>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831"/>
      <c r="U80" s="1832"/>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365"/>
      <c r="I81" s="1365"/>
      <c r="J81" s="1365"/>
      <c r="K81" s="1365"/>
      <c r="L81" s="1365"/>
      <c r="M81" s="322">
        <f t="shared" si="213"/>
        <v>0</v>
      </c>
      <c r="N81" s="31"/>
      <c r="O81" s="96"/>
      <c r="T81" s="1831"/>
      <c r="U81" s="1832"/>
      <c r="V81" s="583"/>
      <c r="W81" s="583"/>
      <c r="X81" s="583"/>
      <c r="Y81" s="583"/>
      <c r="Z81" s="584"/>
      <c r="AA81" s="585"/>
      <c r="AB81" s="585"/>
      <c r="AC81" s="585"/>
      <c r="AD81" s="585"/>
      <c r="AE81" s="585"/>
      <c r="AF81" s="585"/>
      <c r="AG81" s="566"/>
      <c r="AH81" s="569"/>
      <c r="GW81" s="581"/>
      <c r="HL81" s="567"/>
    </row>
    <row r="82" spans="1:220" ht="12" customHeight="1">
      <c r="A82" s="1989" t="str">
        <f>IF(AND('Part IV-Uses of Funds'!$T$163="Yes",'Part IX A-Scoring Criteria'!$O$241&gt;0,M82&lt;1),"SHOW HISTORIC UNITS HERE &gt;&gt;&gt;&gt;","")</f>
        <v/>
      </c>
      <c r="B82" s="1989"/>
      <c r="C82" s="1989"/>
      <c r="D82" s="1989"/>
      <c r="E82" s="647" t="s">
        <v>385</v>
      </c>
      <c r="F82" s="1"/>
      <c r="G82" s="44"/>
      <c r="H82" s="1366"/>
      <c r="I82" s="1366"/>
      <c r="J82" s="1366"/>
      <c r="K82" s="1366"/>
      <c r="L82" s="1366"/>
      <c r="M82" s="326">
        <f t="shared" si="213"/>
        <v>0</v>
      </c>
      <c r="N82" s="65"/>
      <c r="O82" s="96"/>
      <c r="T82" s="1833"/>
      <c r="U82" s="1834"/>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20</v>
      </c>
      <c r="J84" s="322">
        <f>SUM(J85:J88)</f>
        <v>56</v>
      </c>
      <c r="K84" s="322">
        <f>SUM(K85:K88)</f>
        <v>52</v>
      </c>
      <c r="L84" s="322">
        <f>SUM(L85:L88)</f>
        <v>0</v>
      </c>
      <c r="M84" s="322">
        <f t="shared" ref="M84:M92" si="215">SUM(H84:L84)</f>
        <v>128</v>
      </c>
      <c r="N84" s="31"/>
      <c r="O84" s="96"/>
      <c r="Q84" s="500">
        <f>ABS(M84-AF84)</f>
        <v>128</v>
      </c>
      <c r="R84" s="500"/>
      <c r="S84" s="500"/>
      <c r="T84" s="1829"/>
      <c r="U84" s="1830"/>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2786</v>
      </c>
      <c r="H85" s="325">
        <f>FU48</f>
        <v>0</v>
      </c>
      <c r="I85" s="325">
        <f>FV48</f>
        <v>0</v>
      </c>
      <c r="J85" s="325">
        <f>FW48</f>
        <v>0</v>
      </c>
      <c r="K85" s="325">
        <f>FX48</f>
        <v>0</v>
      </c>
      <c r="L85" s="325">
        <f>FY48</f>
        <v>0</v>
      </c>
      <c r="M85" s="323">
        <f t="shared" si="215"/>
        <v>0</v>
      </c>
      <c r="N85" s="31"/>
      <c r="O85" s="96"/>
      <c r="Q85" s="500"/>
      <c r="R85" s="500"/>
      <c r="S85" s="500"/>
      <c r="T85" s="1831"/>
      <c r="U85" s="1832"/>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2787</v>
      </c>
      <c r="H86" s="325">
        <f>FZ48</f>
        <v>0</v>
      </c>
      <c r="I86" s="325">
        <f>GA48</f>
        <v>0</v>
      </c>
      <c r="J86" s="325">
        <f>GB48</f>
        <v>0</v>
      </c>
      <c r="K86" s="325">
        <f>GC48</f>
        <v>0</v>
      </c>
      <c r="L86" s="325">
        <f>GD48</f>
        <v>0</v>
      </c>
      <c r="M86" s="323">
        <f t="shared" si="215"/>
        <v>0</v>
      </c>
      <c r="N86" s="31"/>
      <c r="O86" s="96"/>
      <c r="Q86" s="500"/>
      <c r="R86" s="500"/>
      <c r="S86" s="500"/>
      <c r="T86" s="1831"/>
      <c r="U86" s="1832"/>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2789</v>
      </c>
      <c r="H87" s="325">
        <f>GE48</f>
        <v>0</v>
      </c>
      <c r="I87" s="325">
        <f>GF48</f>
        <v>20</v>
      </c>
      <c r="J87" s="325">
        <f>GG48</f>
        <v>56</v>
      </c>
      <c r="K87" s="325">
        <f>GH48</f>
        <v>52</v>
      </c>
      <c r="L87" s="325">
        <f>GI48</f>
        <v>0</v>
      </c>
      <c r="M87" s="323">
        <f t="shared" si="215"/>
        <v>128</v>
      </c>
      <c r="N87" s="31"/>
      <c r="O87" s="96"/>
      <c r="Q87" s="500"/>
      <c r="R87" s="500"/>
      <c r="S87" s="500"/>
      <c r="T87" s="1831"/>
      <c r="U87" s="1832"/>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2788</v>
      </c>
      <c r="H88" s="325">
        <f>GJ48</f>
        <v>0</v>
      </c>
      <c r="I88" s="325">
        <f>GK48</f>
        <v>0</v>
      </c>
      <c r="J88" s="325">
        <f>GL48</f>
        <v>0</v>
      </c>
      <c r="K88" s="325">
        <f>GM48</f>
        <v>0</v>
      </c>
      <c r="L88" s="325">
        <f>GN48</f>
        <v>0</v>
      </c>
      <c r="M88" s="325">
        <f t="shared" si="215"/>
        <v>0</v>
      </c>
      <c r="N88" s="31"/>
      <c r="O88" s="96"/>
      <c r="Q88" s="500"/>
      <c r="R88" s="500"/>
      <c r="S88" s="500"/>
      <c r="T88" s="1831"/>
      <c r="U88" s="1832"/>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831"/>
      <c r="U89" s="1832"/>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831"/>
      <c r="U90" s="1832"/>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597</v>
      </c>
      <c r="F91" s="1"/>
      <c r="G91" s="44"/>
      <c r="H91" s="323">
        <f>FK48</f>
        <v>0</v>
      </c>
      <c r="I91" s="323">
        <f>FL48</f>
        <v>0</v>
      </c>
      <c r="J91" s="323">
        <f>FM48</f>
        <v>0</v>
      </c>
      <c r="K91" s="323">
        <f>FN48</f>
        <v>0</v>
      </c>
      <c r="L91" s="323">
        <f>FO48</f>
        <v>0</v>
      </c>
      <c r="M91" s="323">
        <f t="shared" si="215"/>
        <v>0</v>
      </c>
      <c r="N91" s="65"/>
      <c r="O91" s="96"/>
      <c r="Q91" s="500">
        <f>ABS(M91-AF91)</f>
        <v>0</v>
      </c>
      <c r="R91" s="500"/>
      <c r="S91" s="500"/>
      <c r="T91" s="1831"/>
      <c r="U91" s="1832"/>
      <c r="V91" s="569"/>
      <c r="W91" s="569"/>
      <c r="X91" s="574"/>
      <c r="Y91" s="569"/>
      <c r="Z91" s="584"/>
      <c r="AA91" s="585"/>
      <c r="AB91" s="585"/>
      <c r="AC91" s="585"/>
      <c r="AD91" s="585"/>
      <c r="AE91" s="585"/>
      <c r="AF91" s="585"/>
      <c r="AG91" s="566"/>
      <c r="AH91" s="569"/>
      <c r="GW91" s="581"/>
      <c r="HL91" s="567"/>
    </row>
    <row r="92" spans="1:220" ht="12" customHeight="1">
      <c r="C92" s="1"/>
      <c r="D92" s="1"/>
      <c r="E92" s="104" t="s">
        <v>598</v>
      </c>
      <c r="F92" s="1"/>
      <c r="G92" s="44"/>
      <c r="H92" s="326">
        <f>FF48</f>
        <v>0</v>
      </c>
      <c r="I92" s="326">
        <f>FG48</f>
        <v>0</v>
      </c>
      <c r="J92" s="326">
        <f>FH48</f>
        <v>0</v>
      </c>
      <c r="K92" s="326">
        <f>FI48</f>
        <v>0</v>
      </c>
      <c r="L92" s="326">
        <f>FJ48</f>
        <v>0</v>
      </c>
      <c r="M92" s="326">
        <f t="shared" si="215"/>
        <v>0</v>
      </c>
      <c r="N92" s="31"/>
      <c r="O92" s="96"/>
      <c r="Q92" s="500">
        <f>ABS(M92-AF92)</f>
        <v>0</v>
      </c>
      <c r="R92" s="500"/>
      <c r="S92" s="500"/>
      <c r="T92" s="1833"/>
      <c r="U92" s="1834"/>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2303</v>
      </c>
      <c r="C93" s="1"/>
      <c r="D93" s="1"/>
      <c r="E93" s="1"/>
      <c r="F93" s="1"/>
      <c r="G93" s="44"/>
      <c r="H93" s="1"/>
      <c r="I93" s="1"/>
      <c r="J93" s="1"/>
      <c r="K93" s="1"/>
      <c r="L93" s="1"/>
      <c r="M93" s="1"/>
      <c r="O93" s="96"/>
      <c r="Q93" s="500"/>
      <c r="R93" s="500"/>
      <c r="S93" s="500"/>
      <c r="T93" s="383" t="str">
        <f>B93</f>
        <v>Unit Square Footage:</v>
      </c>
      <c r="U93" s="499" t="s">
        <v>1204</v>
      </c>
      <c r="V93" s="583"/>
      <c r="W93" s="583"/>
      <c r="X93" s="583"/>
      <c r="Y93" s="583"/>
      <c r="Z93" s="584"/>
      <c r="AA93" s="583"/>
      <c r="AB93" s="583"/>
      <c r="AC93" s="583"/>
      <c r="AD93" s="583"/>
      <c r="AE93" s="583"/>
      <c r="AF93" s="583"/>
      <c r="AG93" s="1193"/>
      <c r="AH93" s="569"/>
      <c r="GW93" s="581"/>
      <c r="HL93" s="567"/>
    </row>
    <row r="94" spans="1:220" ht="12" customHeight="1">
      <c r="C94" s="6" t="s">
        <v>2273</v>
      </c>
      <c r="D94" s="1"/>
      <c r="E94" s="1"/>
      <c r="F94" s="1"/>
      <c r="G94" s="44" t="s">
        <v>1217</v>
      </c>
      <c r="H94" s="194">
        <f>BY48</f>
        <v>0</v>
      </c>
      <c r="I94" s="194">
        <f>BZ48</f>
        <v>0</v>
      </c>
      <c r="J94" s="194">
        <f>CA48</f>
        <v>53570</v>
      </c>
      <c r="K94" s="194">
        <f>CB48</f>
        <v>61044</v>
      </c>
      <c r="L94" s="194">
        <f>CC48</f>
        <v>0</v>
      </c>
      <c r="M94" s="194">
        <f t="shared" ref="M94:M100" si="216">SUM(H94:L94)</f>
        <v>114614</v>
      </c>
      <c r="O94" s="96"/>
      <c r="Q94" s="500">
        <f t="shared" ref="Q94:Q100" si="217">ABS(M94-AF94)</f>
        <v>114614</v>
      </c>
      <c r="R94" s="500"/>
      <c r="S94" s="500"/>
      <c r="T94" s="1829"/>
      <c r="U94" s="1830"/>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16888</v>
      </c>
      <c r="J95" s="196">
        <f>CF48</f>
        <v>0</v>
      </c>
      <c r="K95" s="196">
        <f>CG48</f>
        <v>0</v>
      </c>
      <c r="L95" s="196">
        <f>CH48</f>
        <v>0</v>
      </c>
      <c r="M95" s="196">
        <f t="shared" si="216"/>
        <v>16888</v>
      </c>
      <c r="N95" s="6"/>
      <c r="O95" s="96"/>
      <c r="Q95" s="500">
        <f t="shared" si="217"/>
        <v>16888</v>
      </c>
      <c r="R95" s="500"/>
      <c r="S95" s="500"/>
      <c r="T95" s="1831"/>
      <c r="U95" s="1832"/>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571</v>
      </c>
      <c r="H96" s="193">
        <f>SUM(H94:H95)</f>
        <v>0</v>
      </c>
      <c r="I96" s="193">
        <f>SUM(I94:I95)</f>
        <v>16888</v>
      </c>
      <c r="J96" s="193">
        <f>SUM(J94:J95)</f>
        <v>53570</v>
      </c>
      <c r="K96" s="193">
        <f>SUM(K94:K95)</f>
        <v>61044</v>
      </c>
      <c r="L96" s="193">
        <f>SUM(L94:L95)</f>
        <v>0</v>
      </c>
      <c r="M96" s="193">
        <f t="shared" si="216"/>
        <v>131502</v>
      </c>
      <c r="N96" s="6"/>
      <c r="O96" s="96"/>
      <c r="Q96" s="500">
        <f t="shared" si="217"/>
        <v>131502</v>
      </c>
      <c r="R96" s="500"/>
      <c r="S96" s="500"/>
      <c r="T96" s="1831"/>
      <c r="U96" s="1832"/>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831"/>
      <c r="U97" s="1832"/>
      <c r="V97" s="569"/>
      <c r="W97" s="583"/>
      <c r="X97" s="583"/>
      <c r="Y97" s="583"/>
      <c r="Z97" s="583"/>
      <c r="AA97" s="585"/>
      <c r="AB97" s="585"/>
      <c r="AC97" s="585"/>
      <c r="AD97" s="585"/>
      <c r="AE97" s="585"/>
      <c r="AF97" s="585"/>
      <c r="AG97" s="1193"/>
      <c r="AH97" s="569"/>
      <c r="GW97" s="581"/>
      <c r="HL97" s="567"/>
    </row>
    <row r="98" spans="1:222" ht="12" customHeight="1">
      <c r="C98" s="6" t="s">
        <v>1206</v>
      </c>
      <c r="D98" s="1"/>
      <c r="E98" s="1"/>
      <c r="F98" s="1"/>
      <c r="G98" s="1"/>
      <c r="H98" s="193">
        <f>SUM(H96:H97)</f>
        <v>0</v>
      </c>
      <c r="I98" s="193">
        <f>SUM(I96:I97)</f>
        <v>16888</v>
      </c>
      <c r="J98" s="193">
        <f>SUM(J96:J97)</f>
        <v>53570</v>
      </c>
      <c r="K98" s="193">
        <f>SUM(K96:K97)</f>
        <v>61044</v>
      </c>
      <c r="L98" s="193">
        <f>SUM(L96:L97)</f>
        <v>0</v>
      </c>
      <c r="M98" s="193">
        <f t="shared" si="216"/>
        <v>131502</v>
      </c>
      <c r="O98" s="96"/>
      <c r="Q98" s="500">
        <f t="shared" si="217"/>
        <v>131502</v>
      </c>
      <c r="R98" s="500"/>
      <c r="S98" s="500"/>
      <c r="T98" s="1831"/>
      <c r="U98" s="1832"/>
      <c r="V98" s="583"/>
      <c r="W98" s="583"/>
      <c r="X98" s="583"/>
      <c r="Y98" s="583"/>
      <c r="Z98" s="583"/>
      <c r="AA98" s="585"/>
      <c r="AB98" s="585"/>
      <c r="AC98" s="585"/>
      <c r="AD98" s="585"/>
      <c r="AE98" s="585"/>
      <c r="AF98" s="585"/>
      <c r="AG98" s="1193"/>
      <c r="AH98" s="569"/>
      <c r="GW98" s="581"/>
      <c r="HL98" s="567"/>
    </row>
    <row r="99" spans="1:222" ht="12" customHeight="1">
      <c r="C99" s="6" t="s">
        <v>2681</v>
      </c>
      <c r="D99" s="1"/>
      <c r="E99" s="1"/>
      <c r="F99" s="1"/>
      <c r="G99" s="1"/>
      <c r="H99" s="193">
        <f>CX48</f>
        <v>0</v>
      </c>
      <c r="I99" s="193">
        <f>CY48</f>
        <v>0</v>
      </c>
      <c r="J99" s="193">
        <f>CZ48</f>
        <v>974</v>
      </c>
      <c r="K99" s="193">
        <f>DA48</f>
        <v>0</v>
      </c>
      <c r="L99" s="193">
        <f>DB48</f>
        <v>0</v>
      </c>
      <c r="M99" s="193">
        <f t="shared" si="216"/>
        <v>974</v>
      </c>
      <c r="O99" s="96"/>
      <c r="Q99" s="500">
        <f t="shared" si="217"/>
        <v>974</v>
      </c>
      <c r="R99" s="500"/>
      <c r="S99" s="500"/>
      <c r="T99" s="1831"/>
      <c r="U99" s="1832"/>
      <c r="V99" s="583"/>
      <c r="W99" s="583"/>
      <c r="X99" s="583"/>
      <c r="Y99" s="583"/>
      <c r="Z99" s="583"/>
      <c r="AA99" s="585"/>
      <c r="AB99" s="585"/>
      <c r="AC99" s="585"/>
      <c r="AD99" s="585"/>
      <c r="AE99" s="585"/>
      <c r="AF99" s="585"/>
      <c r="AG99" s="1193"/>
      <c r="AH99" s="569"/>
      <c r="GW99" s="581"/>
      <c r="HL99" s="567"/>
    </row>
    <row r="100" spans="1:222" ht="12" customHeight="1">
      <c r="C100" s="6" t="s">
        <v>571</v>
      </c>
      <c r="D100" s="1"/>
      <c r="E100" s="1"/>
      <c r="F100" s="1"/>
      <c r="G100" s="1"/>
      <c r="H100" s="193">
        <f>SUM(H98:H99)</f>
        <v>0</v>
      </c>
      <c r="I100" s="193">
        <f>SUM(I98:I99)</f>
        <v>16888</v>
      </c>
      <c r="J100" s="193">
        <f>SUM(J98:J99)</f>
        <v>54544</v>
      </c>
      <c r="K100" s="193">
        <f>SUM(K98:K99)</f>
        <v>61044</v>
      </c>
      <c r="L100" s="193">
        <f>SUM(L98:L99)</f>
        <v>0</v>
      </c>
      <c r="M100" s="193">
        <f t="shared" si="216"/>
        <v>132476</v>
      </c>
      <c r="O100" s="96"/>
      <c r="Q100" s="500">
        <f t="shared" si="217"/>
        <v>132476</v>
      </c>
      <c r="R100" s="500"/>
      <c r="S100" s="500"/>
      <c r="T100" s="1833"/>
      <c r="U100" s="1834"/>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791</v>
      </c>
      <c r="B102" s="16" t="s">
        <v>236</v>
      </c>
      <c r="P102" s="9"/>
      <c r="Q102" s="501"/>
      <c r="R102" s="501"/>
      <c r="S102" s="501"/>
      <c r="T102" s="16" t="s">
        <v>1973</v>
      </c>
      <c r="FY102" s="567"/>
      <c r="GP102" s="576"/>
      <c r="GV102" s="567"/>
      <c r="GW102" s="581"/>
      <c r="HL102" s="567"/>
      <c r="HN102" s="581"/>
    </row>
    <row r="103" spans="1:222" ht="9" customHeight="1">
      <c r="P103" s="501"/>
    </row>
    <row r="104" spans="1:222" ht="12.6" customHeight="1">
      <c r="B104" s="16" t="s">
        <v>1077</v>
      </c>
      <c r="D104" s="127"/>
      <c r="H104" s="1990">
        <f>'Part VII-Pro Forma'!B9*L49</f>
        <v>15750</v>
      </c>
      <c r="I104" s="1991"/>
      <c r="K104" s="642" t="s">
        <v>3012</v>
      </c>
      <c r="O104" s="602">
        <f>H104/L49</f>
        <v>0.02</v>
      </c>
      <c r="P104" s="459"/>
      <c r="T104" s="5" t="str">
        <f>B104</f>
        <v>Ancillary Income</v>
      </c>
    </row>
    <row r="105" spans="1:222" ht="15" customHeight="1">
      <c r="B105" s="16"/>
      <c r="D105" s="127"/>
      <c r="E105" s="161"/>
      <c r="I105" s="125"/>
      <c r="P105" s="459"/>
    </row>
    <row r="106" spans="1:222" ht="13.9" customHeight="1">
      <c r="B106" s="16" t="s">
        <v>1540</v>
      </c>
      <c r="I106" s="16"/>
      <c r="K106" s="41"/>
      <c r="T106" s="5" t="str">
        <f>B106</f>
        <v>Other Income (OI) by Year:</v>
      </c>
    </row>
    <row r="107" spans="1:222" ht="15" customHeight="1">
      <c r="B107" s="16"/>
      <c r="I107" s="16"/>
      <c r="K107" s="41"/>
    </row>
    <row r="108" spans="1:222" ht="13.9" customHeight="1">
      <c r="B108" s="454" t="s">
        <v>2433</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1078</v>
      </c>
      <c r="G109" s="1367"/>
      <c r="H109" s="1367"/>
      <c r="I109" s="1367"/>
      <c r="J109" s="1367"/>
      <c r="K109" s="1368"/>
      <c r="L109" s="1367"/>
      <c r="M109" s="1367"/>
      <c r="N109" s="1367"/>
      <c r="O109" s="1367"/>
      <c r="P109" s="1367"/>
      <c r="T109" s="1829"/>
      <c r="U109" s="1830"/>
    </row>
    <row r="110" spans="1:222" ht="15" customHeight="1">
      <c r="B110" s="9" t="s">
        <v>790</v>
      </c>
      <c r="C110" s="1977"/>
      <c r="D110" s="1978"/>
      <c r="E110" s="1978"/>
      <c r="F110" s="1979"/>
      <c r="G110" s="1369"/>
      <c r="H110" s="1369"/>
      <c r="I110" s="1369"/>
      <c r="J110" s="1369"/>
      <c r="K110" s="1370"/>
      <c r="L110" s="1369"/>
      <c r="M110" s="1369"/>
      <c r="N110" s="1369"/>
      <c r="O110" s="1369"/>
      <c r="P110" s="1369"/>
      <c r="T110" s="1831"/>
      <c r="U110" s="1832"/>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33"/>
      <c r="U111" s="1834"/>
    </row>
    <row r="112" spans="1:222" ht="6.6" customHeight="1">
      <c r="C112" s="104"/>
      <c r="G112" s="25"/>
      <c r="H112" s="25"/>
      <c r="I112" s="25"/>
      <c r="J112" s="25"/>
      <c r="K112" s="25"/>
      <c r="L112" s="25"/>
      <c r="M112" s="25"/>
      <c r="N112" s="25"/>
      <c r="O112" s="25"/>
      <c r="P112" s="25"/>
    </row>
    <row r="113" spans="2:21" ht="15.6" customHeight="1">
      <c r="B113" s="455" t="s">
        <v>683</v>
      </c>
      <c r="G113" s="42"/>
      <c r="P113" s="9"/>
      <c r="T113" s="111" t="str">
        <f>B113</f>
        <v>NOT Included in Mgt Fee:</v>
      </c>
    </row>
    <row r="114" spans="2:21" ht="15" customHeight="1">
      <c r="B114" s="9" t="s">
        <v>565</v>
      </c>
      <c r="G114" s="1367"/>
      <c r="H114" s="1367"/>
      <c r="I114" s="1367"/>
      <c r="J114" s="1367"/>
      <c r="K114" s="1368"/>
      <c r="L114" s="1367"/>
      <c r="M114" s="1367"/>
      <c r="N114" s="1367"/>
      <c r="O114" s="1367"/>
      <c r="P114" s="1367"/>
      <c r="T114" s="1831"/>
      <c r="U114" s="1832"/>
    </row>
    <row r="115" spans="2:21" ht="15" customHeight="1">
      <c r="B115" s="9" t="s">
        <v>790</v>
      </c>
      <c r="C115" s="1977"/>
      <c r="D115" s="1978"/>
      <c r="E115" s="1978"/>
      <c r="F115" s="1979"/>
      <c r="G115" s="1369"/>
      <c r="H115" s="1369"/>
      <c r="I115" s="1369"/>
      <c r="J115" s="1369"/>
      <c r="K115" s="1370"/>
      <c r="L115" s="1369"/>
      <c r="M115" s="1369"/>
      <c r="N115" s="1369"/>
      <c r="O115" s="1369"/>
      <c r="P115" s="1369"/>
      <c r="T115" s="1831"/>
      <c r="U115" s="1832"/>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33"/>
      <c r="U116" s="1834"/>
    </row>
    <row r="117" spans="2:21" ht="42.6" customHeight="1">
      <c r="B117" s="16"/>
      <c r="G117" s="42"/>
      <c r="P117" s="9"/>
      <c r="T117" s="205" t="s">
        <v>2804</v>
      </c>
    </row>
    <row r="118" spans="2:21" ht="13.9" customHeight="1">
      <c r="B118" s="454" t="s">
        <v>2433</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1078</v>
      </c>
      <c r="G119" s="1367"/>
      <c r="H119" s="1367"/>
      <c r="I119" s="1367"/>
      <c r="J119" s="1367"/>
      <c r="K119" s="1368"/>
      <c r="L119" s="1367"/>
      <c r="M119" s="1367"/>
      <c r="N119" s="1367"/>
      <c r="O119" s="1367"/>
      <c r="P119" s="1367"/>
      <c r="T119" s="1829"/>
      <c r="U119" s="1830"/>
    </row>
    <row r="120" spans="2:21" ht="15" customHeight="1">
      <c r="B120" s="9" t="s">
        <v>790</v>
      </c>
      <c r="C120" s="1977"/>
      <c r="D120" s="1978"/>
      <c r="E120" s="1978"/>
      <c r="F120" s="1979"/>
      <c r="G120" s="1369"/>
      <c r="H120" s="1369"/>
      <c r="I120" s="1369"/>
      <c r="J120" s="1369"/>
      <c r="K120" s="1370"/>
      <c r="L120" s="1369"/>
      <c r="M120" s="1369"/>
      <c r="N120" s="1369"/>
      <c r="O120" s="1369"/>
      <c r="P120" s="1369"/>
      <c r="T120" s="1831"/>
      <c r="U120" s="1832"/>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833"/>
      <c r="U121" s="1834"/>
    </row>
    <row r="122" spans="2:21" ht="6.6" customHeight="1">
      <c r="C122" s="104"/>
      <c r="G122" s="25"/>
      <c r="H122" s="25"/>
      <c r="I122" s="25"/>
      <c r="J122" s="25"/>
      <c r="K122" s="25"/>
      <c r="L122" s="25"/>
      <c r="M122" s="25"/>
      <c r="N122" s="25"/>
      <c r="O122" s="25"/>
      <c r="P122" s="25"/>
    </row>
    <row r="123" spans="2:21" ht="15.6" customHeight="1">
      <c r="B123" s="455" t="s">
        <v>683</v>
      </c>
      <c r="G123" s="42"/>
      <c r="P123" s="9"/>
      <c r="T123" s="111" t="str">
        <f>B123</f>
        <v>NOT Included in Mgt Fee:</v>
      </c>
    </row>
    <row r="124" spans="2:21" ht="15" customHeight="1">
      <c r="B124" s="9" t="s">
        <v>565</v>
      </c>
      <c r="G124" s="1367"/>
      <c r="H124" s="1367"/>
      <c r="I124" s="1367"/>
      <c r="J124" s="1367"/>
      <c r="K124" s="1368"/>
      <c r="L124" s="1367"/>
      <c r="M124" s="1367"/>
      <c r="N124" s="1367"/>
      <c r="O124" s="1367"/>
      <c r="P124" s="1367"/>
      <c r="T124" s="1831"/>
      <c r="U124" s="1832"/>
    </row>
    <row r="125" spans="2:21" ht="15" customHeight="1">
      <c r="B125" s="9" t="s">
        <v>790</v>
      </c>
      <c r="C125" s="1977"/>
      <c r="D125" s="1978"/>
      <c r="E125" s="1978"/>
      <c r="F125" s="1979"/>
      <c r="G125" s="1369"/>
      <c r="H125" s="1369"/>
      <c r="I125" s="1369"/>
      <c r="J125" s="1369"/>
      <c r="K125" s="1370"/>
      <c r="L125" s="1369"/>
      <c r="M125" s="1369"/>
      <c r="N125" s="1369"/>
      <c r="O125" s="1369"/>
      <c r="P125" s="1369"/>
      <c r="T125" s="1831"/>
      <c r="U125" s="1832"/>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33"/>
      <c r="U126" s="1834"/>
    </row>
    <row r="127" spans="2:21" ht="42.6" customHeight="1">
      <c r="B127" s="16"/>
      <c r="G127" s="42"/>
      <c r="P127" s="9"/>
      <c r="T127" s="205" t="s">
        <v>2805</v>
      </c>
    </row>
    <row r="128" spans="2:21" ht="13.9" customHeight="1">
      <c r="B128" s="454" t="s">
        <v>2433</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1078</v>
      </c>
      <c r="G129" s="1367"/>
      <c r="H129" s="1367"/>
      <c r="I129" s="1367"/>
      <c r="J129" s="1367"/>
      <c r="K129" s="1368"/>
      <c r="L129" s="1367"/>
      <c r="M129" s="1367"/>
      <c r="N129" s="1367"/>
      <c r="O129" s="1367"/>
      <c r="P129" s="1367"/>
      <c r="T129" s="1829"/>
      <c r="U129" s="1830"/>
    </row>
    <row r="130" spans="1:255" ht="15" customHeight="1">
      <c r="B130" s="9" t="s">
        <v>790</v>
      </c>
      <c r="C130" s="1977"/>
      <c r="D130" s="1978"/>
      <c r="E130" s="1978"/>
      <c r="F130" s="1979"/>
      <c r="G130" s="1369"/>
      <c r="H130" s="1369"/>
      <c r="I130" s="1369"/>
      <c r="J130" s="1369"/>
      <c r="K130" s="1370"/>
      <c r="L130" s="1369"/>
      <c r="M130" s="1369"/>
      <c r="N130" s="1369"/>
      <c r="O130" s="1369"/>
      <c r="P130" s="1369"/>
      <c r="T130" s="1831"/>
      <c r="U130" s="1832"/>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833"/>
      <c r="U131" s="1834"/>
    </row>
    <row r="132" spans="1:255" ht="6.6" customHeight="1">
      <c r="C132" s="104"/>
      <c r="G132" s="25"/>
      <c r="H132" s="25"/>
      <c r="I132" s="25"/>
      <c r="J132" s="25"/>
      <c r="K132" s="25"/>
      <c r="L132" s="25"/>
      <c r="M132" s="25"/>
      <c r="N132" s="25"/>
      <c r="O132" s="25"/>
      <c r="P132" s="25"/>
    </row>
    <row r="133" spans="1:255" ht="15" customHeight="1">
      <c r="B133" s="455" t="s">
        <v>683</v>
      </c>
      <c r="G133" s="42"/>
      <c r="P133" s="9"/>
      <c r="T133" s="111" t="str">
        <f>B133</f>
        <v>NOT Included in Mgt Fee:</v>
      </c>
    </row>
    <row r="134" spans="1:255" ht="15" customHeight="1">
      <c r="B134" s="9" t="s">
        <v>565</v>
      </c>
      <c r="G134" s="1367"/>
      <c r="H134" s="1367"/>
      <c r="I134" s="1367"/>
      <c r="J134" s="1367"/>
      <c r="K134" s="1368"/>
      <c r="L134" s="1367"/>
      <c r="M134" s="1367"/>
      <c r="N134" s="1367"/>
      <c r="O134" s="1367"/>
      <c r="P134" s="1367"/>
      <c r="T134" s="1831"/>
      <c r="U134" s="1832"/>
    </row>
    <row r="135" spans="1:255" ht="15" customHeight="1">
      <c r="B135" s="9" t="s">
        <v>790</v>
      </c>
      <c r="C135" s="1977"/>
      <c r="D135" s="1978"/>
      <c r="E135" s="1978"/>
      <c r="F135" s="1979"/>
      <c r="G135" s="1369"/>
      <c r="H135" s="1369"/>
      <c r="I135" s="1369"/>
      <c r="J135" s="1369"/>
      <c r="K135" s="1370"/>
      <c r="L135" s="1369"/>
      <c r="M135" s="1369"/>
      <c r="N135" s="1369"/>
      <c r="O135" s="1369"/>
      <c r="P135" s="1369"/>
      <c r="T135" s="1831"/>
      <c r="U135" s="1832"/>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33"/>
      <c r="U136" s="1834"/>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93" t="s">
        <v>1973</v>
      </c>
      <c r="U139" s="1993"/>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829"/>
      <c r="U140" s="1830"/>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1955">
        <v>65000</v>
      </c>
      <c r="G141" s="1956"/>
      <c r="H141" s="1"/>
      <c r="I141" s="1" t="s">
        <v>1464</v>
      </c>
      <c r="J141" s="1"/>
      <c r="K141" s="1955"/>
      <c r="L141" s="1956"/>
      <c r="M141" s="1"/>
      <c r="N141" s="1" t="s">
        <v>984</v>
      </c>
      <c r="O141" s="1"/>
      <c r="P141" s="1371">
        <v>61415</v>
      </c>
      <c r="T141" s="1831"/>
      <c r="U141" s="1832"/>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955">
        <v>45000</v>
      </c>
      <c r="G142" s="1956"/>
      <c r="H142" s="1"/>
      <c r="I142" s="1" t="s">
        <v>1465</v>
      </c>
      <c r="J142" s="1"/>
      <c r="K142" s="1955"/>
      <c r="L142" s="1956"/>
      <c r="M142" s="1"/>
      <c r="N142" s="1" t="s">
        <v>153</v>
      </c>
      <c r="O142" s="1"/>
      <c r="P142" s="1371">
        <v>40446</v>
      </c>
      <c r="T142" s="1831"/>
      <c r="U142" s="1832"/>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955">
        <v>19800</v>
      </c>
      <c r="G143" s="1956"/>
      <c r="H143" s="1"/>
      <c r="I143" s="1"/>
      <c r="J143" s="146" t="s">
        <v>199</v>
      </c>
      <c r="K143" s="1971">
        <f>SUM(K141:L142)</f>
        <v>0</v>
      </c>
      <c r="L143" s="1972"/>
      <c r="M143" s="1"/>
      <c r="N143" s="1967" t="s">
        <v>54</v>
      </c>
      <c r="O143" s="1968"/>
      <c r="P143" s="1372"/>
      <c r="T143" s="1831"/>
      <c r="U143" s="1832"/>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52" t="s">
        <v>54</v>
      </c>
      <c r="C144" s="1953"/>
      <c r="D144" s="1953"/>
      <c r="E144" s="1954"/>
      <c r="F144" s="1959"/>
      <c r="G144" s="1960"/>
      <c r="H144" s="1"/>
      <c r="I144" s="1"/>
      <c r="J144" s="1"/>
      <c r="K144" s="1"/>
      <c r="L144" s="1"/>
      <c r="M144" s="1"/>
      <c r="N144" s="13" t="s">
        <v>199</v>
      </c>
      <c r="O144" s="1"/>
      <c r="P144" s="497">
        <f>SUM(P141:P143)</f>
        <v>101861</v>
      </c>
      <c r="T144" s="1831"/>
      <c r="U144" s="1832"/>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71">
        <f>SUM(F141:G144)</f>
        <v>129800</v>
      </c>
      <c r="G145" s="1972"/>
      <c r="H145" s="1"/>
      <c r="I145" s="1"/>
      <c r="J145" s="14"/>
      <c r="K145" s="1"/>
      <c r="L145" s="1"/>
      <c r="M145" s="1"/>
      <c r="N145" s="1"/>
      <c r="O145" s="1"/>
      <c r="P145" s="1"/>
      <c r="T145" s="1831"/>
      <c r="U145" s="1832"/>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31"/>
      <c r="U146" s="1832"/>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6">
        <f>IF(OR('Part VII-Pro Forma'!$B$20 = "Choose Mgt Fee",'Part VII-Pro Forma'!$B$20 = "Choose One!"), 0,- 'Part VII-Pro Forma'!$B$20)</f>
        <v>37371</v>
      </c>
      <c r="T147" s="1831"/>
      <c r="U147" s="1832"/>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955">
        <v>10000</v>
      </c>
      <c r="G148" s="1956"/>
      <c r="H148" s="1"/>
      <c r="I148" s="1" t="s">
        <v>1710</v>
      </c>
      <c r="J148" s="1"/>
      <c r="K148" s="1965">
        <v>8737</v>
      </c>
      <c r="L148" s="1966"/>
      <c r="M148" s="1"/>
      <c r="N148" s="480">
        <f>+P147/(M62*0.93)</f>
        <v>313.93649193548384</v>
      </c>
      <c r="O148" s="30" t="s">
        <v>3137</v>
      </c>
      <c r="P148" s="1"/>
      <c r="T148" s="1831"/>
      <c r="U148" s="1832"/>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955">
        <v>10000</v>
      </c>
      <c r="G149" s="1956"/>
      <c r="H149" s="1"/>
      <c r="I149" s="1" t="s">
        <v>2186</v>
      </c>
      <c r="J149" s="1"/>
      <c r="K149" s="1963">
        <v>11500</v>
      </c>
      <c r="L149" s="1964"/>
      <c r="M149" s="1"/>
      <c r="N149" s="480">
        <f>+P147/(M62*0.93)/12</f>
        <v>26.161374327956988</v>
      </c>
      <c r="O149" s="30" t="s">
        <v>3139</v>
      </c>
      <c r="P149" s="1"/>
      <c r="T149" s="1831"/>
      <c r="U149" s="1832"/>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955">
        <v>3500</v>
      </c>
      <c r="G150" s="1956"/>
      <c r="H150" s="1"/>
      <c r="I150" s="1" t="s">
        <v>1711</v>
      </c>
      <c r="J150" s="1"/>
      <c r="K150" s="1963">
        <v>15000</v>
      </c>
      <c r="L150" s="1964"/>
      <c r="M150" s="1"/>
      <c r="N150" s="1"/>
      <c r="O150" s="1"/>
      <c r="P150" s="1"/>
      <c r="T150" s="1831"/>
      <c r="U150" s="1832"/>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1955"/>
      <c r="G151" s="1956"/>
      <c r="H151" s="1"/>
      <c r="I151" s="1967" t="s">
        <v>54</v>
      </c>
      <c r="J151" s="1968"/>
      <c r="K151" s="1965"/>
      <c r="L151" s="1966"/>
      <c r="M151" s="1"/>
      <c r="N151" s="1950" t="s">
        <v>2627</v>
      </c>
      <c r="O151" s="1951"/>
      <c r="P151" s="1951"/>
      <c r="T151" s="1831"/>
      <c r="U151" s="1832"/>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55"/>
      <c r="G152" s="1956"/>
      <c r="H152" s="1"/>
      <c r="I152" s="11"/>
      <c r="J152" s="13" t="s">
        <v>199</v>
      </c>
      <c r="K152" s="1961">
        <f>SUM(K148:K151)</f>
        <v>35237</v>
      </c>
      <c r="L152" s="1962"/>
      <c r="M152" s="1"/>
      <c r="N152" s="1951"/>
      <c r="O152" s="1951"/>
      <c r="P152" s="1951"/>
      <c r="T152" s="1833"/>
      <c r="U152" s="1834"/>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52" t="s">
        <v>3755</v>
      </c>
      <c r="C153" s="1953"/>
      <c r="D153" s="1953"/>
      <c r="E153" s="1954"/>
      <c r="F153" s="1959">
        <v>3500</v>
      </c>
      <c r="G153" s="1960"/>
      <c r="H153" s="1"/>
      <c r="I153" s="1"/>
      <c r="J153" s="14"/>
      <c r="K153" s="1"/>
      <c r="L153" s="1"/>
      <c r="M153" s="1"/>
      <c r="N153" s="1"/>
      <c r="O153" s="1"/>
      <c r="P153" s="1"/>
      <c r="T153" s="1829"/>
      <c r="U153" s="1830"/>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71">
        <f>SUM(F148:G153)</f>
        <v>27000</v>
      </c>
      <c r="G154" s="1972"/>
      <c r="H154" s="1"/>
      <c r="I154" s="1"/>
      <c r="J154" s="14"/>
      <c r="K154" s="1"/>
      <c r="L154" s="1"/>
      <c r="M154" s="1"/>
      <c r="N154" s="1"/>
      <c r="O154" s="1"/>
      <c r="P154" s="1"/>
      <c r="T154" s="1831"/>
      <c r="U154" s="1832"/>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31"/>
      <c r="U155" s="1832"/>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50" t="s">
        <v>3136</v>
      </c>
      <c r="K156" s="1"/>
      <c r="L156" s="1"/>
      <c r="M156" s="1"/>
      <c r="N156" s="11" t="s">
        <v>2325</v>
      </c>
      <c r="O156" s="6"/>
      <c r="P156" s="6"/>
      <c r="T156" s="1831"/>
      <c r="U156" s="1832"/>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69">
        <v>4850</v>
      </c>
      <c r="G157" s="1970"/>
      <c r="H157" s="1"/>
      <c r="I157" s="1" t="s">
        <v>1454</v>
      </c>
      <c r="J157" s="660">
        <f>K157/12/M62</f>
        <v>10.7421875</v>
      </c>
      <c r="K157" s="1963">
        <v>16500</v>
      </c>
      <c r="L157" s="1964"/>
      <c r="M157" s="1"/>
      <c r="N157" s="480">
        <f>+P157/M62</f>
        <v>4000.3046875</v>
      </c>
      <c r="O157" s="30" t="s">
        <v>3140</v>
      </c>
      <c r="P157" s="495">
        <f>F145+F154+F165+K143+K152+K162+P144+P147</f>
        <v>512039</v>
      </c>
      <c r="T157" s="1831"/>
      <c r="U157" s="1832"/>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69">
        <v>15000</v>
      </c>
      <c r="G158" s="1970"/>
      <c r="H158" s="1"/>
      <c r="I158" s="1" t="s">
        <v>1455</v>
      </c>
      <c r="J158" s="660">
        <f>K158/12/M62</f>
        <v>0</v>
      </c>
      <c r="K158" s="1963"/>
      <c r="L158" s="1964"/>
      <c r="M158" s="1"/>
      <c r="N158" s="1"/>
      <c r="O158" s="1"/>
      <c r="P158" s="1"/>
      <c r="T158" s="1831"/>
      <c r="U158" s="1832"/>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69">
        <v>15200</v>
      </c>
      <c r="G159" s="1970"/>
      <c r="H159" s="1"/>
      <c r="I159" s="1" t="s">
        <v>2504</v>
      </c>
      <c r="J159" s="660">
        <f>K159/12/M62</f>
        <v>52.083333333333336</v>
      </c>
      <c r="K159" s="1963">
        <v>80000</v>
      </c>
      <c r="L159" s="1964"/>
      <c r="M159" s="1"/>
      <c r="N159" s="1"/>
      <c r="O159" s="1"/>
      <c r="P159" s="1"/>
      <c r="T159" s="1831"/>
      <c r="U159" s="1832"/>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955">
        <v>5000</v>
      </c>
      <c r="G160" s="1956"/>
      <c r="H160" s="1"/>
      <c r="I160" s="1" t="s">
        <v>1457</v>
      </c>
      <c r="J160" s="1"/>
      <c r="K160" s="1963">
        <v>19220</v>
      </c>
      <c r="L160" s="1964"/>
      <c r="M160" s="1"/>
      <c r="N160" s="11" t="s">
        <v>1321</v>
      </c>
      <c r="O160" s="11"/>
      <c r="P160" s="496">
        <f>P161*M62</f>
        <v>44800</v>
      </c>
      <c r="T160" s="1831"/>
      <c r="U160" s="1832"/>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955">
        <v>10000</v>
      </c>
      <c r="G161" s="1956"/>
      <c r="H161" s="1"/>
      <c r="I161" s="1967" t="s">
        <v>54</v>
      </c>
      <c r="J161" s="1968"/>
      <c r="K161" s="1965"/>
      <c r="L161" s="1966"/>
      <c r="M161" s="1"/>
      <c r="N161" s="30" t="s">
        <v>489</v>
      </c>
      <c r="O161" s="1"/>
      <c r="P161" s="1373">
        <v>350</v>
      </c>
      <c r="T161" s="1831"/>
      <c r="U161" s="1832"/>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955"/>
      <c r="G162" s="1956"/>
      <c r="H162" s="1"/>
      <c r="I162" s="1"/>
      <c r="J162" s="13" t="s">
        <v>199</v>
      </c>
      <c r="K162" s="1961">
        <f>SUM(K157:K161)</f>
        <v>115720</v>
      </c>
      <c r="L162" s="1962"/>
      <c r="M162" s="1"/>
      <c r="N162" s="1"/>
      <c r="O162" s="1"/>
      <c r="T162" s="1831"/>
      <c r="U162" s="1832"/>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955">
        <v>15000</v>
      </c>
      <c r="G163" s="1956"/>
      <c r="H163" s="1"/>
      <c r="I163" s="1"/>
      <c r="J163" s="14"/>
      <c r="K163" s="1"/>
      <c r="L163" s="1"/>
      <c r="M163" s="1"/>
      <c r="N163" s="1"/>
      <c r="O163" s="1"/>
      <c r="T163" s="1831"/>
      <c r="U163" s="1832"/>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52" t="s">
        <v>54</v>
      </c>
      <c r="C164" s="1953"/>
      <c r="D164" s="1953"/>
      <c r="E164" s="1954"/>
      <c r="F164" s="1959"/>
      <c r="G164" s="1960"/>
      <c r="H164" s="1"/>
      <c r="I164" s="1"/>
      <c r="J164" s="14"/>
      <c r="K164" s="1"/>
      <c r="L164" s="1"/>
      <c r="M164" s="1"/>
      <c r="N164" s="11" t="s">
        <v>2326</v>
      </c>
      <c r="O164" s="11"/>
      <c r="P164" s="11"/>
      <c r="T164" s="1831"/>
      <c r="U164" s="1832"/>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57">
        <f>SUM(F157:G164)</f>
        <v>65050</v>
      </c>
      <c r="G165" s="1958"/>
      <c r="H165" s="1"/>
      <c r="I165" s="1"/>
      <c r="J165" s="14"/>
      <c r="K165" s="1"/>
      <c r="L165" s="1"/>
      <c r="M165" s="1"/>
      <c r="N165" s="1"/>
      <c r="O165" s="1"/>
      <c r="P165" s="495">
        <f>P157+P160</f>
        <v>556839</v>
      </c>
      <c r="T165" s="1833"/>
      <c r="U165" s="1834"/>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45.5" customHeight="1">
      <c r="A168" s="1551" t="s">
        <v>3845</v>
      </c>
      <c r="B168" s="1552"/>
      <c r="C168" s="1552"/>
      <c r="D168" s="1552"/>
      <c r="E168" s="1552"/>
      <c r="F168" s="1552"/>
      <c r="G168" s="1552"/>
      <c r="H168" s="1552"/>
      <c r="I168" s="1552"/>
      <c r="J168" s="1553"/>
      <c r="K168" s="1554"/>
      <c r="L168" s="1555"/>
      <c r="M168" s="1555"/>
      <c r="N168" s="1555"/>
      <c r="O168" s="1555"/>
      <c r="P168" s="1556"/>
      <c r="T168" s="1792" t="s">
        <v>2923</v>
      </c>
      <c r="U168" s="1792"/>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7" type="noConversion"/>
  <conditionalFormatting sqref="Q83:S100 Q56:S80">
    <cfRule type="cellIs" dxfId="15" priority="6" stopIfTrue="1" operator="greaterThan">
      <formula>0</formula>
    </cfRule>
  </conditionalFormatting>
  <conditionalFormatting sqref="A10:A47">
    <cfRule type="cellIs" dxfId="14" priority="7" stopIfTrue="1" operator="equal">
      <formula>1</formula>
    </cfRule>
  </conditionalFormatting>
  <conditionalFormatting sqref="O104">
    <cfRule type="cellIs" dxfId="13" priority="3" operator="greaterThan">
      <formula>0.02</formula>
    </cfRule>
  </conditionalFormatting>
  <conditionalFormatting sqref="I16">
    <cfRule type="expression" priority="2" stopIfTrue="1">
      <formula>AND($B16="PHA", $H16&gt;0)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19" zoomScaleNormal="100" workbookViewId="0">
      <selection activeCell="A19"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2001" t="str">
        <f>CONCATENATE("PART SEVEN - OPERATING PRO FORMA","  -  ",'Part I-Project Information'!$O$4," ",'Part I-Project Information'!$F$23,", ",'Part I-Project Information'!F27,", ",'Part I-Project Information'!J28," County")</f>
        <v>PART SEVEN - OPERATING PRO FORMA  -  2014-006 North Grove Apartments, Athens, Clarke County</v>
      </c>
      <c r="B1" s="2002"/>
      <c r="C1" s="2002"/>
      <c r="D1" s="2002"/>
      <c r="E1" s="2002"/>
      <c r="F1" s="2002"/>
      <c r="G1" s="2002"/>
      <c r="H1" s="2002"/>
      <c r="I1" s="2002"/>
      <c r="J1" s="2002"/>
      <c r="K1" s="1797"/>
      <c r="L1" s="11"/>
      <c r="M1" s="1999" t="str">
        <f>A1</f>
        <v>PART SEVEN - OPERATING PRO FORMA  -  2014-006 North Grove Apartments, Athens, Clarke County</v>
      </c>
      <c r="N1" s="1999"/>
      <c r="O1" s="11"/>
    </row>
    <row r="2" spans="1:15" ht="13.5" customHeight="1">
      <c r="A2" s="646"/>
      <c r="B2" s="646"/>
      <c r="C2" s="646"/>
      <c r="D2" s="646"/>
      <c r="E2" s="646"/>
      <c r="F2" s="646"/>
      <c r="G2" s="646"/>
      <c r="H2" s="646"/>
      <c r="I2" s="646"/>
      <c r="J2" s="646"/>
      <c r="K2" s="646"/>
      <c r="M2" s="2000" t="s">
        <v>1973</v>
      </c>
      <c r="N2" s="2000"/>
    </row>
    <row r="3" spans="1:15" ht="13.5">
      <c r="A3" s="16" t="s">
        <v>93</v>
      </c>
      <c r="D3" s="16" t="s">
        <v>83</v>
      </c>
      <c r="E3" s="264"/>
      <c r="F3" s="331"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1374">
        <v>5000</v>
      </c>
      <c r="H5" s="113" t="s">
        <v>2040</v>
      </c>
      <c r="K5" s="118">
        <f>IF(($B$14+$B$15+$B$16+$B$17)=0,"",B28/($B$14+$B$15+$B$16+$B$17))</f>
        <v>-6.6932388248011274E-3</v>
      </c>
      <c r="M5" s="1829"/>
      <c r="N5" s="1830"/>
    </row>
    <row r="6" spans="1:15">
      <c r="A6" s="19" t="s">
        <v>2328</v>
      </c>
      <c r="B6" s="91">
        <v>0.03</v>
      </c>
      <c r="C6" s="19"/>
      <c r="D6" s="19"/>
      <c r="E6" s="19"/>
      <c r="F6" s="19"/>
      <c r="G6" s="19"/>
      <c r="H6" s="19"/>
      <c r="I6" s="19"/>
      <c r="J6" s="19"/>
      <c r="K6" s="19"/>
      <c r="M6" s="1831"/>
      <c r="N6" s="1832"/>
    </row>
    <row r="7" spans="1:15">
      <c r="A7" s="19" t="s">
        <v>2330</v>
      </c>
      <c r="B7" s="91">
        <v>0.03</v>
      </c>
      <c r="C7" s="19"/>
      <c r="D7" s="93" t="s">
        <v>284</v>
      </c>
      <c r="G7" s="95"/>
      <c r="H7" s="113" t="s">
        <v>2529</v>
      </c>
      <c r="K7" s="118">
        <f>IF(($B$14+$B$15+$B$16+$B$17)=0,"",-B20/($B$14+$B$15+$B$16+$B$17))</f>
        <v>5.0026605624328584E-2</v>
      </c>
      <c r="M7" s="1831"/>
      <c r="N7" s="1832"/>
    </row>
    <row r="8" spans="1:15" ht="13.15" customHeight="1">
      <c r="A8" s="19" t="s">
        <v>2329</v>
      </c>
      <c r="B8" s="1375">
        <v>7.0000000000000007E-2</v>
      </c>
      <c r="C8" s="19"/>
      <c r="D8" s="92" t="s">
        <v>2676</v>
      </c>
      <c r="G8" s="1376" t="s">
        <v>3698</v>
      </c>
      <c r="H8" s="202" t="s">
        <v>1539</v>
      </c>
      <c r="K8" s="1377">
        <v>37371</v>
      </c>
      <c r="M8" s="1831"/>
      <c r="N8" s="1832"/>
    </row>
    <row r="9" spans="1:15">
      <c r="A9" s="19" t="s">
        <v>1509</v>
      </c>
      <c r="B9" s="91">
        <v>0.02</v>
      </c>
      <c r="D9" s="92" t="s">
        <v>1838</v>
      </c>
      <c r="G9" s="1376" t="s">
        <v>3699</v>
      </c>
      <c r="H9" s="202" t="s">
        <v>2509</v>
      </c>
      <c r="K9" s="1378">
        <v>0.05</v>
      </c>
      <c r="M9" s="1833"/>
      <c r="N9" s="1834"/>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71" t="s">
        <v>2806</v>
      </c>
      <c r="N13" s="1771"/>
    </row>
    <row r="14" spans="1:15" ht="13.15" customHeight="1">
      <c r="A14" s="21" t="s">
        <v>2564</v>
      </c>
      <c r="B14" s="22">
        <f>'Part VI-Revenues &amp; Expenses'!L49</f>
        <v>787500</v>
      </c>
      <c r="C14" s="22">
        <f t="shared" ref="C14:K14" si="1">$B$14*(1+$B$5)^(C13-1)</f>
        <v>803250</v>
      </c>
      <c r="D14" s="22">
        <f t="shared" si="1"/>
        <v>819315</v>
      </c>
      <c r="E14" s="22">
        <f t="shared" si="1"/>
        <v>835701.29999999993</v>
      </c>
      <c r="F14" s="22">
        <f t="shared" si="1"/>
        <v>852415.326</v>
      </c>
      <c r="G14" s="22">
        <f t="shared" si="1"/>
        <v>869463.63251999998</v>
      </c>
      <c r="H14" s="22">
        <f t="shared" si="1"/>
        <v>886852.90517040004</v>
      </c>
      <c r="I14" s="22">
        <f t="shared" si="1"/>
        <v>904589.96327380789</v>
      </c>
      <c r="J14" s="22">
        <f t="shared" si="1"/>
        <v>922681.76253928407</v>
      </c>
      <c r="K14" s="23">
        <f t="shared" si="1"/>
        <v>941135.39779006981</v>
      </c>
      <c r="M14" s="1829"/>
      <c r="N14" s="1830"/>
    </row>
    <row r="15" spans="1:15" ht="13.15" customHeight="1">
      <c r="A15" s="24" t="s">
        <v>1077</v>
      </c>
      <c r="B15" s="25">
        <f>MIN(B14*B9,'Part VI-Revenues &amp; Expenses'!H104)</f>
        <v>15750</v>
      </c>
      <c r="C15" s="25">
        <f t="shared" ref="C15:K15" si="2">$B$15*(1+$B$5)^(C13-1)</f>
        <v>16065</v>
      </c>
      <c r="D15" s="25">
        <f t="shared" si="2"/>
        <v>16386.3</v>
      </c>
      <c r="E15" s="25">
        <f t="shared" si="2"/>
        <v>16714.025999999998</v>
      </c>
      <c r="F15" s="25">
        <f t="shared" si="2"/>
        <v>17048.306519999998</v>
      </c>
      <c r="G15" s="25">
        <f t="shared" si="2"/>
        <v>17389.272650400002</v>
      </c>
      <c r="H15" s="25">
        <f t="shared" si="2"/>
        <v>17737.058103408002</v>
      </c>
      <c r="I15" s="25">
        <f t="shared" si="2"/>
        <v>18091.799265476158</v>
      </c>
      <c r="J15" s="25">
        <f t="shared" si="2"/>
        <v>18453.635250785683</v>
      </c>
      <c r="K15" s="26">
        <f t="shared" si="2"/>
        <v>18822.707955801397</v>
      </c>
      <c r="M15" s="1831"/>
      <c r="N15" s="1832"/>
    </row>
    <row r="16" spans="1:15" ht="13.15" customHeight="1">
      <c r="A16" s="24" t="s">
        <v>2565</v>
      </c>
      <c r="B16" s="25">
        <f t="shared" ref="B16:K16" si="3">-(B14+B15)*$B$8</f>
        <v>-56227.500000000007</v>
      </c>
      <c r="C16" s="25">
        <f t="shared" si="3"/>
        <v>-57352.05</v>
      </c>
      <c r="D16" s="25">
        <f t="shared" si="3"/>
        <v>-58499.091000000008</v>
      </c>
      <c r="E16" s="25">
        <f t="shared" si="3"/>
        <v>-59669.072820000001</v>
      </c>
      <c r="F16" s="25">
        <f t="shared" si="3"/>
        <v>-60862.454276400007</v>
      </c>
      <c r="G16" s="25">
        <f t="shared" si="3"/>
        <v>-62079.703361927997</v>
      </c>
      <c r="H16" s="25">
        <f t="shared" si="3"/>
        <v>-63321.297429166567</v>
      </c>
      <c r="I16" s="25">
        <f t="shared" si="3"/>
        <v>-64587.723377749891</v>
      </c>
      <c r="J16" s="25">
        <f t="shared" si="3"/>
        <v>-65879.477845304893</v>
      </c>
      <c r="K16" s="26">
        <f t="shared" si="3"/>
        <v>-67197.067402210989</v>
      </c>
      <c r="M16" s="1831"/>
      <c r="N16" s="1832"/>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831"/>
      <c r="N17" s="1832"/>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831"/>
      <c r="N18" s="1832"/>
    </row>
    <row r="19" spans="1:14" ht="13.15" customHeight="1">
      <c r="A19" s="24" t="s">
        <v>654</v>
      </c>
      <c r="B19" s="25">
        <f>-('Part VI-Revenues &amp; Expenses'!P157-'Part VI-Revenues &amp; Expenses'!P147)</f>
        <v>-474668</v>
      </c>
      <c r="C19" s="25">
        <f t="shared" ref="C19:K19" si="4">$B$19*(1+$B$6)^(C13-1)</f>
        <v>-488908.04000000004</v>
      </c>
      <c r="D19" s="25">
        <f t="shared" si="4"/>
        <v>-503575.28119999997</v>
      </c>
      <c r="E19" s="25">
        <f t="shared" si="4"/>
        <v>-518682.539636</v>
      </c>
      <c r="F19" s="25">
        <f t="shared" si="4"/>
        <v>-534243.01582507999</v>
      </c>
      <c r="G19" s="25">
        <f t="shared" si="4"/>
        <v>-550270.3062998323</v>
      </c>
      <c r="H19" s="25">
        <f t="shared" si="4"/>
        <v>-566778.41548882728</v>
      </c>
      <c r="I19" s="25">
        <f t="shared" si="4"/>
        <v>-583781.76795349224</v>
      </c>
      <c r="J19" s="25">
        <f t="shared" si="4"/>
        <v>-601295.22099209693</v>
      </c>
      <c r="K19" s="26">
        <f t="shared" si="4"/>
        <v>-619334.07762185985</v>
      </c>
      <c r="M19" s="1831"/>
      <c r="N19" s="1832"/>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-37371</v>
      </c>
      <c r="C20" s="25">
        <f>IF(AND('Part VII-Pro Forma'!$G$8="Yes",'Part VII-Pro Forma'!$G$9="Yes"),"Choose One!",IF('Part VII-Pro Forma'!$G$8="Yes",ROUND((-$K$8*(1+'Part VII-Pro Forma'!$B$6)^('Part VII-Pro Forma'!C13-1)),),IF('Part VII-Pro Forma'!$G$9="Yes",ROUND((-(SUM(C14:C17)*'Part VII-Pro Forma'!$K$9)),),"Choose mgt fee")))</f>
        <v>-38492</v>
      </c>
      <c r="D20" s="25">
        <f>IF(AND('Part VII-Pro Forma'!$G$8="Yes",'Part VII-Pro Forma'!$G$9="Yes"),"Choose One!",IF('Part VII-Pro Forma'!$G$8="Yes",ROUND((-$K$8*(1+'Part VII-Pro Forma'!$B$6)^('Part VII-Pro Forma'!D13-1)),),IF('Part VII-Pro Forma'!$G$9="Yes",ROUND((-(SUM(D14:D17)*'Part VII-Pro Forma'!$K$9)),),"Choose mgt fee")))</f>
        <v>-39647</v>
      </c>
      <c r="E20" s="25">
        <f>IF(AND('Part VII-Pro Forma'!$G$8="Yes",'Part VII-Pro Forma'!$G$9="Yes"),"Choose One!",IF('Part VII-Pro Forma'!$G$8="Yes",ROUND((-$K$8*(1+'Part VII-Pro Forma'!$B$6)^('Part VII-Pro Forma'!E13-1)),),IF('Part VII-Pro Forma'!$G$9="Yes",ROUND((-(SUM(E14:E17)*'Part VII-Pro Forma'!$K$9)),),"Choose mgt fee")))</f>
        <v>-40836</v>
      </c>
      <c r="F20" s="25">
        <f>IF(AND('Part VII-Pro Forma'!$G$8="Yes",'Part VII-Pro Forma'!$G$9="Yes"),"Choose One!",IF('Part VII-Pro Forma'!$G$8="Yes",ROUND((-$K$8*(1+'Part VII-Pro Forma'!$B$6)^('Part VII-Pro Forma'!F13-1)),),IF('Part VII-Pro Forma'!$G$9="Yes",ROUND((-(SUM(F14:F17)*'Part VII-Pro Forma'!$K$9)),),"Choose mgt fee")))</f>
        <v>-42061</v>
      </c>
      <c r="G20" s="25">
        <f>IF(AND('Part VII-Pro Forma'!$G$8="Yes",'Part VII-Pro Forma'!$G$9="Yes"),"Choose One!",IF('Part VII-Pro Forma'!$G$8="Yes",ROUND((-$K$8*(1+'Part VII-Pro Forma'!$B$6)^('Part VII-Pro Forma'!G13-1)),),IF('Part VII-Pro Forma'!$G$9="Yes",ROUND((-(SUM(G14:G17)*'Part VII-Pro Forma'!$K$9)),),"Choose mgt fee")))</f>
        <v>-43323</v>
      </c>
      <c r="H20" s="25">
        <f>IF(AND('Part VII-Pro Forma'!$G$8="Yes",'Part VII-Pro Forma'!$G$9="Yes"),"Choose One!",IF('Part VII-Pro Forma'!$G$8="Yes",ROUND((-$K$8*(1+'Part VII-Pro Forma'!$B$6)^('Part VII-Pro Forma'!H13-1)),),IF('Part VII-Pro Forma'!$G$9="Yes",ROUND((-(SUM(H14:H17)*'Part VII-Pro Forma'!$K$9)),),"Choose mgt fee")))</f>
        <v>-44623</v>
      </c>
      <c r="I20" s="25">
        <f>IF(AND('Part VII-Pro Forma'!$G$8="Yes",'Part VII-Pro Forma'!$G$9="Yes"),"Choose One!",IF('Part VII-Pro Forma'!$G$8="Yes",ROUND((-$K$8*(1+'Part VII-Pro Forma'!$B$6)^('Part VII-Pro Forma'!I13-1)),),IF('Part VII-Pro Forma'!$G$9="Yes",ROUND((-(SUM(I14:I17)*'Part VII-Pro Forma'!$K$9)),),"Choose mgt fee")))</f>
        <v>-45962</v>
      </c>
      <c r="J20" s="25">
        <f>IF(AND('Part VII-Pro Forma'!$G$8="Yes",'Part VII-Pro Forma'!$G$9="Yes"),"Choose One!",IF('Part VII-Pro Forma'!$G$8="Yes",ROUND((-$K$8*(1+'Part VII-Pro Forma'!$B$6)^('Part VII-Pro Forma'!J13-1)),),IF('Part VII-Pro Forma'!$G$9="Yes",ROUND((-(SUM(J14:J17)*'Part VII-Pro Forma'!$K$9)),),"Choose mgt fee")))</f>
        <v>-47340</v>
      </c>
      <c r="K20" s="25">
        <f>IF(AND('Part VII-Pro Forma'!$G$8="Yes",'Part VII-Pro Forma'!$G$9="Yes"),"Choose One!",IF('Part VII-Pro Forma'!$G$8="Yes",ROUND((-$K$8*(1+'Part VII-Pro Forma'!$B$6)^('Part VII-Pro Forma'!K13-1)),),IF('Part VII-Pro Forma'!$G$9="Yes",ROUND((-(SUM(K14:K17)*'Part VII-Pro Forma'!$K$9)),),"Choose mgt fee")))</f>
        <v>-48761</v>
      </c>
      <c r="M20" s="1831"/>
      <c r="N20" s="1832"/>
    </row>
    <row r="21" spans="1:14" ht="13.15" customHeight="1">
      <c r="A21" s="24" t="s">
        <v>1277</v>
      </c>
      <c r="B21" s="25">
        <f>-('Part VI-Revenues &amp; Expenses'!P160)</f>
        <v>-44800</v>
      </c>
      <c r="C21" s="25">
        <f t="shared" ref="C21:K21" si="5">$B$21*(1+$B$7)^(C13-1)</f>
        <v>-46144</v>
      </c>
      <c r="D21" s="25">
        <f t="shared" si="5"/>
        <v>-47528.32</v>
      </c>
      <c r="E21" s="25">
        <f t="shared" si="5"/>
        <v>-48954.169600000001</v>
      </c>
      <c r="F21" s="25">
        <f t="shared" si="5"/>
        <v>-50422.794687999994</v>
      </c>
      <c r="G21" s="25">
        <f t="shared" si="5"/>
        <v>-51935.478528639993</v>
      </c>
      <c r="H21" s="25">
        <f t="shared" si="5"/>
        <v>-53493.542884499198</v>
      </c>
      <c r="I21" s="25">
        <f t="shared" si="5"/>
        <v>-55098.349171034177</v>
      </c>
      <c r="J21" s="25">
        <f t="shared" si="5"/>
        <v>-56751.299646165193</v>
      </c>
      <c r="K21" s="26">
        <f t="shared" si="5"/>
        <v>-58453.83863555015</v>
      </c>
      <c r="M21" s="1831"/>
      <c r="N21" s="1832"/>
    </row>
    <row r="22" spans="1:14" ht="13.15" customHeight="1">
      <c r="A22" s="24" t="s">
        <v>1278</v>
      </c>
      <c r="B22" s="25">
        <f t="shared" ref="B22:K22" si="6">SUM(B14:B21)</f>
        <v>190183.5</v>
      </c>
      <c r="C22" s="25">
        <f t="shared" si="6"/>
        <v>188418.90999999992</v>
      </c>
      <c r="D22" s="25">
        <f t="shared" si="6"/>
        <v>186451.60780000006</v>
      </c>
      <c r="E22" s="25">
        <f t="shared" si="6"/>
        <v>184273.54394399989</v>
      </c>
      <c r="F22" s="25">
        <f t="shared" si="6"/>
        <v>181874.36773051997</v>
      </c>
      <c r="G22" s="25">
        <f t="shared" si="6"/>
        <v>179244.41697999963</v>
      </c>
      <c r="H22" s="25">
        <f t="shared" si="6"/>
        <v>176373.70747131493</v>
      </c>
      <c r="I22" s="25">
        <f t="shared" si="6"/>
        <v>173251.92203700775</v>
      </c>
      <c r="J22" s="25">
        <f t="shared" si="6"/>
        <v>169869.3993065028</v>
      </c>
      <c r="K22" s="26">
        <f t="shared" si="6"/>
        <v>166212.12208625019</v>
      </c>
      <c r="M22" s="1831"/>
      <c r="N22" s="1832"/>
    </row>
    <row r="23" spans="1:14" ht="13.15" customHeight="1">
      <c r="A23" s="523" t="s">
        <v>1698</v>
      </c>
      <c r="B23" s="1379">
        <f>IF('Part III-Sources of Funds'!$M$32="", 0,-'Part III-Sources of Funds'!$M$32)</f>
        <v>-114909.96667102081</v>
      </c>
      <c r="C23" s="1379">
        <f>IF('Part III-Sources of Funds'!$M$32="", 0,-'Part III-Sources of Funds'!$M$32)</f>
        <v>-114909.96667102081</v>
      </c>
      <c r="D23" s="1379">
        <f>IF('Part III-Sources of Funds'!$M$32="", 0,-'Part III-Sources of Funds'!$M$32)</f>
        <v>-114909.96667102081</v>
      </c>
      <c r="E23" s="1379">
        <f>IF('Part III-Sources of Funds'!$M$32="", 0,-'Part III-Sources of Funds'!$M$32)</f>
        <v>-114909.96667102081</v>
      </c>
      <c r="F23" s="1379">
        <f>IF('Part III-Sources of Funds'!$M$32="", 0,-'Part III-Sources of Funds'!$M$32)</f>
        <v>-114909.96667102081</v>
      </c>
      <c r="G23" s="1379">
        <f>IF('Part III-Sources of Funds'!$M$32="", 0,-'Part III-Sources of Funds'!$M$32)</f>
        <v>-114909.96667102081</v>
      </c>
      <c r="H23" s="1379">
        <f>IF('Part III-Sources of Funds'!$M$32="", 0,-'Part III-Sources of Funds'!$M$32)</f>
        <v>-114909.96667102081</v>
      </c>
      <c r="I23" s="1379">
        <f>IF('Part III-Sources of Funds'!$M$32="", 0,-'Part III-Sources of Funds'!$M$32)</f>
        <v>-114909.96667102081</v>
      </c>
      <c r="J23" s="1379">
        <f>IF('Part III-Sources of Funds'!$M$32="", 0,-'Part III-Sources of Funds'!$M$32)</f>
        <v>-114909.96667102081</v>
      </c>
      <c r="K23" s="1379">
        <f>IF('Part III-Sources of Funds'!$M$32="", 0,-'Part III-Sources of Funds'!$M$32)</f>
        <v>-114909.96667102081</v>
      </c>
      <c r="M23" s="1831"/>
      <c r="N23" s="1832"/>
    </row>
    <row r="24" spans="1:14" ht="13.15" customHeight="1">
      <c r="A24" s="523" t="s">
        <v>1699</v>
      </c>
      <c r="B24" s="1380">
        <f>IF('Part III-Sources of Funds'!$M$33="", 0,-'Part III-Sources of Funds'!$M$33)</f>
        <v>0</v>
      </c>
      <c r="C24" s="1380">
        <f>IF('Part III-Sources of Funds'!$M$33="", 0,-'Part III-Sources of Funds'!$M$33)</f>
        <v>0</v>
      </c>
      <c r="D24" s="1380">
        <f>IF('Part III-Sources of Funds'!$M$33="", 0,-'Part III-Sources of Funds'!$M$33)</f>
        <v>0</v>
      </c>
      <c r="E24" s="1380">
        <f>IF('Part III-Sources of Funds'!$M$33="", 0,-'Part III-Sources of Funds'!$M$33)</f>
        <v>0</v>
      </c>
      <c r="F24" s="1380">
        <f>IF('Part III-Sources of Funds'!$M$33="", 0,-'Part III-Sources of Funds'!$M$33)</f>
        <v>0</v>
      </c>
      <c r="G24" s="1380">
        <f>IF('Part III-Sources of Funds'!$M$33="", 0,-'Part III-Sources of Funds'!$M$33)</f>
        <v>0</v>
      </c>
      <c r="H24" s="1380">
        <f>IF('Part III-Sources of Funds'!$M$33="", 0,-'Part III-Sources of Funds'!$M$33)</f>
        <v>0</v>
      </c>
      <c r="I24" s="1380">
        <f>IF('Part III-Sources of Funds'!$M$33="", 0,-'Part III-Sources of Funds'!$M$33)</f>
        <v>0</v>
      </c>
      <c r="J24" s="1380">
        <f>IF('Part III-Sources of Funds'!$M$33="", 0,-'Part III-Sources of Funds'!$M$33)</f>
        <v>0</v>
      </c>
      <c r="K24" s="1380">
        <f>IF('Part III-Sources of Funds'!$M$33="", 0,-'Part III-Sources of Funds'!$M$33)</f>
        <v>0</v>
      </c>
      <c r="M24" s="1831"/>
      <c r="N24" s="1832"/>
    </row>
    <row r="25" spans="1:14" ht="13.15" customHeight="1">
      <c r="A25" s="523" t="s">
        <v>1700</v>
      </c>
      <c r="B25" s="1380">
        <f>IF('Part III-Sources of Funds'!$M$34="", 0,-'Part III-Sources of Funds'!$M$34)</f>
        <v>0</v>
      </c>
      <c r="C25" s="1380">
        <f>IF('Part III-Sources of Funds'!$M$34="", 0,-'Part III-Sources of Funds'!$M$34)</f>
        <v>0</v>
      </c>
      <c r="D25" s="1380">
        <f>IF('Part III-Sources of Funds'!$M$34="", 0,-'Part III-Sources of Funds'!$M$34)</f>
        <v>0</v>
      </c>
      <c r="E25" s="1380">
        <f>IF('Part III-Sources of Funds'!$M$34="", 0,-'Part III-Sources of Funds'!$M$34)</f>
        <v>0</v>
      </c>
      <c r="F25" s="1380">
        <f>IF('Part III-Sources of Funds'!$M$34="", 0,-'Part III-Sources of Funds'!$M$34)</f>
        <v>0</v>
      </c>
      <c r="G25" s="1380">
        <f>IF('Part III-Sources of Funds'!$M$34="", 0,-'Part III-Sources of Funds'!$M$34)</f>
        <v>0</v>
      </c>
      <c r="H25" s="1380">
        <f>IF('Part III-Sources of Funds'!$M$34="", 0,-'Part III-Sources of Funds'!$M$34)</f>
        <v>0</v>
      </c>
      <c r="I25" s="1380">
        <f>IF('Part III-Sources of Funds'!$M$34="", 0,-'Part III-Sources of Funds'!$M$34)</f>
        <v>0</v>
      </c>
      <c r="J25" s="1380">
        <f>IF('Part III-Sources of Funds'!$M$34="", 0,-'Part III-Sources of Funds'!$M$34)</f>
        <v>0</v>
      </c>
      <c r="K25" s="1380">
        <f>IF('Part III-Sources of Funds'!$M$34="", 0,-'Part III-Sources of Funds'!$M$34)</f>
        <v>0</v>
      </c>
      <c r="M25" s="1831"/>
      <c r="N25" s="1832"/>
    </row>
    <row r="26" spans="1:14" ht="13.15" customHeight="1">
      <c r="A26" s="24" t="s">
        <v>834</v>
      </c>
      <c r="B26" s="1380">
        <f>IF('Part III-Sources of Funds'!$M$35="", 0,-'Part III-Sources of Funds'!$M$35)</f>
        <v>0</v>
      </c>
      <c r="C26" s="1380">
        <f>IF('Part III-Sources of Funds'!$M$35="", 0,-'Part III-Sources of Funds'!$M$35)</f>
        <v>0</v>
      </c>
      <c r="D26" s="1380">
        <f>IF('Part III-Sources of Funds'!$M$35="", 0,-'Part III-Sources of Funds'!$M$35)</f>
        <v>0</v>
      </c>
      <c r="E26" s="1380">
        <f>IF('Part III-Sources of Funds'!$M$35="", 0,-'Part III-Sources of Funds'!$M$35)</f>
        <v>0</v>
      </c>
      <c r="F26" s="1380">
        <f>IF('Part III-Sources of Funds'!$M$35="", 0,-'Part III-Sources of Funds'!$M$35)</f>
        <v>0</v>
      </c>
      <c r="G26" s="1380">
        <f>IF('Part III-Sources of Funds'!$M$35="", 0,-'Part III-Sources of Funds'!$M$35)</f>
        <v>0</v>
      </c>
      <c r="H26" s="1380">
        <f>IF('Part III-Sources of Funds'!$M$35="", 0,-'Part III-Sources of Funds'!$M$35)</f>
        <v>0</v>
      </c>
      <c r="I26" s="1380">
        <f>IF('Part III-Sources of Funds'!$M$35="", 0,-'Part III-Sources of Funds'!$M$35)</f>
        <v>0</v>
      </c>
      <c r="J26" s="1380">
        <f>IF('Part III-Sources of Funds'!$M$35="", 0,-'Part III-Sources of Funds'!$M$35)</f>
        <v>0</v>
      </c>
      <c r="K26" s="1380">
        <f>IF('Part III-Sources of Funds'!$M$35="", 0,-'Part III-Sources of Funds'!$M$35)</f>
        <v>0</v>
      </c>
      <c r="M26" s="1831"/>
      <c r="N26" s="1832"/>
    </row>
    <row r="27" spans="1:14" ht="13.15" customHeight="1">
      <c r="A27" s="24" t="s">
        <v>813</v>
      </c>
      <c r="B27" s="1381"/>
      <c r="C27" s="1381"/>
      <c r="D27" s="1381"/>
      <c r="E27" s="1381"/>
      <c r="F27" s="1381"/>
      <c r="G27" s="1381"/>
      <c r="H27" s="1381"/>
      <c r="I27" s="1381"/>
      <c r="J27" s="1381"/>
      <c r="K27" s="1381"/>
      <c r="M27" s="1831"/>
      <c r="N27" s="1832"/>
    </row>
    <row r="28" spans="1:14" ht="13.15" customHeight="1">
      <c r="A28" s="24" t="s">
        <v>1233</v>
      </c>
      <c r="B28" s="1380">
        <f>-$G$5</f>
        <v>-5000</v>
      </c>
      <c r="C28" s="1380">
        <f t="shared" ref="C28:K28" si="7">+B28</f>
        <v>-5000</v>
      </c>
      <c r="D28" s="1380">
        <f t="shared" si="7"/>
        <v>-5000</v>
      </c>
      <c r="E28" s="1380">
        <f t="shared" si="7"/>
        <v>-5000</v>
      </c>
      <c r="F28" s="1380">
        <f t="shared" si="7"/>
        <v>-5000</v>
      </c>
      <c r="G28" s="1380">
        <f t="shared" si="7"/>
        <v>-5000</v>
      </c>
      <c r="H28" s="1380">
        <f t="shared" si="7"/>
        <v>-5000</v>
      </c>
      <c r="I28" s="1380">
        <f t="shared" si="7"/>
        <v>-5000</v>
      </c>
      <c r="J28" s="1380">
        <f t="shared" si="7"/>
        <v>-5000</v>
      </c>
      <c r="K28" s="1380">
        <f t="shared" si="7"/>
        <v>-5000</v>
      </c>
      <c r="M28" s="1831"/>
      <c r="N28" s="1832"/>
    </row>
    <row r="29" spans="1:14" ht="13.15" customHeight="1">
      <c r="A29" s="24" t="s">
        <v>1279</v>
      </c>
      <c r="B29" s="1382">
        <v>-59876</v>
      </c>
      <c r="C29" s="1382">
        <v>-59875</v>
      </c>
      <c r="D29" s="1382">
        <f>IF('Part III-Sources of Funds'!$M$37="", 0,-'Part III-Sources of Funds'!$M$37)</f>
        <v>0</v>
      </c>
      <c r="E29" s="1382">
        <f>IF('Part III-Sources of Funds'!$M$37="", 0,-'Part III-Sources of Funds'!$M$37)</f>
        <v>0</v>
      </c>
      <c r="F29" s="1382">
        <f>IF('Part III-Sources of Funds'!$M$37="", 0,-'Part III-Sources of Funds'!$M$37)</f>
        <v>0</v>
      </c>
      <c r="G29" s="1382">
        <f>IF('Part III-Sources of Funds'!$M$37="", 0,-'Part III-Sources of Funds'!$M$37)</f>
        <v>0</v>
      </c>
      <c r="H29" s="1382">
        <f>IF('Part III-Sources of Funds'!$M$37="", 0,-'Part III-Sources of Funds'!$M$37)</f>
        <v>0</v>
      </c>
      <c r="I29" s="1382">
        <f>IF('Part III-Sources of Funds'!$M$37="", 0,-'Part III-Sources of Funds'!$M$37)</f>
        <v>0</v>
      </c>
      <c r="J29" s="1382">
        <f>IF('Part III-Sources of Funds'!$M$37="", 0,-'Part III-Sources of Funds'!$M$37)</f>
        <v>0</v>
      </c>
      <c r="K29" s="1382">
        <f>IF('Part III-Sources of Funds'!$M$37="", 0,-'Part III-Sources of Funds'!$M$37)</f>
        <v>0</v>
      </c>
      <c r="M29" s="1831"/>
      <c r="N29" s="1832"/>
    </row>
    <row r="30" spans="1:14" ht="13.15" customHeight="1">
      <c r="A30" s="24" t="s">
        <v>1234</v>
      </c>
      <c r="B30" s="25">
        <f t="shared" ref="B30:K30" si="8">SUM(B22:B29)</f>
        <v>10397.533328979189</v>
      </c>
      <c r="C30" s="25">
        <f t="shared" si="8"/>
        <v>8633.943328979105</v>
      </c>
      <c r="D30" s="25">
        <f t="shared" si="8"/>
        <v>66541.641128979245</v>
      </c>
      <c r="E30" s="25">
        <f t="shared" si="8"/>
        <v>64363.577272979077</v>
      </c>
      <c r="F30" s="25">
        <f t="shared" si="8"/>
        <v>61964.401059499156</v>
      </c>
      <c r="G30" s="25">
        <f t="shared" si="8"/>
        <v>59334.45030897882</v>
      </c>
      <c r="H30" s="25">
        <f t="shared" si="8"/>
        <v>56463.740800294123</v>
      </c>
      <c r="I30" s="25">
        <f t="shared" si="8"/>
        <v>53341.955365986942</v>
      </c>
      <c r="J30" s="25">
        <f t="shared" si="8"/>
        <v>49959.432635481993</v>
      </c>
      <c r="K30" s="26">
        <f t="shared" si="8"/>
        <v>46302.155415229383</v>
      </c>
      <c r="M30" s="1831"/>
      <c r="N30" s="1832"/>
    </row>
    <row r="31" spans="1:14" ht="13.15" customHeight="1">
      <c r="A31" s="24" t="str">
        <f>IF('Part III-Sources of Funds'!$E$32 = "Neither", "", "DCR Mortgage A")</f>
        <v>DCR Mortgage A</v>
      </c>
      <c r="B31" s="27">
        <f>IF(B23=0,"",-B22/B23)</f>
        <v>1.6550653133899347</v>
      </c>
      <c r="C31" s="27">
        <f t="shared" ref="C31:K31" si="9">IF(C23=0,"",-C22/C23)</f>
        <v>1.6397090301090249</v>
      </c>
      <c r="D31" s="27">
        <f t="shared" si="9"/>
        <v>1.6225886509374592</v>
      </c>
      <c r="E31" s="27">
        <f t="shared" si="9"/>
        <v>1.6036341257635391</v>
      </c>
      <c r="F31" s="27">
        <f t="shared" si="9"/>
        <v>1.5827553779665915</v>
      </c>
      <c r="G31" s="27">
        <f t="shared" si="9"/>
        <v>1.5598683227640631</v>
      </c>
      <c r="H31" s="27">
        <f t="shared" si="9"/>
        <v>1.5348860728178655</v>
      </c>
      <c r="I31" s="27">
        <f t="shared" si="9"/>
        <v>1.5077188433359821</v>
      </c>
      <c r="J31" s="27">
        <f t="shared" si="9"/>
        <v>1.4782825565760278</v>
      </c>
      <c r="K31" s="28">
        <f t="shared" si="9"/>
        <v>1.4464552283972361</v>
      </c>
      <c r="M31" s="1831"/>
      <c r="N31" s="183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831"/>
      <c r="N32" s="183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831"/>
      <c r="N33" s="1832"/>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831"/>
      <c r="N34" s="1832"/>
    </row>
    <row r="35" spans="1:14" ht="13.15" customHeight="1">
      <c r="A35" s="24" t="s">
        <v>820</v>
      </c>
      <c r="B35" s="320">
        <f>IF(OR(B20="Choose mgt fee",B20="Choose One!"),"",(B14+B15+B16+B17+B18) / -(B19+B20+B21))</f>
        <v>1.341541271354916</v>
      </c>
      <c r="C35" s="320">
        <f t="shared" ref="C35:K35" si="13">IF(OR(C20="Choose mgt fee",C20="Choose One!"),"",(C14+C15+C16+C17+C18) / -(C19+C20+C21))</f>
        <v>1.3285168999402381</v>
      </c>
      <c r="D35" s="320">
        <f t="shared" si="13"/>
        <v>1.315618143123779</v>
      </c>
      <c r="E35" s="320">
        <f t="shared" si="13"/>
        <v>1.3028460293237705</v>
      </c>
      <c r="F35" s="320">
        <f t="shared" si="13"/>
        <v>1.2901972034380109</v>
      </c>
      <c r="G35" s="320">
        <f t="shared" si="13"/>
        <v>1.2776706805222138</v>
      </c>
      <c r="H35" s="320">
        <f t="shared" si="13"/>
        <v>1.2652655208919246</v>
      </c>
      <c r="I35" s="320">
        <f t="shared" si="13"/>
        <v>1.2529808224477306</v>
      </c>
      <c r="J35" s="320">
        <f t="shared" si="13"/>
        <v>1.2408174728839418</v>
      </c>
      <c r="K35" s="321">
        <f t="shared" si="13"/>
        <v>1.2287693483082187</v>
      </c>
      <c r="M35" s="1831"/>
      <c r="N35" s="1832"/>
    </row>
    <row r="36" spans="1:14" ht="13.15" customHeight="1">
      <c r="A36" s="523" t="s">
        <v>2799</v>
      </c>
      <c r="B36" s="1383">
        <f>IF('Part III-Sources of Funds'!$H$32="","",-FV('Part III-Sources of Funds'!$J$32/12,12,B23/12,'Part III-Sources of Funds'!$H$32))</f>
        <v>1498066.4591452563</v>
      </c>
      <c r="C36" s="1383">
        <f>IF('Part III-Sources of Funds'!$H$32="","",-FV('Part III-Sources of Funds'!$J$32/12,12,C23/12,B36))</f>
        <v>1479998.8476985097</v>
      </c>
      <c r="D36" s="1383">
        <f>IF('Part III-Sources of Funds'!$H$32="","",-FV('Part III-Sources of Funds'!$J$32/12,12,D23/12,C36))</f>
        <v>1460721.2148519121</v>
      </c>
      <c r="E36" s="1383">
        <f>IF('Part III-Sources of Funds'!$H$32="","",-FV('Part III-Sources of Funds'!$J$32/12,12,E23/12,D36))</f>
        <v>1440152.5232313529</v>
      </c>
      <c r="F36" s="1383">
        <f>IF('Part III-Sources of Funds'!$H$32="","",-FV('Part III-Sources of Funds'!$J$32/12,12,F23/12,E36))</f>
        <v>1418206.3082396956</v>
      </c>
      <c r="G36" s="1383">
        <f>IF('Part III-Sources of Funds'!$H$32="","",-FV('Part III-Sources of Funds'!$J$32/12,12,G23/12,F36))</f>
        <v>1394790.314585601</v>
      </c>
      <c r="H36" s="1383">
        <f>IF('Part III-Sources of Funds'!$H$32="","",-FV('Part III-Sources of Funds'!$J$32/12,12,H23/12,G36))</f>
        <v>1369806.108470012</v>
      </c>
      <c r="I36" s="1383">
        <f>IF('Part III-Sources of Funds'!$H$32="","",-FV('Part III-Sources of Funds'!$J$32/12,12,I23/12,H36))</f>
        <v>1343148.6638000486</v>
      </c>
      <c r="J36" s="1383">
        <f>IF('Part III-Sources of Funds'!$H$32="","",-FV('Part III-Sources of Funds'!$J$32/12,12,J23/12,I36))</f>
        <v>1314705.9206908825</v>
      </c>
      <c r="K36" s="1383">
        <f>IF('Part III-Sources of Funds'!$H$32="","",-FV('Part III-Sources of Funds'!$J$32/12,12,K23/12,J36))</f>
        <v>1284358.3143996629</v>
      </c>
      <c r="M36" s="1831"/>
      <c r="N36" s="1832"/>
    </row>
    <row r="37" spans="1:14" ht="13.15" customHeight="1">
      <c r="A37" s="523" t="s">
        <v>2800</v>
      </c>
      <c r="B37" s="1380" t="str">
        <f>IF('Part III-Sources of Funds'!$H$33="","",-FV('Part III-Sources of Funds'!$J$33/12,12,B24/12,'Part III-Sources of Funds'!$H$33))</f>
        <v/>
      </c>
      <c r="C37" s="1380" t="str">
        <f>IF('Part III-Sources of Funds'!$H$33="","",-FV('Part III-Sources of Funds'!$J$33/12,12,C24/12,B37))</f>
        <v/>
      </c>
      <c r="D37" s="1380" t="str">
        <f>IF('Part III-Sources of Funds'!$H$33="","",-FV('Part III-Sources of Funds'!$J$33/12,12,D24/12,C37))</f>
        <v/>
      </c>
      <c r="E37" s="1380" t="str">
        <f>IF('Part III-Sources of Funds'!$H$33="","",-FV('Part III-Sources of Funds'!$J$33/12,12,E24/12,D37))</f>
        <v/>
      </c>
      <c r="F37" s="1380" t="str">
        <f>IF('Part III-Sources of Funds'!$H$33="","",-FV('Part III-Sources of Funds'!$J$33/12,12,F24/12,E37))</f>
        <v/>
      </c>
      <c r="G37" s="1380" t="str">
        <f>IF('Part III-Sources of Funds'!$H$33="","",-FV('Part III-Sources of Funds'!$J$33/12,12,G24/12,F37))</f>
        <v/>
      </c>
      <c r="H37" s="1380" t="str">
        <f>IF('Part III-Sources of Funds'!$H$33="","",-FV('Part III-Sources of Funds'!$J$33/12,12,H24/12,G37))</f>
        <v/>
      </c>
      <c r="I37" s="1380" t="str">
        <f>IF('Part III-Sources of Funds'!$H$33="","",-FV('Part III-Sources of Funds'!$J$33/12,12,I24/12,H37))</f>
        <v/>
      </c>
      <c r="J37" s="1380" t="str">
        <f>IF('Part III-Sources of Funds'!$H$33="","",-FV('Part III-Sources of Funds'!$J$33/12,12,J24/12,I37))</f>
        <v/>
      </c>
      <c r="K37" s="1380" t="str">
        <f>IF('Part III-Sources of Funds'!$H$33="","",-FV('Part III-Sources of Funds'!$J$33/12,12,K24/12,J37))</f>
        <v/>
      </c>
      <c r="M37" s="1831"/>
      <c r="N37" s="1832"/>
    </row>
    <row r="38" spans="1:14" ht="13.15" customHeight="1">
      <c r="A38" s="523" t="s">
        <v>2801</v>
      </c>
      <c r="B38" s="1380" t="str">
        <f>IF('Part III-Sources of Funds'!$H$34="","",-FV('Part III-Sources of Funds'!$J$34/12,12,B25/12,'Part III-Sources of Funds'!$H$34))</f>
        <v/>
      </c>
      <c r="C38" s="1380" t="str">
        <f>IF('Part III-Sources of Funds'!$H$34="","",-FV('Part III-Sources of Funds'!$J$34/12,12,C25/12,B38))</f>
        <v/>
      </c>
      <c r="D38" s="1380" t="str">
        <f>IF('Part III-Sources of Funds'!$H$34="","",-FV('Part III-Sources of Funds'!$J$34/12,12,D25/12,C38))</f>
        <v/>
      </c>
      <c r="E38" s="1380" t="str">
        <f>IF('Part III-Sources of Funds'!$H$34="","",-FV('Part III-Sources of Funds'!$J$34/12,12,E25/12,D38))</f>
        <v/>
      </c>
      <c r="F38" s="1380" t="str">
        <f>IF('Part III-Sources of Funds'!$H$34="","",-FV('Part III-Sources of Funds'!$J$34/12,12,F25/12,E38))</f>
        <v/>
      </c>
      <c r="G38" s="1380" t="str">
        <f>IF('Part III-Sources of Funds'!$H$34="","",-FV('Part III-Sources of Funds'!$J$34/12,12,G25/12,F38))</f>
        <v/>
      </c>
      <c r="H38" s="1380" t="str">
        <f>IF('Part III-Sources of Funds'!$H$34="","",-FV('Part III-Sources of Funds'!$J$34/12,12,H25/12,G38))</f>
        <v/>
      </c>
      <c r="I38" s="1380" t="str">
        <f>IF('Part III-Sources of Funds'!$H$34="","",-FV('Part III-Sources of Funds'!$J$34/12,12,I25/12,H38))</f>
        <v/>
      </c>
      <c r="J38" s="1380" t="str">
        <f>IF('Part III-Sources of Funds'!$H$34="","",-FV('Part III-Sources of Funds'!$J$34/12,12,J25/12,I38))</f>
        <v/>
      </c>
      <c r="K38" s="1380" t="str">
        <f>IF('Part III-Sources of Funds'!$H$34="","",-FV('Part III-Sources of Funds'!$J$34/12,12,K25/12,J38))</f>
        <v/>
      </c>
      <c r="M38" s="1831"/>
      <c r="N38" s="1832"/>
    </row>
    <row r="39" spans="1:14" ht="13.15" customHeight="1">
      <c r="A39" s="24" t="s">
        <v>836</v>
      </c>
      <c r="B39" s="1380" t="str">
        <f>IF('Part III-Sources of Funds'!$H$35="","",-FV('Part III-Sources of Funds'!$J$35/12,12,B24/12,'Part III-Sources of Funds'!$H$35))</f>
        <v/>
      </c>
      <c r="C39" s="1380" t="str">
        <f>IF('Part III-Sources of Funds'!$H$35="","",-FV('Part III-Sources of Funds'!$J$35/12,12,C26/12,B39))</f>
        <v/>
      </c>
      <c r="D39" s="1380" t="str">
        <f>IF('Part III-Sources of Funds'!$H$35="","",-FV('Part III-Sources of Funds'!$J$35/12,12,D26/12,C39))</f>
        <v/>
      </c>
      <c r="E39" s="1380" t="str">
        <f>IF('Part III-Sources of Funds'!$H$35="","",-FV('Part III-Sources of Funds'!$J$35/12,12,E26/12,D39))</f>
        <v/>
      </c>
      <c r="F39" s="1380" t="str">
        <f>IF('Part III-Sources of Funds'!$H$35="","",-FV('Part III-Sources of Funds'!$J$35/12,12,F26/12,E39))</f>
        <v/>
      </c>
      <c r="G39" s="1380" t="str">
        <f>IF('Part III-Sources of Funds'!$H$35="","",-FV('Part III-Sources of Funds'!$J$35/12,12,G26/12,F39))</f>
        <v/>
      </c>
      <c r="H39" s="1380" t="str">
        <f>IF('Part III-Sources of Funds'!$H$35="","",-FV('Part III-Sources of Funds'!$J$35/12,12,H26/12,G39))</f>
        <v/>
      </c>
      <c r="I39" s="1380" t="str">
        <f>IF('Part III-Sources of Funds'!$H$35="","",-FV('Part III-Sources of Funds'!$J$35/12,12,I26/12,H39))</f>
        <v/>
      </c>
      <c r="J39" s="1380" t="str">
        <f>IF('Part III-Sources of Funds'!$H$35="","",-FV('Part III-Sources of Funds'!$J$35/12,12,J26/12,I39))</f>
        <v/>
      </c>
      <c r="K39" s="1380" t="str">
        <f>IF('Part III-Sources of Funds'!$H$35="","",-FV('Part III-Sources of Funds'!$J$35/12,12,K26/12,J39))</f>
        <v/>
      </c>
      <c r="M39" s="1831"/>
      <c r="N39" s="1832"/>
    </row>
    <row r="40" spans="1:14" ht="13.15" customHeight="1">
      <c r="A40" s="29" t="s">
        <v>1314</v>
      </c>
      <c r="B40" s="1382">
        <f>IF('Part III-Sources of Funds'!$H$37="","",-FV('Part III-Sources of Funds'!$J$37/12,12,B29/12,'Part III-Sources of Funds'!$H$37))</f>
        <v>59875</v>
      </c>
      <c r="C40" s="1382">
        <f>IF('Part III-Sources of Funds'!$H$37="","",-FV('Part III-Sources of Funds'!$J$37/12,12,C29/12,B40))</f>
        <v>0</v>
      </c>
      <c r="D40" s="1382">
        <f>IF('Part III-Sources of Funds'!$H$37="","",-FV('Part III-Sources of Funds'!$J$37/12,12,D29/12,C40))</f>
        <v>0</v>
      </c>
      <c r="E40" s="1382">
        <f>IF('Part III-Sources of Funds'!$H$37="","",-FV('Part III-Sources of Funds'!$J$37/12,12,E29/12,D40))</f>
        <v>0</v>
      </c>
      <c r="F40" s="1382">
        <f>IF('Part III-Sources of Funds'!$H$37="","",-FV('Part III-Sources of Funds'!$J$37/12,12,F29/12,E40))</f>
        <v>0</v>
      </c>
      <c r="G40" s="1382">
        <f>IF('Part III-Sources of Funds'!$H$37="","",-FV('Part III-Sources of Funds'!$J$37/12,12,G29/12,F40))</f>
        <v>0</v>
      </c>
      <c r="H40" s="1382">
        <f>IF('Part III-Sources of Funds'!$H$37="","",-FV('Part III-Sources of Funds'!$J$37/12,12,H29/12,G40))</f>
        <v>0</v>
      </c>
      <c r="I40" s="1382">
        <f>IF('Part III-Sources of Funds'!$H$37="","",-FV('Part III-Sources of Funds'!$J$37/12,12,I29/12,H40))</f>
        <v>0</v>
      </c>
      <c r="J40" s="1382">
        <f>IF('Part III-Sources of Funds'!$H$37="","",-FV('Part III-Sources of Funds'!$J$37/12,12,J29/12,I40))</f>
        <v>0</v>
      </c>
      <c r="K40" s="1382">
        <f>IF('Part III-Sources of Funds'!$H$37="","",-FV('Part III-Sources of Funds'!$J$37/12,12,K29/12,J40))</f>
        <v>0</v>
      </c>
      <c r="M40" s="1833"/>
      <c r="N40" s="1834"/>
    </row>
    <row r="41" spans="1:14" ht="4.1500000000000004" customHeight="1">
      <c r="B41" s="20"/>
      <c r="C41" s="20"/>
      <c r="D41" s="20"/>
      <c r="E41" s="20"/>
      <c r="F41" s="20"/>
      <c r="G41" s="20"/>
      <c r="H41" s="20"/>
      <c r="I41" s="20"/>
      <c r="J41" s="20"/>
      <c r="K41" s="20"/>
    </row>
    <row r="42" spans="1:14" ht="14.45" customHeight="1">
      <c r="A42" s="16" t="s">
        <v>2647</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71" t="s">
        <v>2804</v>
      </c>
      <c r="N42" s="1771"/>
    </row>
    <row r="43" spans="1:14" ht="13.15" customHeight="1">
      <c r="A43" s="21" t="s">
        <v>2564</v>
      </c>
      <c r="B43" s="22">
        <f t="shared" ref="B43:K43" si="15">$B$14*(1+$B$5)^(B42-1)</f>
        <v>959958.1057458712</v>
      </c>
      <c r="C43" s="22">
        <f t="shared" si="15"/>
        <v>979157.2678607885</v>
      </c>
      <c r="D43" s="22">
        <f t="shared" si="15"/>
        <v>998740.4132180044</v>
      </c>
      <c r="E43" s="22">
        <f t="shared" si="15"/>
        <v>1018715.2214823645</v>
      </c>
      <c r="F43" s="22">
        <f t="shared" si="15"/>
        <v>1039089.5259120119</v>
      </c>
      <c r="G43" s="22">
        <f t="shared" si="15"/>
        <v>1059871.3164302518</v>
      </c>
      <c r="H43" s="22">
        <f t="shared" si="15"/>
        <v>1081068.7427588571</v>
      </c>
      <c r="I43" s="22">
        <f t="shared" si="15"/>
        <v>1102690.1176140341</v>
      </c>
      <c r="J43" s="22">
        <f t="shared" si="15"/>
        <v>1124743.9199663147</v>
      </c>
      <c r="K43" s="23">
        <f t="shared" si="15"/>
        <v>1147238.7983656409</v>
      </c>
      <c r="M43" s="1829"/>
      <c r="N43" s="1830"/>
    </row>
    <row r="44" spans="1:14" ht="13.15" customHeight="1">
      <c r="A44" s="24" t="s">
        <v>1077</v>
      </c>
      <c r="B44" s="25">
        <f t="shared" ref="B44:K44" si="16">$B$15*(1+$B$5)^(B42-1)</f>
        <v>19199.162114917424</v>
      </c>
      <c r="C44" s="25">
        <f t="shared" si="16"/>
        <v>19583.14535721577</v>
      </c>
      <c r="D44" s="25">
        <f t="shared" si="16"/>
        <v>19974.808264360086</v>
      </c>
      <c r="E44" s="25">
        <f t="shared" si="16"/>
        <v>20374.304429647287</v>
      </c>
      <c r="F44" s="25">
        <f t="shared" si="16"/>
        <v>20781.790518240236</v>
      </c>
      <c r="G44" s="25">
        <f t="shared" si="16"/>
        <v>21197.426328605034</v>
      </c>
      <c r="H44" s="25">
        <f t="shared" si="16"/>
        <v>21621.374855177139</v>
      </c>
      <c r="I44" s="25">
        <f t="shared" si="16"/>
        <v>22053.802352280683</v>
      </c>
      <c r="J44" s="25">
        <f t="shared" si="16"/>
        <v>22494.878399326295</v>
      </c>
      <c r="K44" s="26">
        <f t="shared" si="16"/>
        <v>22944.77596731282</v>
      </c>
      <c r="M44" s="1831"/>
      <c r="N44" s="1832"/>
    </row>
    <row r="45" spans="1:14" ht="13.15" customHeight="1">
      <c r="A45" s="24" t="s">
        <v>2565</v>
      </c>
      <c r="B45" s="25">
        <f t="shared" ref="B45:K45" si="17">-(B43+B44)*$B$8</f>
        <v>-68541.008750255205</v>
      </c>
      <c r="C45" s="25">
        <f t="shared" si="17"/>
        <v>-69911.828925260299</v>
      </c>
      <c r="D45" s="25">
        <f t="shared" si="17"/>
        <v>-71310.065503765523</v>
      </c>
      <c r="E45" s="25">
        <f t="shared" si="17"/>
        <v>-72736.266813840833</v>
      </c>
      <c r="F45" s="25">
        <f t="shared" si="17"/>
        <v>-74190.992150117643</v>
      </c>
      <c r="G45" s="25">
        <f t="shared" si="17"/>
        <v>-75674.811993119991</v>
      </c>
      <c r="H45" s="25">
        <f t="shared" si="17"/>
        <v>-77188.30823298241</v>
      </c>
      <c r="I45" s="25">
        <f t="shared" si="17"/>
        <v>-78732.074397642034</v>
      </c>
      <c r="J45" s="25">
        <f t="shared" si="17"/>
        <v>-80306.715885594866</v>
      </c>
      <c r="K45" s="26">
        <f t="shared" si="17"/>
        <v>-81912.850203306763</v>
      </c>
      <c r="M45" s="1831"/>
      <c r="N45" s="1832"/>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831"/>
      <c r="N46" s="1832"/>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831"/>
      <c r="N47" s="1832"/>
    </row>
    <row r="48" spans="1:14" ht="13.15" customHeight="1">
      <c r="A48" s="24" t="s">
        <v>654</v>
      </c>
      <c r="B48" s="25">
        <f t="shared" ref="B48:K48" si="18">$B$19*(1+$B$6)^(B42-1)</f>
        <v>-637914.09995051555</v>
      </c>
      <c r="C48" s="25">
        <f t="shared" si="18"/>
        <v>-657051.52294903109</v>
      </c>
      <c r="D48" s="25">
        <f t="shared" si="18"/>
        <v>-676763.06863750191</v>
      </c>
      <c r="E48" s="25">
        <f t="shared" si="18"/>
        <v>-697065.96069662692</v>
      </c>
      <c r="F48" s="25">
        <f t="shared" si="18"/>
        <v>-717977.93951752584</v>
      </c>
      <c r="G48" s="25">
        <f t="shared" si="18"/>
        <v>-739517.27770305169</v>
      </c>
      <c r="H48" s="25">
        <f t="shared" si="18"/>
        <v>-761702.79603414307</v>
      </c>
      <c r="I48" s="25">
        <f t="shared" si="18"/>
        <v>-784553.87991516734</v>
      </c>
      <c r="J48" s="25">
        <f t="shared" si="18"/>
        <v>-808090.49631262233</v>
      </c>
      <c r="K48" s="26">
        <f t="shared" si="18"/>
        <v>-832333.21120200108</v>
      </c>
      <c r="M48" s="1831"/>
      <c r="N48" s="1832"/>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-50223</v>
      </c>
      <c r="C49" s="25">
        <f>IF(AND('Part VII-Pro Forma'!$G$8="Yes",'Part VII-Pro Forma'!$G$9="Yes"),"Choose One!",IF('Part VII-Pro Forma'!$G$8="Yes",ROUND((-$K$8*(1+'Part VII-Pro Forma'!$B$6)^('Part VII-Pro Forma'!C42-1)),),IF('Part VII-Pro Forma'!$G$9="Yes",ROUND((-(SUM(C43:C46)*'Part VII-Pro Forma'!$K$9)),),"Choose mgt fee")))</f>
        <v>-51730</v>
      </c>
      <c r="D49" s="25">
        <f>IF(AND('Part VII-Pro Forma'!$G$8="Yes",'Part VII-Pro Forma'!$G$9="Yes"),"Choose One!",IF('Part VII-Pro Forma'!$G$8="Yes",ROUND((-$K$8*(1+'Part VII-Pro Forma'!$B$6)^('Part VII-Pro Forma'!D42-1)),),IF('Part VII-Pro Forma'!$G$9="Yes",ROUND((-(SUM(D43:D46)*'Part VII-Pro Forma'!$K$9)),),"Choose mgt fee")))</f>
        <v>-53282</v>
      </c>
      <c r="E49" s="25">
        <f>IF(AND('Part VII-Pro Forma'!$G$8="Yes",'Part VII-Pro Forma'!$G$9="Yes"),"Choose One!",IF('Part VII-Pro Forma'!$G$8="Yes",ROUND((-$K$8*(1+'Part VII-Pro Forma'!$B$6)^('Part VII-Pro Forma'!E42-1)),),IF('Part VII-Pro Forma'!$G$9="Yes",ROUND((-(SUM(E43:E46)*'Part VII-Pro Forma'!$K$9)),),"Choose mgt fee")))</f>
        <v>-54881</v>
      </c>
      <c r="F49" s="25">
        <f>IF(AND('Part VII-Pro Forma'!$G$8="Yes",'Part VII-Pro Forma'!$G$9="Yes"),"Choose One!",IF('Part VII-Pro Forma'!$G$8="Yes",ROUND((-$K$8*(1+'Part VII-Pro Forma'!$B$6)^('Part VII-Pro Forma'!F42-1)),),IF('Part VII-Pro Forma'!$G$9="Yes",ROUND((-(SUM(F43:F46)*'Part VII-Pro Forma'!$K$9)),),"Choose mgt fee")))</f>
        <v>-56527</v>
      </c>
      <c r="G49" s="25">
        <f>IF(AND('Part VII-Pro Forma'!$G$8="Yes",'Part VII-Pro Forma'!$G$9="Yes"),"Choose One!",IF('Part VII-Pro Forma'!$G$8="Yes",ROUND((-$K$8*(1+'Part VII-Pro Forma'!$B$6)^('Part VII-Pro Forma'!G42-1)),),IF('Part VII-Pro Forma'!$G$9="Yes",ROUND((-(SUM(G43:G46)*'Part VII-Pro Forma'!$K$9)),),"Choose mgt fee")))</f>
        <v>-58223</v>
      </c>
      <c r="H49" s="25">
        <f>IF(AND('Part VII-Pro Forma'!$G$8="Yes",'Part VII-Pro Forma'!$G$9="Yes"),"Choose One!",IF('Part VII-Pro Forma'!$G$8="Yes",ROUND((-$K$8*(1+'Part VII-Pro Forma'!$B$6)^('Part VII-Pro Forma'!H42-1)),),IF('Part VII-Pro Forma'!$G$9="Yes",ROUND((-(SUM(H43:H46)*'Part VII-Pro Forma'!$K$9)),),"Choose mgt fee")))</f>
        <v>-59969</v>
      </c>
      <c r="I49" s="25">
        <f>IF(AND('Part VII-Pro Forma'!$G$8="Yes",'Part VII-Pro Forma'!$G$9="Yes"),"Choose One!",IF('Part VII-Pro Forma'!$G$8="Yes",ROUND((-$K$8*(1+'Part VII-Pro Forma'!$B$6)^('Part VII-Pro Forma'!I42-1)),),IF('Part VII-Pro Forma'!$G$9="Yes",ROUND((-(SUM(I43:I46)*'Part VII-Pro Forma'!$K$9)),),"Choose mgt fee")))</f>
        <v>-61769</v>
      </c>
      <c r="J49" s="25">
        <f>IF(AND('Part VII-Pro Forma'!$G$8="Yes",'Part VII-Pro Forma'!$G$9="Yes"),"Choose One!",IF('Part VII-Pro Forma'!$G$8="Yes",ROUND((-$K$8*(1+'Part VII-Pro Forma'!$B$6)^('Part VII-Pro Forma'!J42-1)),),IF('Part VII-Pro Forma'!$G$9="Yes",ROUND((-(SUM(J43:J46)*'Part VII-Pro Forma'!$K$9)),),"Choose mgt fee")))</f>
        <v>-63622</v>
      </c>
      <c r="K49" s="25">
        <f>IF(AND('Part VII-Pro Forma'!$G$8="Yes",'Part VII-Pro Forma'!$G$9="Yes"),"Choose One!",IF('Part VII-Pro Forma'!$G$8="Yes",ROUND((-$K$8*(1+'Part VII-Pro Forma'!$B$6)^('Part VII-Pro Forma'!K42-1)),),IF('Part VII-Pro Forma'!$G$9="Yes",ROUND((-(SUM(K43:K46)*'Part VII-Pro Forma'!$K$9)),),"Choose mgt fee")))</f>
        <v>-65530</v>
      </c>
      <c r="M49" s="1831"/>
      <c r="N49" s="1832"/>
    </row>
    <row r="50" spans="1:14" ht="13.15" customHeight="1">
      <c r="A50" s="24" t="s">
        <v>1277</v>
      </c>
      <c r="B50" s="25">
        <f t="shared" ref="B50:K50" si="19">$B$21*(1+$B$7)^(B42-1)</f>
        <v>-60207.453794616653</v>
      </c>
      <c r="C50" s="25">
        <f t="shared" si="19"/>
        <v>-62013.677408455158</v>
      </c>
      <c r="D50" s="25">
        <f t="shared" si="19"/>
        <v>-63874.087730708801</v>
      </c>
      <c r="E50" s="25">
        <f t="shared" si="19"/>
        <v>-65790.310362630058</v>
      </c>
      <c r="F50" s="25">
        <f t="shared" si="19"/>
        <v>-67764.01967350897</v>
      </c>
      <c r="G50" s="25">
        <f t="shared" si="19"/>
        <v>-69796.940263714248</v>
      </c>
      <c r="H50" s="25">
        <f t="shared" si="19"/>
        <v>-71890.848471625664</v>
      </c>
      <c r="I50" s="25">
        <f t="shared" si="19"/>
        <v>-74047.573925774428</v>
      </c>
      <c r="J50" s="25">
        <f t="shared" si="19"/>
        <v>-76269.001143547663</v>
      </c>
      <c r="K50" s="26">
        <f t="shared" si="19"/>
        <v>-78557.071177854086</v>
      </c>
      <c r="M50" s="1831"/>
      <c r="N50" s="1832"/>
    </row>
    <row r="51" spans="1:14" ht="13.15" customHeight="1">
      <c r="A51" s="24" t="s">
        <v>1278</v>
      </c>
      <c r="B51" s="25">
        <f t="shared" ref="B51:K51" si="20">SUM(B43:B50)</f>
        <v>162271.7053654012</v>
      </c>
      <c r="C51" s="25">
        <f t="shared" si="20"/>
        <v>158033.38393525768</v>
      </c>
      <c r="D51" s="25">
        <f t="shared" si="20"/>
        <v>153485.99961038827</v>
      </c>
      <c r="E51" s="25">
        <f t="shared" si="20"/>
        <v>148615.98803891393</v>
      </c>
      <c r="F51" s="25">
        <f t="shared" si="20"/>
        <v>143411.36508909959</v>
      </c>
      <c r="G51" s="25">
        <f t="shared" si="20"/>
        <v>137856.71279897093</v>
      </c>
      <c r="H51" s="25">
        <f t="shared" si="20"/>
        <v>131939.1648752832</v>
      </c>
      <c r="I51" s="25">
        <f t="shared" si="20"/>
        <v>125641.39172773086</v>
      </c>
      <c r="J51" s="25">
        <f t="shared" si="20"/>
        <v>118950.58502387597</v>
      </c>
      <c r="K51" s="26">
        <f t="shared" si="20"/>
        <v>111850.44174979185</v>
      </c>
      <c r="M51" s="1831"/>
      <c r="N51" s="1832"/>
    </row>
    <row r="52" spans="1:14" ht="13.15" customHeight="1">
      <c r="A52" s="24" t="str">
        <f>$A23</f>
        <v>Mortgage A</v>
      </c>
      <c r="B52" s="1379">
        <f>IF('Part III-Sources of Funds'!$M$32="", 0,-'Part III-Sources of Funds'!$M$32)</f>
        <v>-114909.96667102081</v>
      </c>
      <c r="C52" s="1379">
        <f>IF('Part III-Sources of Funds'!$M$32="", 0,-'Part III-Sources of Funds'!$M$32)</f>
        <v>-114909.96667102081</v>
      </c>
      <c r="D52" s="1379">
        <f>IF('Part III-Sources of Funds'!$M$32="", 0,-'Part III-Sources of Funds'!$M$32)</f>
        <v>-114909.96667102081</v>
      </c>
      <c r="E52" s="1379">
        <f>IF('Part III-Sources of Funds'!$M$32="", 0,-'Part III-Sources of Funds'!$M$32)</f>
        <v>-114909.96667102081</v>
      </c>
      <c r="F52" s="1379">
        <f>IF('Part III-Sources of Funds'!$M$32="", 0,-'Part III-Sources of Funds'!$M$32)</f>
        <v>-114909.96667102081</v>
      </c>
      <c r="G52" s="1379">
        <f>IF('Part III-Sources of Funds'!$M$32="", 0,-'Part III-Sources of Funds'!$M$32)</f>
        <v>-114909.96667102081</v>
      </c>
      <c r="H52" s="1379">
        <f>IF('Part III-Sources of Funds'!$M$32="", 0,-'Part III-Sources of Funds'!$M$32)</f>
        <v>-114909.96667102081</v>
      </c>
      <c r="I52" s="1379">
        <f>IF('Part III-Sources of Funds'!$M$32="", 0,-'Part III-Sources of Funds'!$M$32)</f>
        <v>-114909.96667102081</v>
      </c>
      <c r="J52" s="1379">
        <f>IF('Part III-Sources of Funds'!$M$32="", 0,-'Part III-Sources of Funds'!$M$32)</f>
        <v>-114909.96667102081</v>
      </c>
      <c r="K52" s="1379">
        <f>IF('Part III-Sources of Funds'!$M$32="", 0,-'Part III-Sources of Funds'!$M$32)</f>
        <v>-114909.96667102081</v>
      </c>
      <c r="M52" s="1831"/>
      <c r="N52" s="1832"/>
    </row>
    <row r="53" spans="1:14" ht="13.15" customHeight="1">
      <c r="A53" s="24" t="str">
        <f>$A24</f>
        <v>Mortgage B</v>
      </c>
      <c r="B53" s="1380">
        <f>IF('Part III-Sources of Funds'!$M$33="", 0,-'Part III-Sources of Funds'!$M$33)</f>
        <v>0</v>
      </c>
      <c r="C53" s="1380">
        <f>IF('Part III-Sources of Funds'!$M$33="", 0,-'Part III-Sources of Funds'!$M$33)</f>
        <v>0</v>
      </c>
      <c r="D53" s="1380">
        <f>IF('Part III-Sources of Funds'!$M$33="", 0,-'Part III-Sources of Funds'!$M$33)</f>
        <v>0</v>
      </c>
      <c r="E53" s="1380">
        <f>IF('Part III-Sources of Funds'!$M$33="", 0,-'Part III-Sources of Funds'!$M$33)</f>
        <v>0</v>
      </c>
      <c r="F53" s="1380">
        <f>IF('Part III-Sources of Funds'!$M$33="", 0,-'Part III-Sources of Funds'!$M$33)</f>
        <v>0</v>
      </c>
      <c r="G53" s="1380">
        <f>IF('Part III-Sources of Funds'!$M$33="", 0,-'Part III-Sources of Funds'!$M$33)</f>
        <v>0</v>
      </c>
      <c r="H53" s="1380">
        <f>IF('Part III-Sources of Funds'!$M$33="", 0,-'Part III-Sources of Funds'!$M$33)</f>
        <v>0</v>
      </c>
      <c r="I53" s="1380">
        <f>IF('Part III-Sources of Funds'!$M$33="", 0,-'Part III-Sources of Funds'!$M$33)</f>
        <v>0</v>
      </c>
      <c r="J53" s="1380">
        <f>IF('Part III-Sources of Funds'!$M$33="", 0,-'Part III-Sources of Funds'!$M$33)</f>
        <v>0</v>
      </c>
      <c r="K53" s="1380">
        <f>IF('Part III-Sources of Funds'!$M$33="", 0,-'Part III-Sources of Funds'!$M$33)</f>
        <v>0</v>
      </c>
      <c r="M53" s="1831"/>
      <c r="N53" s="1832"/>
    </row>
    <row r="54" spans="1:14" ht="13.15" customHeight="1">
      <c r="A54" s="24" t="str">
        <f>$A25</f>
        <v>Mortgage C</v>
      </c>
      <c r="B54" s="1380">
        <f>IF('Part III-Sources of Funds'!$M$34="", 0,-'Part III-Sources of Funds'!$M$34)</f>
        <v>0</v>
      </c>
      <c r="C54" s="1380">
        <f>IF('Part III-Sources of Funds'!$M$34="", 0,-'Part III-Sources of Funds'!$M$34)</f>
        <v>0</v>
      </c>
      <c r="D54" s="1380">
        <f>IF('Part III-Sources of Funds'!$M$34="", 0,-'Part III-Sources of Funds'!$M$34)</f>
        <v>0</v>
      </c>
      <c r="E54" s="1380">
        <f>IF('Part III-Sources of Funds'!$M$34="", 0,-'Part III-Sources of Funds'!$M$34)</f>
        <v>0</v>
      </c>
      <c r="F54" s="1380">
        <f>IF('Part III-Sources of Funds'!$M$34="", 0,-'Part III-Sources of Funds'!$M$34)</f>
        <v>0</v>
      </c>
      <c r="G54" s="1380">
        <f>IF('Part III-Sources of Funds'!$M$34="", 0,-'Part III-Sources of Funds'!$M$34)</f>
        <v>0</v>
      </c>
      <c r="H54" s="1380">
        <f>IF('Part III-Sources of Funds'!$M$34="", 0,-'Part III-Sources of Funds'!$M$34)</f>
        <v>0</v>
      </c>
      <c r="I54" s="1380">
        <f>IF('Part III-Sources of Funds'!$M$34="", 0,-'Part III-Sources of Funds'!$M$34)</f>
        <v>0</v>
      </c>
      <c r="J54" s="1380">
        <f>IF('Part III-Sources of Funds'!$M$34="", 0,-'Part III-Sources of Funds'!$M$34)</f>
        <v>0</v>
      </c>
      <c r="K54" s="1380">
        <f>IF('Part III-Sources of Funds'!$M$34="", 0,-'Part III-Sources of Funds'!$M$34)</f>
        <v>0</v>
      </c>
      <c r="M54" s="1831"/>
      <c r="N54" s="1832"/>
    </row>
    <row r="55" spans="1:14" ht="13.15" customHeight="1">
      <c r="A55" s="24" t="str">
        <f>$A26</f>
        <v>D/S Other Source</v>
      </c>
      <c r="B55" s="1380">
        <f>IF('Part III-Sources of Funds'!$M$35="", 0,-'Part III-Sources of Funds'!$M$35)</f>
        <v>0</v>
      </c>
      <c r="C55" s="1380">
        <f>IF('Part III-Sources of Funds'!$M$35="", 0,-'Part III-Sources of Funds'!$M$35)</f>
        <v>0</v>
      </c>
      <c r="D55" s="1380">
        <f>IF('Part III-Sources of Funds'!$M$35="", 0,-'Part III-Sources of Funds'!$M$35)</f>
        <v>0</v>
      </c>
      <c r="E55" s="1380">
        <f>IF('Part III-Sources of Funds'!$M$35="", 0,-'Part III-Sources of Funds'!$M$35)</f>
        <v>0</v>
      </c>
      <c r="F55" s="1380">
        <f>IF('Part III-Sources of Funds'!$M$35="", 0,-'Part III-Sources of Funds'!$M$35)</f>
        <v>0</v>
      </c>
      <c r="G55" s="1380">
        <f>IF('Part III-Sources of Funds'!$M$35="", 0,-'Part III-Sources of Funds'!$M$35)</f>
        <v>0</v>
      </c>
      <c r="H55" s="1380">
        <f>IF('Part III-Sources of Funds'!$M$35="", 0,-'Part III-Sources of Funds'!$M$35)</f>
        <v>0</v>
      </c>
      <c r="I55" s="1380">
        <f>IF('Part III-Sources of Funds'!$M$35="", 0,-'Part III-Sources of Funds'!$M$35)</f>
        <v>0</v>
      </c>
      <c r="J55" s="1380">
        <f>IF('Part III-Sources of Funds'!$M$35="", 0,-'Part III-Sources of Funds'!$M$35)</f>
        <v>0</v>
      </c>
      <c r="K55" s="1380">
        <f>IF('Part III-Sources of Funds'!$M$35="", 0,-'Part III-Sources of Funds'!$M$35)</f>
        <v>0</v>
      </c>
      <c r="M55" s="1831"/>
      <c r="N55" s="1832"/>
    </row>
    <row r="56" spans="1:14" ht="13.15" customHeight="1">
      <c r="A56" s="24" t="s">
        <v>813</v>
      </c>
      <c r="B56" s="1381"/>
      <c r="C56" s="1381"/>
      <c r="D56" s="1381"/>
      <c r="E56" s="1381"/>
      <c r="F56" s="1381"/>
      <c r="G56" s="1381"/>
      <c r="H56" s="1381"/>
      <c r="I56" s="1381"/>
      <c r="J56" s="1381"/>
      <c r="K56" s="1381"/>
      <c r="M56" s="1831"/>
      <c r="N56" s="1832"/>
    </row>
    <row r="57" spans="1:14" ht="13.15" customHeight="1">
      <c r="A57" s="24" t="s">
        <v>1233</v>
      </c>
      <c r="B57" s="1380">
        <f>+K28</f>
        <v>-5000</v>
      </c>
      <c r="C57" s="1380">
        <f t="shared" ref="C57:K57" si="21">+B57</f>
        <v>-5000</v>
      </c>
      <c r="D57" s="1380">
        <f t="shared" si="21"/>
        <v>-5000</v>
      </c>
      <c r="E57" s="1380">
        <f t="shared" si="21"/>
        <v>-5000</v>
      </c>
      <c r="F57" s="1380">
        <f t="shared" si="21"/>
        <v>-5000</v>
      </c>
      <c r="G57" s="1380">
        <f t="shared" si="21"/>
        <v>-5000</v>
      </c>
      <c r="H57" s="1380">
        <f t="shared" si="21"/>
        <v>-5000</v>
      </c>
      <c r="I57" s="1380">
        <f t="shared" si="21"/>
        <v>-5000</v>
      </c>
      <c r="J57" s="1380">
        <f t="shared" si="21"/>
        <v>-5000</v>
      </c>
      <c r="K57" s="1380">
        <f t="shared" si="21"/>
        <v>-5000</v>
      </c>
      <c r="M57" s="1831"/>
      <c r="N57" s="1832"/>
    </row>
    <row r="58" spans="1:14" ht="13.15" customHeight="1">
      <c r="A58" s="24" t="s">
        <v>1279</v>
      </c>
      <c r="B58" s="1382">
        <f>IF('Part III-Sources of Funds'!$M$37="", 0,-'Part III-Sources of Funds'!$M$37)</f>
        <v>0</v>
      </c>
      <c r="C58" s="1382">
        <f>IF('Part III-Sources of Funds'!$M$37="", 0,-'Part III-Sources of Funds'!$M$37)</f>
        <v>0</v>
      </c>
      <c r="D58" s="1382">
        <f>IF('Part III-Sources of Funds'!$M$37="", 0,-'Part III-Sources of Funds'!$M$37)</f>
        <v>0</v>
      </c>
      <c r="E58" s="1382">
        <f>IF('Part III-Sources of Funds'!$M$37="", 0,-'Part III-Sources of Funds'!$M$37)</f>
        <v>0</v>
      </c>
      <c r="F58" s="1382">
        <f>IF('Part III-Sources of Funds'!$M$37="", 0,-'Part III-Sources of Funds'!$M$37)</f>
        <v>0</v>
      </c>
      <c r="G58" s="1382">
        <f>IF('Part III-Sources of Funds'!$M$37="", 0,-'Part III-Sources of Funds'!$M$37)</f>
        <v>0</v>
      </c>
      <c r="H58" s="1382">
        <f>IF('Part III-Sources of Funds'!$M$37="", 0,-'Part III-Sources of Funds'!$M$37)</f>
        <v>0</v>
      </c>
      <c r="I58" s="1382">
        <f>IF('Part III-Sources of Funds'!$M$37="", 0,-'Part III-Sources of Funds'!$M$37)</f>
        <v>0</v>
      </c>
      <c r="J58" s="1382">
        <f>IF('Part III-Sources of Funds'!$M$37="", 0,-'Part III-Sources of Funds'!$M$37)</f>
        <v>0</v>
      </c>
      <c r="K58" s="1380">
        <f>IF('Part III-Sources of Funds'!$M$37="", 0,-'Part III-Sources of Funds'!$M$37)</f>
        <v>0</v>
      </c>
      <c r="M58" s="1831"/>
      <c r="N58" s="1832"/>
    </row>
    <row r="59" spans="1:14" ht="13.15" customHeight="1">
      <c r="A59" s="24" t="s">
        <v>1234</v>
      </c>
      <c r="B59" s="25">
        <f t="shared" ref="B59:K59" si="22">SUM(B51:B58)</f>
        <v>42361.738694380387</v>
      </c>
      <c r="C59" s="25">
        <f t="shared" si="22"/>
        <v>38123.417264236865</v>
      </c>
      <c r="D59" s="25">
        <f t="shared" si="22"/>
        <v>33576.032939367462</v>
      </c>
      <c r="E59" s="25">
        <f t="shared" si="22"/>
        <v>28706.021367893118</v>
      </c>
      <c r="F59" s="25">
        <f t="shared" si="22"/>
        <v>23501.398418078781</v>
      </c>
      <c r="G59" s="25">
        <f t="shared" si="22"/>
        <v>17946.746127950115</v>
      </c>
      <c r="H59" s="25">
        <f t="shared" si="22"/>
        <v>12029.198204262386</v>
      </c>
      <c r="I59" s="25">
        <f t="shared" si="22"/>
        <v>5731.4250567100535</v>
      </c>
      <c r="J59" s="25">
        <f t="shared" si="22"/>
        <v>-959.38164714483719</v>
      </c>
      <c r="K59" s="23">
        <f t="shared" si="22"/>
        <v>-8059.5249212289636</v>
      </c>
      <c r="M59" s="1831"/>
      <c r="N59" s="1832"/>
    </row>
    <row r="60" spans="1:14" ht="13.15" customHeight="1">
      <c r="A60" s="24" t="str">
        <f>$A31</f>
        <v>DCR Mortgage A</v>
      </c>
      <c r="B60" s="27">
        <f>IF(B52=0,"",-B51/B52)</f>
        <v>1.4121638885334789</v>
      </c>
      <c r="C60" s="27">
        <f t="shared" ref="C60:K60" si="23">IF(C52=0,"",-C51/C52)</f>
        <v>1.375280043268102</v>
      </c>
      <c r="D60" s="27">
        <f t="shared" si="23"/>
        <v>1.3357065888793436</v>
      </c>
      <c r="E60" s="27">
        <f t="shared" si="23"/>
        <v>1.293325482065373</v>
      </c>
      <c r="F60" s="27">
        <f t="shared" si="23"/>
        <v>1.2480324313353626</v>
      </c>
      <c r="G60" s="27">
        <f t="shared" si="23"/>
        <v>1.1996932624099095</v>
      </c>
      <c r="H60" s="27">
        <f t="shared" si="23"/>
        <v>1.1481960068182404</v>
      </c>
      <c r="I60" s="27">
        <f t="shared" si="23"/>
        <v>1.0933898544016931</v>
      </c>
      <c r="J60" s="27">
        <f t="shared" si="23"/>
        <v>1.0351633410914056</v>
      </c>
      <c r="K60" s="28">
        <f t="shared" si="23"/>
        <v>0.97337459047405206</v>
      </c>
      <c r="M60" s="1831"/>
      <c r="N60" s="183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831"/>
      <c r="N61" s="183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831"/>
      <c r="N62" s="183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831"/>
      <c r="N63" s="1832"/>
    </row>
    <row r="64" spans="1:14" ht="13.15" customHeight="1">
      <c r="A64" s="24" t="s">
        <v>820</v>
      </c>
      <c r="B64" s="320">
        <f>IF(OR(B49="Choose mgt fee",B49="Choose One!"),"",(B43+B44+B45+B46+B47) / -(B48+B49+B50))</f>
        <v>1.2168408984248009</v>
      </c>
      <c r="C64" s="320">
        <f t="shared" ref="C64:K64" si="27">IF(OR(C49="Choose mgt fee",C49="Choose One!"),"",(C43+C44+C45+C46+C47) / -(C48+C49+C50))</f>
        <v>1.2050264244795033</v>
      </c>
      <c r="D64" s="320">
        <f t="shared" si="27"/>
        <v>1.1933269884965507</v>
      </c>
      <c r="E64" s="320">
        <f t="shared" si="27"/>
        <v>1.1817405092058528</v>
      </c>
      <c r="F64" s="320">
        <f t="shared" si="27"/>
        <v>1.1702678978302139</v>
      </c>
      <c r="G64" s="320">
        <f t="shared" si="27"/>
        <v>1.1589058197665152</v>
      </c>
      <c r="H64" s="320">
        <f t="shared" si="27"/>
        <v>1.1476551931602501</v>
      </c>
      <c r="I64" s="320">
        <f t="shared" si="27"/>
        <v>1.1365117613276232</v>
      </c>
      <c r="J64" s="320">
        <f t="shared" si="27"/>
        <v>1.125477749663965</v>
      </c>
      <c r="K64" s="321">
        <f t="shared" si="27"/>
        <v>1.1145515345883392</v>
      </c>
      <c r="M64" s="1831"/>
      <c r="N64" s="1832"/>
    </row>
    <row r="65" spans="1:14" ht="13.15" customHeight="1">
      <c r="A65" s="523" t="s">
        <v>2799</v>
      </c>
      <c r="B65" s="1383">
        <f>IF('Part III-Sources of Funds'!$H$32="","",-FV('Part III-Sources of Funds'!$J$32/12,12,B52/12,K36))</f>
        <v>1251978.2727112763</v>
      </c>
      <c r="C65" s="1383">
        <f>IF('Part III-Sources of Funds'!$H$32="","",-FV('Part III-Sources of Funds'!$J$32/12,12,C52/12,B65))</f>
        <v>1217429.6796630989</v>
      </c>
      <c r="D65" s="1383">
        <f>IF('Part III-Sources of Funds'!$H$32="","",-FV('Part III-Sources of Funds'!$J$32/12,12,D52/12,C65))</f>
        <v>1180567.303354403</v>
      </c>
      <c r="E65" s="1383">
        <f>IF('Part III-Sources of Funds'!$H$32="","",-FV('Part III-Sources of Funds'!$J$32/12,12,E52/12,D65))</f>
        <v>1141236.1854350991</v>
      </c>
      <c r="F65" s="1383">
        <f>IF('Part III-Sources of Funds'!$H$32="","",-FV('Part III-Sources of Funds'!$J$32/12,12,F52/12,E65))</f>
        <v>1099270.9897074089</v>
      </c>
      <c r="G65" s="1383">
        <f>IF('Part III-Sources of Funds'!$H$32="","",-FV('Part III-Sources of Funds'!$J$32/12,12,G52/12,F65))</f>
        <v>1054495.3071021861</v>
      </c>
      <c r="H65" s="1383">
        <f>IF('Part III-Sources of Funds'!$H$32="","",-FV('Part III-Sources of Funds'!$J$32/12,12,H52/12,G65))</f>
        <v>1006720.9141082136</v>
      </c>
      <c r="I65" s="1383">
        <f>IF('Part III-Sources of Funds'!$H$32="","",-FV('Part III-Sources of Funds'!$J$32/12,12,I52/12,H65))</f>
        <v>955746.98153713753</v>
      </c>
      <c r="J65" s="1383">
        <f>IF('Part III-Sources of Funds'!$H$32="","",-FV('Part III-Sources of Funds'!$J$32/12,12,J52/12,I65))</f>
        <v>901359.23029792367</v>
      </c>
      <c r="K65" s="1383">
        <f>IF('Part III-Sources of Funds'!$H$32="","",-FV('Part III-Sources of Funds'!$J$32/12,12,K52/12,J65))</f>
        <v>843329.03063196607</v>
      </c>
      <c r="M65" s="1831"/>
      <c r="N65" s="1832"/>
    </row>
    <row r="66" spans="1:14" ht="13.15" customHeight="1">
      <c r="A66" s="523" t="s">
        <v>2800</v>
      </c>
      <c r="B66" s="1380" t="str">
        <f>IF('Part III-Sources of Funds'!$H$33="","",-FV('Part III-Sources of Funds'!$J$33/12,12,B53/12,K37))</f>
        <v/>
      </c>
      <c r="C66" s="1380" t="str">
        <f>IF('Part III-Sources of Funds'!$H$33="","",-FV('Part III-Sources of Funds'!$J$33/12,12,C53/12,B66))</f>
        <v/>
      </c>
      <c r="D66" s="1380" t="str">
        <f>IF('Part III-Sources of Funds'!$H$33="","",-FV('Part III-Sources of Funds'!$J$33/12,12,D53/12,C66))</f>
        <v/>
      </c>
      <c r="E66" s="1380" t="str">
        <f>IF('Part III-Sources of Funds'!$H$33="","",-FV('Part III-Sources of Funds'!$J$33/12,12,E53/12,D66))</f>
        <v/>
      </c>
      <c r="F66" s="1380" t="str">
        <f>IF('Part III-Sources of Funds'!$H$33="","",-FV('Part III-Sources of Funds'!$J$33/12,12,F53/12,E66))</f>
        <v/>
      </c>
      <c r="G66" s="1380" t="str">
        <f>IF('Part III-Sources of Funds'!$H$33="","",-FV('Part III-Sources of Funds'!$J$33/12,12,G53/12,F66))</f>
        <v/>
      </c>
      <c r="H66" s="1380" t="str">
        <f>IF('Part III-Sources of Funds'!$H$33="","",-FV('Part III-Sources of Funds'!$J$33/12,12,H53/12,G66))</f>
        <v/>
      </c>
      <c r="I66" s="1380" t="str">
        <f>IF('Part III-Sources of Funds'!$H$33="","",-FV('Part III-Sources of Funds'!$J$33/12,12,I53/12,H66))</f>
        <v/>
      </c>
      <c r="J66" s="1380" t="str">
        <f>IF('Part III-Sources of Funds'!$H$33="","",-FV('Part III-Sources of Funds'!$J$33/12,12,J53/12,I66))</f>
        <v/>
      </c>
      <c r="K66" s="1380" t="str">
        <f>IF('Part III-Sources of Funds'!$H$33="","",-FV('Part III-Sources of Funds'!$J$33/12,12,K53/12,J66))</f>
        <v/>
      </c>
      <c r="M66" s="1831"/>
      <c r="N66" s="1832"/>
    </row>
    <row r="67" spans="1:14" ht="13.15" customHeight="1">
      <c r="A67" s="523" t="s">
        <v>2801</v>
      </c>
      <c r="B67" s="1380" t="str">
        <f>IF('Part III-Sources of Funds'!$H$34="","",-FV('Part III-Sources of Funds'!$J$34/12,12,B54/12,K38))</f>
        <v/>
      </c>
      <c r="C67" s="1380" t="str">
        <f>IF('Part III-Sources of Funds'!$H$34="","",-FV('Part III-Sources of Funds'!$J$34/12,12,C54/12,B67))</f>
        <v/>
      </c>
      <c r="D67" s="1380" t="str">
        <f>IF('Part III-Sources of Funds'!$H$34="","",-FV('Part III-Sources of Funds'!$J$34/12,12,D54/12,C67))</f>
        <v/>
      </c>
      <c r="E67" s="1380" t="str">
        <f>IF('Part III-Sources of Funds'!$H$34="","",-FV('Part III-Sources of Funds'!$J$34/12,12,E54/12,D67))</f>
        <v/>
      </c>
      <c r="F67" s="1380" t="str">
        <f>IF('Part III-Sources of Funds'!$H$34="","",-FV('Part III-Sources of Funds'!$J$34/12,12,F54/12,E67))</f>
        <v/>
      </c>
      <c r="G67" s="1380" t="str">
        <f>IF('Part III-Sources of Funds'!$H$34="","",-FV('Part III-Sources of Funds'!$J$34/12,12,G54/12,F67))</f>
        <v/>
      </c>
      <c r="H67" s="1380" t="str">
        <f>IF('Part III-Sources of Funds'!$H$34="","",-FV('Part III-Sources of Funds'!$J$34/12,12,H54/12,G67))</f>
        <v/>
      </c>
      <c r="I67" s="1380" t="str">
        <f>IF('Part III-Sources of Funds'!$H$34="","",-FV('Part III-Sources of Funds'!$J$34/12,12,I54/12,H67))</f>
        <v/>
      </c>
      <c r="J67" s="1380" t="str">
        <f>IF('Part III-Sources of Funds'!$H$34="","",-FV('Part III-Sources of Funds'!$J$34/12,12,J54/12,I67))</f>
        <v/>
      </c>
      <c r="K67" s="1380" t="str">
        <f>IF('Part III-Sources of Funds'!$H$34="","",-FV('Part III-Sources of Funds'!$J$34/12,12,K54/12,J67))</f>
        <v/>
      </c>
      <c r="M67" s="1831"/>
      <c r="N67" s="1832"/>
    </row>
    <row r="68" spans="1:14" ht="13.15" customHeight="1">
      <c r="A68" s="24" t="s">
        <v>836</v>
      </c>
      <c r="B68" s="1380" t="str">
        <f>IF('Part III-Sources of Funds'!$H$35="","",-FV('Part III-Sources of Funds'!$J$35/12,12,B55/12,K39))</f>
        <v/>
      </c>
      <c r="C68" s="1380" t="str">
        <f>IF('Part III-Sources of Funds'!$H$35="","",-FV('Part III-Sources of Funds'!$J$35/12,12,C55/12,B68))</f>
        <v/>
      </c>
      <c r="D68" s="1380" t="str">
        <f>IF('Part III-Sources of Funds'!$H$35="","",-FV('Part III-Sources of Funds'!$J$35/12,12,D55/12,C68))</f>
        <v/>
      </c>
      <c r="E68" s="1380" t="str">
        <f>IF('Part III-Sources of Funds'!$H$35="","",-FV('Part III-Sources of Funds'!$J$35/12,12,E55/12,D68))</f>
        <v/>
      </c>
      <c r="F68" s="1380" t="str">
        <f>IF('Part III-Sources of Funds'!$H$35="","",-FV('Part III-Sources of Funds'!$J$35/12,12,F55/12,E68))</f>
        <v/>
      </c>
      <c r="G68" s="1380" t="str">
        <f>IF('Part III-Sources of Funds'!$H$35="","",-FV('Part III-Sources of Funds'!$J$35/12,12,G55/12,F68))</f>
        <v/>
      </c>
      <c r="H68" s="1380" t="str">
        <f>IF('Part III-Sources of Funds'!$H$35="","",-FV('Part III-Sources of Funds'!$J$35/12,12,H55/12,G68))</f>
        <v/>
      </c>
      <c r="I68" s="1380" t="str">
        <f>IF('Part III-Sources of Funds'!$H$35="","",-FV('Part III-Sources of Funds'!$J$35/12,12,I55/12,H68))</f>
        <v/>
      </c>
      <c r="J68" s="1380" t="str">
        <f>IF('Part III-Sources of Funds'!$H$35="","",-FV('Part III-Sources of Funds'!$J$35/12,12,J55/12,I68))</f>
        <v/>
      </c>
      <c r="K68" s="1380" t="str">
        <f>IF('Part III-Sources of Funds'!$H$35="","",-FV('Part III-Sources of Funds'!$J$35/12,12,K55/12,J68))</f>
        <v/>
      </c>
      <c r="M68" s="1831"/>
      <c r="N68" s="1832"/>
    </row>
    <row r="69" spans="1:14" ht="13.15" customHeight="1">
      <c r="A69" s="29" t="s">
        <v>1314</v>
      </c>
      <c r="B69" s="1382">
        <f>IF('Part III-Sources of Funds'!$H$37="","",-FV('Part III-Sources of Funds'!$J$37/12,12,B58/12,K40))</f>
        <v>0</v>
      </c>
      <c r="C69" s="1382">
        <f>IF('Part III-Sources of Funds'!$H$37="","",-FV('Part III-Sources of Funds'!$J$37/12,12,C58/12,B69))</f>
        <v>0</v>
      </c>
      <c r="D69" s="1382">
        <f>IF('Part III-Sources of Funds'!$H$37="","",-FV('Part III-Sources of Funds'!$J$37/12,12,D58/12,C69))</f>
        <v>0</v>
      </c>
      <c r="E69" s="1382">
        <f>IF('Part III-Sources of Funds'!$H$37="","",-FV('Part III-Sources of Funds'!$J$37/12,12,E58/12,D69))</f>
        <v>0</v>
      </c>
      <c r="F69" s="1382">
        <f>IF('Part III-Sources of Funds'!$H$37="","",-FV('Part III-Sources of Funds'!$J$37/12,12,F58/12,E69))</f>
        <v>0</v>
      </c>
      <c r="G69" s="1382">
        <f>IF('Part III-Sources of Funds'!$H$37="","",-FV('Part III-Sources of Funds'!$J$37/12,12,G58/12,F69))</f>
        <v>0</v>
      </c>
      <c r="H69" s="1382">
        <f>IF('Part III-Sources of Funds'!$H$37="","",-FV('Part III-Sources of Funds'!$J$37/12,12,H58/12,G69))</f>
        <v>0</v>
      </c>
      <c r="I69" s="1382">
        <f>IF('Part III-Sources of Funds'!$H$37="","",-FV('Part III-Sources of Funds'!$J$37/12,12,I58/12,H69))</f>
        <v>0</v>
      </c>
      <c r="J69" s="1382">
        <f>IF('Part III-Sources of Funds'!$H$37="","",-FV('Part III-Sources of Funds'!$J$37/12,12,J58/12,I69))</f>
        <v>0</v>
      </c>
      <c r="K69" s="1382">
        <f>IF('Part III-Sources of Funds'!$H$37="","",-FV('Part III-Sources of Funds'!$J$37/12,12,K58/12,J69))</f>
        <v>0</v>
      </c>
      <c r="M69" s="1833"/>
      <c r="N69" s="1834"/>
    </row>
    <row r="70" spans="1:14" ht="4.1500000000000004" customHeight="1">
      <c r="B70" s="20"/>
      <c r="C70" s="20"/>
      <c r="D70" s="20"/>
      <c r="E70" s="20"/>
      <c r="F70" s="20"/>
      <c r="G70" s="20"/>
      <c r="H70" s="20"/>
      <c r="I70" s="20"/>
      <c r="J70" s="20"/>
      <c r="K70" s="20"/>
    </row>
    <row r="71" spans="1:14" ht="14.45" customHeight="1">
      <c r="A71" s="16" t="s">
        <v>2647</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71" t="s">
        <v>2805</v>
      </c>
      <c r="N71" s="1771"/>
    </row>
    <row r="72" spans="1:14" ht="13.15" customHeight="1">
      <c r="A72" s="21" t="s">
        <v>2564</v>
      </c>
      <c r="B72" s="22">
        <f t="shared" ref="B72:K72" si="29">$B$14*(1+$B$5)^(B71-1)</f>
        <v>1170183.5743329539</v>
      </c>
      <c r="C72" s="22">
        <f t="shared" si="29"/>
        <v>1193587.2458196129</v>
      </c>
      <c r="D72" s="22">
        <f t="shared" si="29"/>
        <v>1217458.9907360054</v>
      </c>
      <c r="E72" s="22">
        <f t="shared" si="29"/>
        <v>1241808.1705507252</v>
      </c>
      <c r="F72" s="22">
        <f t="shared" si="29"/>
        <v>1266644.3339617397</v>
      </c>
      <c r="G72" s="22">
        <f t="shared" si="29"/>
        <v>1291977.2206409746</v>
      </c>
      <c r="H72" s="22">
        <f t="shared" si="29"/>
        <v>1317816.7650537943</v>
      </c>
      <c r="I72" s="22">
        <f t="shared" si="29"/>
        <v>1344173.1003548698</v>
      </c>
      <c r="J72" s="22">
        <f t="shared" si="29"/>
        <v>1371056.5623619675</v>
      </c>
      <c r="K72" s="23">
        <f t="shared" si="29"/>
        <v>1398477.6936092067</v>
      </c>
      <c r="M72" s="1829"/>
      <c r="N72" s="1830"/>
    </row>
    <row r="73" spans="1:14" ht="13.15" customHeight="1">
      <c r="A73" s="24" t="s">
        <v>1077</v>
      </c>
      <c r="B73" s="25">
        <f t="shared" ref="B73:K73" si="30">$B$15*(1+$B$5)^(B71-1)</f>
        <v>23403.671486659081</v>
      </c>
      <c r="C73" s="25">
        <f t="shared" si="30"/>
        <v>23871.744916392257</v>
      </c>
      <c r="D73" s="25">
        <f t="shared" si="30"/>
        <v>24349.179814720104</v>
      </c>
      <c r="E73" s="25">
        <f t="shared" si="30"/>
        <v>24836.163411014502</v>
      </c>
      <c r="F73" s="25">
        <f t="shared" si="30"/>
        <v>25332.886679234794</v>
      </c>
      <c r="G73" s="25">
        <f t="shared" si="30"/>
        <v>25839.54441281949</v>
      </c>
      <c r="H73" s="25">
        <f t="shared" si="30"/>
        <v>26356.335301075884</v>
      </c>
      <c r="I73" s="25">
        <f t="shared" si="30"/>
        <v>26883.462007097394</v>
      </c>
      <c r="J73" s="25">
        <f t="shared" si="30"/>
        <v>27421.131247239351</v>
      </c>
      <c r="K73" s="26">
        <f t="shared" si="30"/>
        <v>27969.553872184133</v>
      </c>
      <c r="M73" s="1831"/>
      <c r="N73" s="1832"/>
    </row>
    <row r="74" spans="1:14" ht="13.15" customHeight="1">
      <c r="A74" s="24" t="s">
        <v>2565</v>
      </c>
      <c r="B74" s="25">
        <f t="shared" ref="B74:K74" si="31">-(B72+B73)*$B$8</f>
        <v>-83551.107207372916</v>
      </c>
      <c r="C74" s="25">
        <f t="shared" si="31"/>
        <v>-85222.129351520372</v>
      </c>
      <c r="D74" s="25">
        <f t="shared" si="31"/>
        <v>-86926.571938550784</v>
      </c>
      <c r="E74" s="25">
        <f t="shared" si="31"/>
        <v>-88665.103377321779</v>
      </c>
      <c r="F74" s="25">
        <f t="shared" si="31"/>
        <v>-90438.405444868215</v>
      </c>
      <c r="G74" s="25">
        <f t="shared" si="31"/>
        <v>-92247.173553765591</v>
      </c>
      <c r="H74" s="25">
        <f t="shared" si="31"/>
        <v>-94092.117024840918</v>
      </c>
      <c r="I74" s="25">
        <f t="shared" si="31"/>
        <v>-95973.959365337723</v>
      </c>
      <c r="J74" s="25">
        <f t="shared" si="31"/>
        <v>-97893.438552644497</v>
      </c>
      <c r="K74" s="26">
        <f t="shared" si="31"/>
        <v>-99851.307323697372</v>
      </c>
      <c r="M74" s="1831"/>
      <c r="N74" s="1832"/>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831"/>
      <c r="N75" s="1832"/>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831"/>
      <c r="N76" s="1832"/>
    </row>
    <row r="77" spans="1:14" ht="13.15" customHeight="1">
      <c r="A77" s="24" t="s">
        <v>654</v>
      </c>
      <c r="B77" s="25">
        <f t="shared" ref="B77:K77" si="32">$B$19*(1+$B$6)^(B71-1)</f>
        <v>-857303.20753806108</v>
      </c>
      <c r="C77" s="25">
        <f t="shared" si="32"/>
        <v>-883022.30376420275</v>
      </c>
      <c r="D77" s="25">
        <f t="shared" si="32"/>
        <v>-909512.97287712898</v>
      </c>
      <c r="E77" s="25">
        <f t="shared" si="32"/>
        <v>-936798.36206344282</v>
      </c>
      <c r="F77" s="25">
        <f t="shared" si="32"/>
        <v>-964902.31292534596</v>
      </c>
      <c r="G77" s="25">
        <f t="shared" si="32"/>
        <v>-993849.38231310633</v>
      </c>
      <c r="H77" s="25">
        <f t="shared" si="32"/>
        <v>-1023664.8637824997</v>
      </c>
      <c r="I77" s="25">
        <f t="shared" si="32"/>
        <v>-1054374.8096959747</v>
      </c>
      <c r="J77" s="25">
        <f t="shared" si="32"/>
        <v>-1086006.0539868539</v>
      </c>
      <c r="K77" s="26">
        <f t="shared" si="32"/>
        <v>-1118586.2356064594</v>
      </c>
      <c r="M77" s="1831"/>
      <c r="N77" s="1832"/>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-67496</v>
      </c>
      <c r="C78" s="25">
        <f>IF(AND('Part VII-Pro Forma'!$G$8="Yes",'Part VII-Pro Forma'!$G$9="Yes"),"Choose One!",IF('Part VII-Pro Forma'!$G$8="Yes",ROUND((-$K$8*(1+'Part VII-Pro Forma'!$B$6)^('Part VII-Pro Forma'!C71-1)),),IF('Part VII-Pro Forma'!$G$9="Yes",ROUND((-(SUM(C72:C75)*'Part VII-Pro Forma'!$K$9)),),"Choose mgt fee")))</f>
        <v>-69521</v>
      </c>
      <c r="D78" s="25">
        <f>IF(AND('Part VII-Pro Forma'!$G$8="Yes",'Part VII-Pro Forma'!$G$9="Yes"),"Choose One!",IF('Part VII-Pro Forma'!$G$8="Yes",ROUND((-$K$8*(1+'Part VII-Pro Forma'!$B$6)^('Part VII-Pro Forma'!D71-1)),),IF('Part VII-Pro Forma'!$G$9="Yes",ROUND((-(SUM(D72:D75)*'Part VII-Pro Forma'!$K$9)),),"Choose mgt fee")))</f>
        <v>-71607</v>
      </c>
      <c r="E78" s="25">
        <f>IF(AND('Part VII-Pro Forma'!$G$8="Yes",'Part VII-Pro Forma'!$G$9="Yes"),"Choose One!",IF('Part VII-Pro Forma'!$G$8="Yes",ROUND((-$K$8*(1+'Part VII-Pro Forma'!$B$6)^('Part VII-Pro Forma'!E71-1)),),IF('Part VII-Pro Forma'!$G$9="Yes",ROUND((-(SUM(E72:E75)*'Part VII-Pro Forma'!$K$9)),),"Choose mgt fee")))</f>
        <v>-73755</v>
      </c>
      <c r="F78" s="25">
        <f>IF(AND('Part VII-Pro Forma'!$G$8="Yes",'Part VII-Pro Forma'!$G$9="Yes"),"Choose One!",IF('Part VII-Pro Forma'!$G$8="Yes",ROUND((-$K$8*(1+'Part VII-Pro Forma'!$B$6)^('Part VII-Pro Forma'!F71-1)),),IF('Part VII-Pro Forma'!$G$9="Yes",ROUND((-(SUM(F72:F75)*'Part VII-Pro Forma'!$K$9)),),"Choose mgt fee")))</f>
        <v>-75968</v>
      </c>
      <c r="G78" s="25">
        <f>IF(AND('Part VII-Pro Forma'!$G$8="Yes",'Part VII-Pro Forma'!$G$9="Yes"),"Choose One!",IF('Part VII-Pro Forma'!$G$8="Yes",ROUND((-$K$8*(1+'Part VII-Pro Forma'!$B$6)^('Part VII-Pro Forma'!G71-1)),),IF('Part VII-Pro Forma'!$G$9="Yes",ROUND((-(SUM(G72:G75)*'Part VII-Pro Forma'!$K$9)),),"Choose mgt fee")))</f>
        <v>-78247</v>
      </c>
      <c r="H78" s="25">
        <f>IF(AND('Part VII-Pro Forma'!$G$8="Yes",'Part VII-Pro Forma'!$G$9="Yes"),"Choose One!",IF('Part VII-Pro Forma'!$G$8="Yes",ROUND((-$K$8*(1+'Part VII-Pro Forma'!$B$6)^('Part VII-Pro Forma'!H71-1)),),IF('Part VII-Pro Forma'!$G$9="Yes",ROUND((-(SUM(H72:H75)*'Part VII-Pro Forma'!$K$9)),),"Choose mgt fee")))</f>
        <v>-80594</v>
      </c>
      <c r="I78" s="25">
        <f>IF(AND('Part VII-Pro Forma'!$G$8="Yes",'Part VII-Pro Forma'!$G$9="Yes"),"Choose One!",IF('Part VII-Pro Forma'!$G$8="Yes",ROUND((-$K$8*(1+'Part VII-Pro Forma'!$B$6)^('Part VII-Pro Forma'!I71-1)),),IF('Part VII-Pro Forma'!$G$9="Yes",ROUND((-(SUM(I72:I75)*'Part VII-Pro Forma'!$K$9)),),"Choose mgt fee")))</f>
        <v>-83012</v>
      </c>
      <c r="J78" s="25">
        <f>IF(AND('Part VII-Pro Forma'!$G$8="Yes",'Part VII-Pro Forma'!$G$9="Yes"),"Choose One!",IF('Part VII-Pro Forma'!$G$8="Yes",ROUND((-$K$8*(1+'Part VII-Pro Forma'!$B$6)^('Part VII-Pro Forma'!J71-1)),),IF('Part VII-Pro Forma'!$G$9="Yes",ROUND((-(SUM(J72:J75)*'Part VII-Pro Forma'!$K$9)),),"Choose mgt fee")))</f>
        <v>-85502</v>
      </c>
      <c r="K78" s="25">
        <f>IF(AND('Part VII-Pro Forma'!$G$8="Yes",'Part VII-Pro Forma'!$G$9="Yes"),"Choose One!",IF('Part VII-Pro Forma'!$G$8="Yes",ROUND((-$K$8*(1+'Part VII-Pro Forma'!$B$6)^('Part VII-Pro Forma'!K71-1)),),IF('Part VII-Pro Forma'!$G$9="Yes",ROUND((-(SUM(K72:K75)*'Part VII-Pro Forma'!$K$9)),),"Choose mgt fee")))</f>
        <v>-88067</v>
      </c>
      <c r="M78" s="1831"/>
      <c r="N78" s="1832"/>
    </row>
    <row r="79" spans="1:14" ht="13.15" customHeight="1">
      <c r="A79" s="24" t="s">
        <v>1277</v>
      </c>
      <c r="B79" s="25">
        <f t="shared" ref="B79:K79" si="33">$B$21*(1+$B$7)^(B71-1)</f>
        <v>-80913.783313189721</v>
      </c>
      <c r="C79" s="25">
        <f t="shared" si="33"/>
        <v>-83341.196812585389</v>
      </c>
      <c r="D79" s="25">
        <f t="shared" si="33"/>
        <v>-85841.432716962969</v>
      </c>
      <c r="E79" s="25">
        <f t="shared" si="33"/>
        <v>-88416.675698471852</v>
      </c>
      <c r="F79" s="25">
        <f t="shared" si="33"/>
        <v>-91069.175969425996</v>
      </c>
      <c r="G79" s="25">
        <f t="shared" si="33"/>
        <v>-93801.251248508779</v>
      </c>
      <c r="H79" s="25">
        <f t="shared" si="33"/>
        <v>-96615.288785964061</v>
      </c>
      <c r="I79" s="25">
        <f t="shared" si="33"/>
        <v>-99513.747449542963</v>
      </c>
      <c r="J79" s="25">
        <f t="shared" si="33"/>
        <v>-102499.15987302926</v>
      </c>
      <c r="K79" s="26">
        <f t="shared" si="33"/>
        <v>-105574.13466922012</v>
      </c>
      <c r="M79" s="1831"/>
      <c r="N79" s="1832"/>
    </row>
    <row r="80" spans="1:14" ht="13.15" customHeight="1">
      <c r="A80" s="24" t="s">
        <v>1278</v>
      </c>
      <c r="B80" s="25">
        <f t="shared" ref="B80:K80" si="34">SUM(B72:B79)</f>
        <v>104323.14776098906</v>
      </c>
      <c r="C80" s="25">
        <f t="shared" si="34"/>
        <v>96352.360807696547</v>
      </c>
      <c r="D80" s="25">
        <f t="shared" si="34"/>
        <v>87920.193018082675</v>
      </c>
      <c r="E80" s="25">
        <f t="shared" si="34"/>
        <v>79009.192822503261</v>
      </c>
      <c r="F80" s="25">
        <f t="shared" si="34"/>
        <v>69599.326301334251</v>
      </c>
      <c r="G80" s="25">
        <f t="shared" si="34"/>
        <v>59671.957938413398</v>
      </c>
      <c r="H80" s="25">
        <f t="shared" si="34"/>
        <v>49206.830761565318</v>
      </c>
      <c r="I80" s="25">
        <f t="shared" si="34"/>
        <v>38182.045851112009</v>
      </c>
      <c r="J80" s="25">
        <f t="shared" si="34"/>
        <v>26577.041196679187</v>
      </c>
      <c r="K80" s="26">
        <f t="shared" si="34"/>
        <v>14368.569882013791</v>
      </c>
      <c r="M80" s="1831"/>
      <c r="N80" s="1832"/>
    </row>
    <row r="81" spans="1:14" ht="13.15" customHeight="1">
      <c r="A81" s="24" t="str">
        <f>$A52</f>
        <v>Mortgage A</v>
      </c>
      <c r="B81" s="1379">
        <f>IF('Part III-Sources of Funds'!$M$32="", 0,-'Part III-Sources of Funds'!$M$32)</f>
        <v>-114909.96667102081</v>
      </c>
      <c r="C81" s="1379">
        <f>IF('Part III-Sources of Funds'!$M$32="", 0,-'Part III-Sources of Funds'!$M$32)</f>
        <v>-114909.96667102081</v>
      </c>
      <c r="D81" s="1379">
        <f>IF('Part III-Sources of Funds'!$M$32="", 0,-'Part III-Sources of Funds'!$M$32)</f>
        <v>-114909.96667102081</v>
      </c>
      <c r="E81" s="1379">
        <f>IF('Part III-Sources of Funds'!$M$32="", 0,-'Part III-Sources of Funds'!$M$32)</f>
        <v>-114909.96667102081</v>
      </c>
      <c r="F81" s="1379">
        <f>IF('Part III-Sources of Funds'!$M$32="", 0,-'Part III-Sources of Funds'!$M$32)</f>
        <v>-114909.96667102081</v>
      </c>
      <c r="G81" s="1379">
        <f>IF('Part III-Sources of Funds'!$M$32="", 0,-'Part III-Sources of Funds'!$M$32)</f>
        <v>-114909.96667102081</v>
      </c>
      <c r="H81" s="1379">
        <f>IF('Part III-Sources of Funds'!$M$32="", 0,-'Part III-Sources of Funds'!$M$32)</f>
        <v>-114909.96667102081</v>
      </c>
      <c r="I81" s="1379">
        <f>IF('Part III-Sources of Funds'!$M$32="", 0,-'Part III-Sources of Funds'!$M$32)</f>
        <v>-114909.96667102081</v>
      </c>
      <c r="J81" s="1379">
        <f>IF('Part III-Sources of Funds'!$M$32="", 0,-'Part III-Sources of Funds'!$M$32)</f>
        <v>-114909.96667102081</v>
      </c>
      <c r="K81" s="1379">
        <f>IF('Part III-Sources of Funds'!$M$32="", 0,-'Part III-Sources of Funds'!$M$32)</f>
        <v>-114909.96667102081</v>
      </c>
      <c r="M81" s="1831"/>
      <c r="N81" s="1832"/>
    </row>
    <row r="82" spans="1:14" ht="13.15" customHeight="1">
      <c r="A82" s="24" t="str">
        <f>$A53</f>
        <v>Mortgage B</v>
      </c>
      <c r="B82" s="1380">
        <f>IF('Part III-Sources of Funds'!$M$33="", 0,-'Part III-Sources of Funds'!$M$33)</f>
        <v>0</v>
      </c>
      <c r="C82" s="1380">
        <f>IF('Part III-Sources of Funds'!$M$33="", 0,-'Part III-Sources of Funds'!$M$33)</f>
        <v>0</v>
      </c>
      <c r="D82" s="1380">
        <f>IF('Part III-Sources of Funds'!$M$33="", 0,-'Part III-Sources of Funds'!$M$33)</f>
        <v>0</v>
      </c>
      <c r="E82" s="1380">
        <f>IF('Part III-Sources of Funds'!$M$33="", 0,-'Part III-Sources of Funds'!$M$33)</f>
        <v>0</v>
      </c>
      <c r="F82" s="1380">
        <f>IF('Part III-Sources of Funds'!$M$33="", 0,-'Part III-Sources of Funds'!$M$33)</f>
        <v>0</v>
      </c>
      <c r="G82" s="1380">
        <f>IF('Part III-Sources of Funds'!$M$33="", 0,-'Part III-Sources of Funds'!$M$33)</f>
        <v>0</v>
      </c>
      <c r="H82" s="1380">
        <f>IF('Part III-Sources of Funds'!$M$33="", 0,-'Part III-Sources of Funds'!$M$33)</f>
        <v>0</v>
      </c>
      <c r="I82" s="1380">
        <f>IF('Part III-Sources of Funds'!$M$33="", 0,-'Part III-Sources of Funds'!$M$33)</f>
        <v>0</v>
      </c>
      <c r="J82" s="1380">
        <f>IF('Part III-Sources of Funds'!$M$33="", 0,-'Part III-Sources of Funds'!$M$33)</f>
        <v>0</v>
      </c>
      <c r="K82" s="1380">
        <f>IF('Part III-Sources of Funds'!$M$33="", 0,-'Part III-Sources of Funds'!$M$33)</f>
        <v>0</v>
      </c>
      <c r="M82" s="1831"/>
      <c r="N82" s="1832"/>
    </row>
    <row r="83" spans="1:14" ht="13.15" customHeight="1">
      <c r="A83" s="24" t="str">
        <f>$A54</f>
        <v>Mortgage C</v>
      </c>
      <c r="B83" s="1380">
        <f>IF('Part III-Sources of Funds'!$M$34="", 0,-'Part III-Sources of Funds'!$M$34)</f>
        <v>0</v>
      </c>
      <c r="C83" s="1380">
        <f>IF('Part III-Sources of Funds'!$M$34="", 0,-'Part III-Sources of Funds'!$M$34)</f>
        <v>0</v>
      </c>
      <c r="D83" s="1380">
        <f>IF('Part III-Sources of Funds'!$M$34="", 0,-'Part III-Sources of Funds'!$M$34)</f>
        <v>0</v>
      </c>
      <c r="E83" s="1380">
        <f>IF('Part III-Sources of Funds'!$M$34="", 0,-'Part III-Sources of Funds'!$M$34)</f>
        <v>0</v>
      </c>
      <c r="F83" s="1380">
        <f>IF('Part III-Sources of Funds'!$M$34="", 0,-'Part III-Sources of Funds'!$M$34)</f>
        <v>0</v>
      </c>
      <c r="G83" s="1380">
        <f>IF('Part III-Sources of Funds'!$M$34="", 0,-'Part III-Sources of Funds'!$M$34)</f>
        <v>0</v>
      </c>
      <c r="H83" s="1380">
        <f>IF('Part III-Sources of Funds'!$M$34="", 0,-'Part III-Sources of Funds'!$M$34)</f>
        <v>0</v>
      </c>
      <c r="I83" s="1380">
        <f>IF('Part III-Sources of Funds'!$M$34="", 0,-'Part III-Sources of Funds'!$M$34)</f>
        <v>0</v>
      </c>
      <c r="J83" s="1380">
        <f>IF('Part III-Sources of Funds'!$M$34="", 0,-'Part III-Sources of Funds'!$M$34)</f>
        <v>0</v>
      </c>
      <c r="K83" s="1380">
        <f>IF('Part III-Sources of Funds'!$M$34="", 0,-'Part III-Sources of Funds'!$M$34)</f>
        <v>0</v>
      </c>
      <c r="M83" s="1831"/>
      <c r="N83" s="1832"/>
    </row>
    <row r="84" spans="1:14" ht="13.15" customHeight="1">
      <c r="A84" s="24" t="str">
        <f>$A55</f>
        <v>D/S Other Source</v>
      </c>
      <c r="B84" s="1380">
        <f>IF('Part III-Sources of Funds'!$M$35="", 0,-'Part III-Sources of Funds'!$M$35)</f>
        <v>0</v>
      </c>
      <c r="C84" s="1380">
        <f>IF('Part III-Sources of Funds'!$M$35="", 0,-'Part III-Sources of Funds'!$M$35)</f>
        <v>0</v>
      </c>
      <c r="D84" s="1380">
        <f>IF('Part III-Sources of Funds'!$M$35="", 0,-'Part III-Sources of Funds'!$M$35)</f>
        <v>0</v>
      </c>
      <c r="E84" s="1380">
        <f>IF('Part III-Sources of Funds'!$M$35="", 0,-'Part III-Sources of Funds'!$M$35)</f>
        <v>0</v>
      </c>
      <c r="F84" s="1380">
        <f>IF('Part III-Sources of Funds'!$M$35="", 0,-'Part III-Sources of Funds'!$M$35)</f>
        <v>0</v>
      </c>
      <c r="G84" s="1380">
        <f>IF('Part III-Sources of Funds'!$M$35="", 0,-'Part III-Sources of Funds'!$M$35)</f>
        <v>0</v>
      </c>
      <c r="H84" s="1380">
        <f>IF('Part III-Sources of Funds'!$M$35="", 0,-'Part III-Sources of Funds'!$M$35)</f>
        <v>0</v>
      </c>
      <c r="I84" s="1380">
        <f>IF('Part III-Sources of Funds'!$M$35="", 0,-'Part III-Sources of Funds'!$M$35)</f>
        <v>0</v>
      </c>
      <c r="J84" s="1380">
        <f>IF('Part III-Sources of Funds'!$M$35="", 0,-'Part III-Sources of Funds'!$M$35)</f>
        <v>0</v>
      </c>
      <c r="K84" s="1380">
        <f>IF('Part III-Sources of Funds'!$M$35="", 0,-'Part III-Sources of Funds'!$M$35)</f>
        <v>0</v>
      </c>
      <c r="M84" s="1831"/>
      <c r="N84" s="1832"/>
    </row>
    <row r="85" spans="1:14" ht="13.15" customHeight="1">
      <c r="A85" s="24" t="s">
        <v>813</v>
      </c>
      <c r="B85" s="1381"/>
      <c r="C85" s="1381"/>
      <c r="D85" s="1381"/>
      <c r="E85" s="1381"/>
      <c r="F85" s="1381"/>
      <c r="G85" s="1381"/>
      <c r="H85" s="1381"/>
      <c r="I85" s="1381"/>
      <c r="J85" s="1381"/>
      <c r="K85" s="1381"/>
      <c r="M85" s="1831"/>
      <c r="N85" s="1832"/>
    </row>
    <row r="86" spans="1:14" ht="13.15" customHeight="1">
      <c r="A86" s="24" t="s">
        <v>1233</v>
      </c>
      <c r="B86" s="1380">
        <f>+K57</f>
        <v>-5000</v>
      </c>
      <c r="C86" s="1380">
        <f t="shared" ref="C86:K86" si="35">+B86</f>
        <v>-5000</v>
      </c>
      <c r="D86" s="1380">
        <f t="shared" si="35"/>
        <v>-5000</v>
      </c>
      <c r="E86" s="1380">
        <f t="shared" si="35"/>
        <v>-5000</v>
      </c>
      <c r="F86" s="1380">
        <f t="shared" si="35"/>
        <v>-5000</v>
      </c>
      <c r="G86" s="1380">
        <f t="shared" si="35"/>
        <v>-5000</v>
      </c>
      <c r="H86" s="1380">
        <f t="shared" si="35"/>
        <v>-5000</v>
      </c>
      <c r="I86" s="1380">
        <f t="shared" si="35"/>
        <v>-5000</v>
      </c>
      <c r="J86" s="1380">
        <f t="shared" si="35"/>
        <v>-5000</v>
      </c>
      <c r="K86" s="1380">
        <f t="shared" si="35"/>
        <v>-5000</v>
      </c>
      <c r="M86" s="1831"/>
      <c r="N86" s="1832"/>
    </row>
    <row r="87" spans="1:14" ht="13.15" customHeight="1">
      <c r="A87" s="24" t="s">
        <v>1279</v>
      </c>
      <c r="B87" s="1382">
        <f>IF('Part III-Sources of Funds'!$M$37="", 0,-'Part III-Sources of Funds'!$M$37)</f>
        <v>0</v>
      </c>
      <c r="C87" s="1382">
        <f>IF('Part III-Sources of Funds'!$M$37="", 0,-'Part III-Sources of Funds'!$M$37)</f>
        <v>0</v>
      </c>
      <c r="D87" s="1382">
        <f>IF('Part III-Sources of Funds'!$M$37="", 0,-'Part III-Sources of Funds'!$M$37)</f>
        <v>0</v>
      </c>
      <c r="E87" s="1382">
        <f>IF('Part III-Sources of Funds'!$M$37="", 0,-'Part III-Sources of Funds'!$M$37)</f>
        <v>0</v>
      </c>
      <c r="F87" s="1382">
        <f>IF('Part III-Sources of Funds'!$M$37="", 0,-'Part III-Sources of Funds'!$M$37)</f>
        <v>0</v>
      </c>
      <c r="G87" s="1382">
        <f>IF('Part III-Sources of Funds'!$M$37="", 0,-'Part III-Sources of Funds'!$M$37)</f>
        <v>0</v>
      </c>
      <c r="H87" s="1382">
        <f>IF('Part III-Sources of Funds'!$M$37="", 0,-'Part III-Sources of Funds'!$M$37)</f>
        <v>0</v>
      </c>
      <c r="I87" s="1382">
        <f>IF('Part III-Sources of Funds'!$M$37="", 0,-'Part III-Sources of Funds'!$M$37)</f>
        <v>0</v>
      </c>
      <c r="J87" s="1382">
        <f>IF('Part III-Sources of Funds'!$M$37="", 0,-'Part III-Sources of Funds'!$M$37)</f>
        <v>0</v>
      </c>
      <c r="K87" s="1380">
        <f>IF('Part III-Sources of Funds'!$M$37="", 0,-'Part III-Sources of Funds'!$M$37)</f>
        <v>0</v>
      </c>
      <c r="M87" s="1831"/>
      <c r="N87" s="1832"/>
    </row>
    <row r="88" spans="1:14" ht="13.15" customHeight="1">
      <c r="A88" s="24" t="s">
        <v>1234</v>
      </c>
      <c r="B88" s="25">
        <f t="shared" ref="B88:K88" si="36">SUM(B80:B87)</f>
        <v>-15586.818910031754</v>
      </c>
      <c r="C88" s="25">
        <f t="shared" si="36"/>
        <v>-23557.605863324265</v>
      </c>
      <c r="D88" s="25">
        <f t="shared" si="36"/>
        <v>-31989.773652938136</v>
      </c>
      <c r="E88" s="25">
        <f t="shared" si="36"/>
        <v>-40900.773848517551</v>
      </c>
      <c r="F88" s="25">
        <f t="shared" si="36"/>
        <v>-50310.64036968656</v>
      </c>
      <c r="G88" s="25">
        <f t="shared" si="36"/>
        <v>-60238.008732607414</v>
      </c>
      <c r="H88" s="25">
        <f t="shared" si="36"/>
        <v>-70703.135909455494</v>
      </c>
      <c r="I88" s="25">
        <f t="shared" si="36"/>
        <v>-81727.920819908803</v>
      </c>
      <c r="J88" s="25">
        <f t="shared" si="36"/>
        <v>-93332.925474341624</v>
      </c>
      <c r="K88" s="23">
        <f t="shared" si="36"/>
        <v>-105541.39678900702</v>
      </c>
      <c r="M88" s="1831"/>
      <c r="N88" s="1832"/>
    </row>
    <row r="89" spans="1:14" ht="13.15" customHeight="1">
      <c r="A89" s="24" t="str">
        <f>$A60</f>
        <v>DCR Mortgage A</v>
      </c>
      <c r="B89" s="27">
        <f>IF(B81=0,"",-B80/B81)</f>
        <v>0.90786857557498846</v>
      </c>
      <c r="C89" s="27">
        <f t="shared" ref="C89:K89" si="37">IF(C81=0,"",-C80/C81)</f>
        <v>0.83850307853231398</v>
      </c>
      <c r="D89" s="27">
        <f t="shared" si="37"/>
        <v>0.76512243076174613</v>
      </c>
      <c r="E89" s="27">
        <f t="shared" si="37"/>
        <v>0.68757476058365807</v>
      </c>
      <c r="F89" s="27">
        <f t="shared" si="37"/>
        <v>0.60568572350727634</v>
      </c>
      <c r="G89" s="27">
        <f t="shared" si="37"/>
        <v>0.51929314459945874</v>
      </c>
      <c r="H89" s="27">
        <f t="shared" si="37"/>
        <v>0.42822073826233914</v>
      </c>
      <c r="I89" s="27">
        <f t="shared" si="37"/>
        <v>0.33227792990685073</v>
      </c>
      <c r="J89" s="27">
        <f t="shared" si="37"/>
        <v>0.23128577935077987</v>
      </c>
      <c r="K89" s="28">
        <f t="shared" si="37"/>
        <v>0.12504198111161238</v>
      </c>
      <c r="M89" s="1831"/>
      <c r="N89" s="183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831"/>
      <c r="N90" s="183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831"/>
      <c r="N91" s="183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831"/>
      <c r="N92" s="1832"/>
    </row>
    <row r="93" spans="1:14" ht="13.15" customHeight="1">
      <c r="A93" s="24" t="s">
        <v>820</v>
      </c>
      <c r="B93" s="320">
        <f>IF(OR(B78="Choose mgt fee",B78="Choose One!"),"",(B72+B73+B74+B75+B76) / -(B77+B78+B79))</f>
        <v>1.1037305361569292</v>
      </c>
      <c r="C93" s="320">
        <f t="shared" ref="C93:K93" si="41">IF(OR(C78="Choose mgt fee",C78="Choose One!"),"",(C72+C73+C74+C75+C76) / -(C77+C78+C79))</f>
        <v>1.0930145790906678</v>
      </c>
      <c r="D93" s="320">
        <f t="shared" si="41"/>
        <v>1.0824024117059119</v>
      </c>
      <c r="E93" s="320">
        <f t="shared" si="41"/>
        <v>1.0718938552532404</v>
      </c>
      <c r="F93" s="320">
        <f t="shared" si="41"/>
        <v>1.0614867905786123</v>
      </c>
      <c r="G93" s="320">
        <f t="shared" si="41"/>
        <v>1.0511811296469709</v>
      </c>
      <c r="H93" s="320">
        <f t="shared" si="41"/>
        <v>1.0409758430192875</v>
      </c>
      <c r="I93" s="320">
        <f t="shared" si="41"/>
        <v>1.0308691314192853</v>
      </c>
      <c r="J93" s="320">
        <f t="shared" si="41"/>
        <v>1.0208609817178023</v>
      </c>
      <c r="K93" s="321">
        <f t="shared" si="41"/>
        <v>1.0109497562750847</v>
      </c>
      <c r="M93" s="1831"/>
      <c r="N93" s="1832"/>
    </row>
    <row r="94" spans="1:14" ht="13.15" customHeight="1">
      <c r="A94" s="523" t="s">
        <v>2799</v>
      </c>
      <c r="B94" s="1383">
        <f>IF('Part III-Sources of Funds'!$H$32="","",-FV('Part III-Sources of Funds'!$J$32/12,12,B81/12,K65))</f>
        <v>781412.44102230191</v>
      </c>
      <c r="C94" s="1383">
        <f>IF('Part III-Sources of Funds'!$H$32="","",-FV('Part III-Sources of Funds'!$J$32/12,12,C81/12,B94))</f>
        <v>715349.18273679714</v>
      </c>
      <c r="D94" s="1383">
        <f>IF('Part III-Sources of Funds'!$H$32="","",-FV('Part III-Sources of Funds'!$J$32/12,12,D81/12,C94))</f>
        <v>644861.54569458973</v>
      </c>
      <c r="E94" s="1383">
        <f>IF('Part III-Sources of Funds'!$H$32="","",-FV('Part III-Sources of Funds'!$J$32/12,12,E81/12,D94))</f>
        <v>569653.22105638264</v>
      </c>
      <c r="F94" s="1383">
        <f>IF('Part III-Sources of Funds'!$H$32="","",-FV('Part III-Sources of Funds'!$J$32/12,12,F81/12,E94))</f>
        <v>489408.05563114624</v>
      </c>
      <c r="G94" s="1383">
        <f>IF('Part III-Sources of Funds'!$H$32="","",-FV('Part III-Sources of Funds'!$J$32/12,12,G81/12,F94))</f>
        <v>403788.72286313138</v>
      </c>
      <c r="H94" s="1383">
        <f>IF('Part III-Sources of Funds'!$H$32="","",-FV('Part III-Sources of Funds'!$J$32/12,12,H81/12,G94))</f>
        <v>312435.30481242051</v>
      </c>
      <c r="I94" s="1383">
        <f>IF('Part III-Sources of Funds'!$H$32="","",-FV('Part III-Sources of Funds'!$J$32/12,12,I81/12,H94))</f>
        <v>214963.77916809102</v>
      </c>
      <c r="J94" s="1383">
        <f>IF('Part III-Sources of Funds'!$H$32="","",-FV('Part III-Sources of Funds'!$J$32/12,12,J81/12,I94))</f>
        <v>110964.40493384741</v>
      </c>
      <c r="K94" s="1383">
        <f>IF('Part III-Sources of Funds'!$H$32="","",-FV('Part III-Sources of Funds'!$J$32/12,12,K81/12,J94))</f>
        <v>3.0951923690736294E-8</v>
      </c>
      <c r="M94" s="1831"/>
      <c r="N94" s="1832"/>
    </row>
    <row r="95" spans="1:14" ht="13.15" customHeight="1">
      <c r="A95" s="523" t="s">
        <v>2800</v>
      </c>
      <c r="B95" s="1380" t="str">
        <f>IF('Part III-Sources of Funds'!$H$33="","",-FV('Part III-Sources of Funds'!$J$33/12,12,B82/12,K66))</f>
        <v/>
      </c>
      <c r="C95" s="1380" t="str">
        <f>IF('Part III-Sources of Funds'!$H$33="","",-FV('Part III-Sources of Funds'!$J$33/12,12,C82/12,B95))</f>
        <v/>
      </c>
      <c r="D95" s="1380" t="str">
        <f>IF('Part III-Sources of Funds'!$H$33="","",-FV('Part III-Sources of Funds'!$J$33/12,12,D82/12,C95))</f>
        <v/>
      </c>
      <c r="E95" s="1380" t="str">
        <f>IF('Part III-Sources of Funds'!$H$33="","",-FV('Part III-Sources of Funds'!$J$33/12,12,E82/12,D95))</f>
        <v/>
      </c>
      <c r="F95" s="1380" t="str">
        <f>IF('Part III-Sources of Funds'!$H$33="","",-FV('Part III-Sources of Funds'!$J$33/12,12,F82/12,E95))</f>
        <v/>
      </c>
      <c r="G95" s="1380" t="str">
        <f>IF('Part III-Sources of Funds'!$H$33="","",-FV('Part III-Sources of Funds'!$J$33/12,12,G82/12,F95))</f>
        <v/>
      </c>
      <c r="H95" s="1380" t="str">
        <f>IF('Part III-Sources of Funds'!$H$33="","",-FV('Part III-Sources of Funds'!$J$33/12,12,H82/12,G95))</f>
        <v/>
      </c>
      <c r="I95" s="1380" t="str">
        <f>IF('Part III-Sources of Funds'!$H$33="","",-FV('Part III-Sources of Funds'!$J$33/12,12,I82/12,H95))</f>
        <v/>
      </c>
      <c r="J95" s="1380" t="str">
        <f>IF('Part III-Sources of Funds'!$H$33="","",-FV('Part III-Sources of Funds'!$J$33/12,12,J82/12,I95))</f>
        <v/>
      </c>
      <c r="K95" s="1380" t="str">
        <f>IF('Part III-Sources of Funds'!$H$33="","",-FV('Part III-Sources of Funds'!$J$33/12,12,K82/12,J95))</f>
        <v/>
      </c>
      <c r="M95" s="1831"/>
      <c r="N95" s="1832"/>
    </row>
    <row r="96" spans="1:14" ht="13.15" customHeight="1">
      <c r="A96" s="523" t="s">
        <v>2801</v>
      </c>
      <c r="B96" s="1380" t="str">
        <f>IF('Part III-Sources of Funds'!$H$34="","",-FV('Part III-Sources of Funds'!$J$34/12,12,B83/12,K67))</f>
        <v/>
      </c>
      <c r="C96" s="1380" t="str">
        <f>IF('Part III-Sources of Funds'!$H$34="","",-FV('Part III-Sources of Funds'!$J$34/12,12,C83/12,B96))</f>
        <v/>
      </c>
      <c r="D96" s="1380" t="str">
        <f>IF('Part III-Sources of Funds'!$H$34="","",-FV('Part III-Sources of Funds'!$J$34/12,12,D83/12,C96))</f>
        <v/>
      </c>
      <c r="E96" s="1380" t="str">
        <f>IF('Part III-Sources of Funds'!$H$34="","",-FV('Part III-Sources of Funds'!$J$34/12,12,E83/12,D96))</f>
        <v/>
      </c>
      <c r="F96" s="1380" t="str">
        <f>IF('Part III-Sources of Funds'!$H$34="","",-FV('Part III-Sources of Funds'!$J$34/12,12,F83/12,E96))</f>
        <v/>
      </c>
      <c r="G96" s="1380" t="str">
        <f>IF('Part III-Sources of Funds'!$H$34="","",-FV('Part III-Sources of Funds'!$J$34/12,12,G83/12,F96))</f>
        <v/>
      </c>
      <c r="H96" s="1380" t="str">
        <f>IF('Part III-Sources of Funds'!$H$34="","",-FV('Part III-Sources of Funds'!$J$34/12,12,H83/12,G96))</f>
        <v/>
      </c>
      <c r="I96" s="1380" t="str">
        <f>IF('Part III-Sources of Funds'!$H$34="","",-FV('Part III-Sources of Funds'!$J$34/12,12,I83/12,H96))</f>
        <v/>
      </c>
      <c r="J96" s="1380" t="str">
        <f>IF('Part III-Sources of Funds'!$H$34="","",-FV('Part III-Sources of Funds'!$J$34/12,12,J83/12,I96))</f>
        <v/>
      </c>
      <c r="K96" s="1380" t="str">
        <f>IF('Part III-Sources of Funds'!$H$34="","",-FV('Part III-Sources of Funds'!$J$34/12,12,K83/12,J96))</f>
        <v/>
      </c>
      <c r="M96" s="1831"/>
      <c r="N96" s="1832"/>
    </row>
    <row r="97" spans="1:14" ht="13.15" customHeight="1">
      <c r="A97" s="24" t="s">
        <v>836</v>
      </c>
      <c r="B97" s="1380" t="str">
        <f>IF('Part III-Sources of Funds'!$H$35="","",-FV('Part III-Sources of Funds'!$J$35/12,12,B84/12,K68))</f>
        <v/>
      </c>
      <c r="C97" s="1380" t="str">
        <f>IF('Part III-Sources of Funds'!$H$35="","",-FV('Part III-Sources of Funds'!$J$35/12,12,C84/12,B97))</f>
        <v/>
      </c>
      <c r="D97" s="1380" t="str">
        <f>IF('Part III-Sources of Funds'!$H$35="","",-FV('Part III-Sources of Funds'!$J$35/12,12,D84/12,C97))</f>
        <v/>
      </c>
      <c r="E97" s="1380" t="str">
        <f>IF('Part III-Sources of Funds'!$H$35="","",-FV('Part III-Sources of Funds'!$J$35/12,12,E84/12,D97))</f>
        <v/>
      </c>
      <c r="F97" s="1380" t="str">
        <f>IF('Part III-Sources of Funds'!$H$35="","",-FV('Part III-Sources of Funds'!$J$35/12,12,F84/12,E97))</f>
        <v/>
      </c>
      <c r="G97" s="1380" t="str">
        <f>IF('Part III-Sources of Funds'!$H$35="","",-FV('Part III-Sources of Funds'!$J$35/12,12,G84/12,F97))</f>
        <v/>
      </c>
      <c r="H97" s="1380" t="str">
        <f>IF('Part III-Sources of Funds'!$H$35="","",-FV('Part III-Sources of Funds'!$J$35/12,12,H84/12,G97))</f>
        <v/>
      </c>
      <c r="I97" s="1380" t="str">
        <f>IF('Part III-Sources of Funds'!$H$35="","",-FV('Part III-Sources of Funds'!$J$35/12,12,I84/12,H97))</f>
        <v/>
      </c>
      <c r="J97" s="1380" t="str">
        <f>IF('Part III-Sources of Funds'!$H$35="","",-FV('Part III-Sources of Funds'!$J$35/12,12,J84/12,I97))</f>
        <v/>
      </c>
      <c r="K97" s="1380" t="str">
        <f>IF('Part III-Sources of Funds'!$H$35="","",-FV('Part III-Sources of Funds'!$J$35/12,12,K84/12,J97))</f>
        <v/>
      </c>
      <c r="M97" s="1831"/>
      <c r="N97" s="1832"/>
    </row>
    <row r="98" spans="1:14" ht="13.15" customHeight="1">
      <c r="A98" s="29" t="s">
        <v>1314</v>
      </c>
      <c r="B98" s="1382">
        <f>IF('Part III-Sources of Funds'!$H$37="","",-FV('Part III-Sources of Funds'!$J$37/12,12,B87/12,K69))</f>
        <v>0</v>
      </c>
      <c r="C98" s="1382">
        <f>IF('Part III-Sources of Funds'!$H$37="","",-FV('Part III-Sources of Funds'!$J$37/12,12,C87/12,B98))</f>
        <v>0</v>
      </c>
      <c r="D98" s="1382">
        <f>IF('Part III-Sources of Funds'!$H$37="","",-FV('Part III-Sources of Funds'!$J$37/12,12,D87/12,C98))</f>
        <v>0</v>
      </c>
      <c r="E98" s="1382">
        <f>IF('Part III-Sources of Funds'!$H$37="","",-FV('Part III-Sources of Funds'!$J$37/12,12,E87/12,D98))</f>
        <v>0</v>
      </c>
      <c r="F98" s="1382">
        <f>IF('Part III-Sources of Funds'!$H$37="","",-FV('Part III-Sources of Funds'!$J$37/12,12,F87/12,E98))</f>
        <v>0</v>
      </c>
      <c r="G98" s="1382">
        <f>IF('Part III-Sources of Funds'!$H$37="","",-FV('Part III-Sources of Funds'!$J$37/12,12,G87/12,F98))</f>
        <v>0</v>
      </c>
      <c r="H98" s="1382">
        <f>IF('Part III-Sources of Funds'!$H$37="","",-FV('Part III-Sources of Funds'!$J$37/12,12,H87/12,G98))</f>
        <v>0</v>
      </c>
      <c r="I98" s="1382">
        <f>IF('Part III-Sources of Funds'!$H$37="","",-FV('Part III-Sources of Funds'!$J$37/12,12,I87/12,H98))</f>
        <v>0</v>
      </c>
      <c r="J98" s="1382">
        <f>IF('Part III-Sources of Funds'!$H$37="","",-FV('Part III-Sources of Funds'!$J$37/12,12,J87/12,I98))</f>
        <v>0</v>
      </c>
      <c r="K98" s="1382">
        <f>IF('Part III-Sources of Funds'!$H$37="","",-FV('Part III-Sources of Funds'!$J$37/12,12,K87/12,J98))</f>
        <v>0</v>
      </c>
      <c r="M98" s="1833"/>
      <c r="N98" s="1834"/>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551"/>
      <c r="B103" s="1994"/>
      <c r="C103" s="1994"/>
      <c r="D103" s="1994"/>
      <c r="E103" s="1994"/>
      <c r="F103" s="1995"/>
      <c r="G103" s="1996"/>
      <c r="H103" s="1997"/>
      <c r="I103" s="1997"/>
      <c r="J103" s="1997"/>
      <c r="K103" s="1998"/>
      <c r="M103" s="1792" t="s">
        <v>2923</v>
      </c>
      <c r="N103" s="1792"/>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233"/>
      <selection sqref="A1:XFD1048576"/>
      <selection pane="bottomLeft" activeCell="U391" sqref="U39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98" t="str">
        <f>CONCATENATE("PART EIGHT - THRESHOLD CRITERIA","  -  ",'Part I-Project Information'!$O$4," ",'Part I-Project Information'!$F$23,", ",'Part I-Project Information'!F27,", ",'Part I-Project Information'!J28," County")</f>
        <v>PART EIGHT - THRESHOLD CRITERIA  -  2014-006 North Grove Apartments, Athens, Clarke County</v>
      </c>
      <c r="B1" s="1799"/>
      <c r="C1" s="1799"/>
      <c r="D1" s="1799"/>
      <c r="E1" s="1799"/>
      <c r="F1" s="1799"/>
      <c r="G1" s="1799"/>
      <c r="H1" s="1799"/>
      <c r="I1" s="1799"/>
      <c r="J1" s="1799"/>
      <c r="K1" s="1799"/>
      <c r="L1" s="1799"/>
      <c r="M1" s="1799"/>
      <c r="N1" s="1799"/>
      <c r="O1" s="1799"/>
      <c r="P1" s="1799"/>
      <c r="Q1" s="1799"/>
    </row>
    <row r="2" spans="1:32" s="31" customFormat="1" ht="3" customHeight="1">
      <c r="S2" s="43"/>
      <c r="T2" s="43"/>
      <c r="AE2" s="137"/>
      <c r="AF2" s="137"/>
    </row>
    <row r="3" spans="1:32" ht="13.5" customHeight="1">
      <c r="A3" s="215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58"/>
      <c r="C3" s="2158"/>
      <c r="D3" s="2158"/>
      <c r="E3" s="2158"/>
      <c r="F3" s="2158"/>
      <c r="G3" s="2158"/>
      <c r="H3" s="215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58"/>
      <c r="J3" s="2158"/>
      <c r="K3" s="2158"/>
      <c r="L3" s="2158"/>
      <c r="M3" s="2158"/>
      <c r="N3" s="2159"/>
      <c r="O3" s="2160" t="s">
        <v>990</v>
      </c>
      <c r="P3" s="2161"/>
      <c r="Q3" s="775" t="s">
        <v>1970</v>
      </c>
    </row>
    <row r="4" spans="1:32" ht="3" customHeight="1">
      <c r="A4" s="1172"/>
      <c r="B4" s="2152"/>
      <c r="C4" s="2152"/>
      <c r="D4" s="2152"/>
      <c r="E4" s="1172"/>
      <c r="F4" s="1172"/>
      <c r="G4" s="1172"/>
      <c r="H4" s="1172"/>
      <c r="I4" s="1172"/>
      <c r="J4" s="1172"/>
      <c r="K4" s="1172"/>
      <c r="L4" s="1172"/>
      <c r="M4" s="1172"/>
      <c r="N4" s="1172"/>
      <c r="P4" s="1172"/>
      <c r="Q4" s="1172"/>
    </row>
    <row r="5" spans="1:32" ht="10.9" hidden="1" customHeight="1">
      <c r="A5" s="1172"/>
      <c r="B5" s="1172"/>
      <c r="C5" s="1172"/>
      <c r="D5" s="1172"/>
      <c r="E5" s="1172"/>
      <c r="F5" s="1172"/>
      <c r="G5" s="1172"/>
      <c r="H5" s="1172"/>
      <c r="I5" s="1172"/>
      <c r="J5" s="1172"/>
      <c r="K5" s="1172"/>
      <c r="L5" s="1172"/>
      <c r="M5" s="1172"/>
      <c r="N5" s="1172"/>
      <c r="P5" s="1172"/>
      <c r="Q5" s="1172"/>
    </row>
    <row r="6" spans="1:32" ht="15" customHeight="1">
      <c r="A6" s="151" t="s">
        <v>599</v>
      </c>
      <c r="J6" s="1172"/>
      <c r="K6" s="1172"/>
      <c r="L6" s="1172"/>
      <c r="M6" s="1172"/>
      <c r="N6" s="1172"/>
      <c r="P6" s="2153"/>
      <c r="Q6" s="2154"/>
    </row>
    <row r="7" spans="1:32" ht="12.6" customHeight="1">
      <c r="A7" s="152" t="s">
        <v>290</v>
      </c>
      <c r="C7" s="153"/>
      <c r="D7" s="153"/>
      <c r="J7" s="1172"/>
      <c r="K7" s="1172"/>
      <c r="L7" s="1172"/>
      <c r="M7" s="1172"/>
      <c r="N7" s="1172"/>
    </row>
    <row r="8" spans="1:32" ht="24.6" customHeight="1">
      <c r="A8" s="2155" t="s">
        <v>1499</v>
      </c>
      <c r="B8" s="2156"/>
      <c r="C8" s="2156"/>
      <c r="D8" s="2156"/>
      <c r="E8" s="2156"/>
      <c r="F8" s="2156"/>
      <c r="G8" s="2156"/>
      <c r="H8" s="2156"/>
      <c r="I8" s="2156"/>
      <c r="J8" s="2156"/>
      <c r="K8" s="2156"/>
      <c r="L8" s="2156"/>
      <c r="M8" s="2156"/>
      <c r="N8" s="2156"/>
      <c r="O8" s="2156"/>
      <c r="P8" s="2156"/>
      <c r="Q8" s="2157"/>
      <c r="R8" s="2094" t="s">
        <v>2166</v>
      </c>
      <c r="S8" s="1491"/>
    </row>
    <row r="9" spans="1:32" ht="24.6" customHeight="1">
      <c r="A9" s="2108" t="s">
        <v>237</v>
      </c>
      <c r="B9" s="2109"/>
      <c r="C9" s="2109"/>
      <c r="D9" s="2109"/>
      <c r="E9" s="2109"/>
      <c r="F9" s="2109"/>
      <c r="G9" s="2109"/>
      <c r="H9" s="2109"/>
      <c r="I9" s="2109"/>
      <c r="J9" s="2109"/>
      <c r="K9" s="2109"/>
      <c r="L9" s="2109"/>
      <c r="M9" s="2109"/>
      <c r="N9" s="2109"/>
      <c r="O9" s="2109"/>
      <c r="P9" s="2109"/>
      <c r="Q9" s="2110"/>
      <c r="R9" s="2094"/>
      <c r="S9" s="1491"/>
    </row>
    <row r="10" spans="1:32" ht="24.6" customHeight="1">
      <c r="A10" s="2108" t="s">
        <v>1495</v>
      </c>
      <c r="B10" s="2109"/>
      <c r="C10" s="2109"/>
      <c r="D10" s="2109"/>
      <c r="E10" s="2109"/>
      <c r="F10" s="2109"/>
      <c r="G10" s="2109"/>
      <c r="H10" s="2109"/>
      <c r="I10" s="2109"/>
      <c r="J10" s="2109"/>
      <c r="K10" s="2109"/>
      <c r="L10" s="2109"/>
      <c r="M10" s="2109"/>
      <c r="N10" s="2109"/>
      <c r="O10" s="2109"/>
      <c r="P10" s="2109"/>
      <c r="Q10" s="2110"/>
      <c r="R10" s="2094"/>
      <c r="S10" s="1491"/>
    </row>
    <row r="11" spans="1:32" ht="24.6" customHeight="1">
      <c r="A11" s="2108" t="s">
        <v>1496</v>
      </c>
      <c r="B11" s="2109"/>
      <c r="C11" s="2109"/>
      <c r="D11" s="2109"/>
      <c r="E11" s="2109"/>
      <c r="F11" s="2109"/>
      <c r="G11" s="2109"/>
      <c r="H11" s="2109"/>
      <c r="I11" s="2109"/>
      <c r="J11" s="2109"/>
      <c r="K11" s="2109"/>
      <c r="L11" s="2109"/>
      <c r="M11" s="2109"/>
      <c r="N11" s="2109"/>
      <c r="O11" s="2109"/>
      <c r="P11" s="2109"/>
      <c r="Q11" s="2110"/>
      <c r="R11" s="2094"/>
      <c r="S11" s="1491"/>
    </row>
    <row r="12" spans="1:32" ht="24.6" customHeight="1">
      <c r="A12" s="2108" t="s">
        <v>1497</v>
      </c>
      <c r="B12" s="2109"/>
      <c r="C12" s="2109"/>
      <c r="D12" s="2109"/>
      <c r="E12" s="2109"/>
      <c r="F12" s="2109"/>
      <c r="G12" s="2109"/>
      <c r="H12" s="2109"/>
      <c r="I12" s="2109"/>
      <c r="J12" s="2109"/>
      <c r="K12" s="2109"/>
      <c r="L12" s="2109"/>
      <c r="M12" s="2109"/>
      <c r="N12" s="2109"/>
      <c r="O12" s="2109"/>
      <c r="P12" s="2109"/>
      <c r="Q12" s="2110"/>
      <c r="R12" s="1145"/>
      <c r="S12" s="1145"/>
    </row>
    <row r="13" spans="1:32" ht="24.6" customHeight="1">
      <c r="A13" s="2108" t="s">
        <v>1498</v>
      </c>
      <c r="B13" s="2109"/>
      <c r="C13" s="2109"/>
      <c r="D13" s="2109"/>
      <c r="E13" s="2109"/>
      <c r="F13" s="2109"/>
      <c r="G13" s="2109"/>
      <c r="H13" s="2109"/>
      <c r="I13" s="2109"/>
      <c r="J13" s="2109"/>
      <c r="K13" s="2109"/>
      <c r="L13" s="2109"/>
      <c r="M13" s="2109"/>
      <c r="N13" s="2109"/>
      <c r="O13" s="2109"/>
      <c r="P13" s="2109"/>
      <c r="Q13" s="2110"/>
      <c r="R13" s="1145"/>
      <c r="S13" s="1145"/>
    </row>
    <row r="14" spans="1:32" ht="24.6" customHeight="1">
      <c r="A14" s="2108" t="s">
        <v>1500</v>
      </c>
      <c r="B14" s="2109"/>
      <c r="C14" s="2109"/>
      <c r="D14" s="2109"/>
      <c r="E14" s="2109"/>
      <c r="F14" s="2109"/>
      <c r="G14" s="2109"/>
      <c r="H14" s="2109"/>
      <c r="I14" s="2109"/>
      <c r="J14" s="2109"/>
      <c r="K14" s="2109"/>
      <c r="L14" s="2109"/>
      <c r="M14" s="2109"/>
      <c r="N14" s="2109"/>
      <c r="O14" s="2109"/>
      <c r="P14" s="2109"/>
      <c r="Q14" s="2110"/>
    </row>
    <row r="15" spans="1:32" ht="24.6" customHeight="1">
      <c r="A15" s="2108" t="s">
        <v>2153</v>
      </c>
      <c r="B15" s="2109"/>
      <c r="C15" s="2109"/>
      <c r="D15" s="2109"/>
      <c r="E15" s="2109"/>
      <c r="F15" s="2109"/>
      <c r="G15" s="2109"/>
      <c r="H15" s="2109"/>
      <c r="I15" s="2109"/>
      <c r="J15" s="2109"/>
      <c r="K15" s="2109"/>
      <c r="L15" s="2109"/>
      <c r="M15" s="2109"/>
      <c r="N15" s="2109"/>
      <c r="O15" s="2109"/>
      <c r="P15" s="2109"/>
      <c r="Q15" s="2110"/>
      <c r="R15" s="1491" t="s">
        <v>2166</v>
      </c>
      <c r="S15" s="1491"/>
    </row>
    <row r="16" spans="1:32" ht="24.6" customHeight="1">
      <c r="A16" s="2108" t="s">
        <v>2154</v>
      </c>
      <c r="B16" s="2109"/>
      <c r="C16" s="2109"/>
      <c r="D16" s="2109"/>
      <c r="E16" s="2109"/>
      <c r="F16" s="2109"/>
      <c r="G16" s="2109"/>
      <c r="H16" s="2109"/>
      <c r="I16" s="2109"/>
      <c r="J16" s="2109"/>
      <c r="K16" s="2109"/>
      <c r="L16" s="2109"/>
      <c r="M16" s="2109"/>
      <c r="N16" s="2109"/>
      <c r="O16" s="2109"/>
      <c r="P16" s="2109"/>
      <c r="Q16" s="2110"/>
      <c r="R16" s="1491"/>
      <c r="S16" s="1491"/>
    </row>
    <row r="17" spans="1:19" ht="24.6" customHeight="1">
      <c r="A17" s="2108" t="s">
        <v>2155</v>
      </c>
      <c r="B17" s="2109"/>
      <c r="C17" s="2109"/>
      <c r="D17" s="2109"/>
      <c r="E17" s="2109"/>
      <c r="F17" s="2109"/>
      <c r="G17" s="2109"/>
      <c r="H17" s="2109"/>
      <c r="I17" s="2109"/>
      <c r="J17" s="2109"/>
      <c r="K17" s="2109"/>
      <c r="L17" s="2109"/>
      <c r="M17" s="2109"/>
      <c r="N17" s="2109"/>
      <c r="O17" s="2109"/>
      <c r="P17" s="2109"/>
      <c r="Q17" s="2110"/>
      <c r="R17" s="1491"/>
      <c r="S17" s="1491"/>
    </row>
    <row r="18" spans="1:19" ht="24.6" customHeight="1">
      <c r="A18" s="2108" t="s">
        <v>2156</v>
      </c>
      <c r="B18" s="2109"/>
      <c r="C18" s="2109"/>
      <c r="D18" s="2109"/>
      <c r="E18" s="2109"/>
      <c r="F18" s="2109"/>
      <c r="G18" s="2109"/>
      <c r="H18" s="2109"/>
      <c r="I18" s="2109"/>
      <c r="J18" s="2109"/>
      <c r="K18" s="2109"/>
      <c r="L18" s="2109"/>
      <c r="M18" s="2109"/>
      <c r="N18" s="2109"/>
      <c r="O18" s="2109"/>
      <c r="P18" s="2109"/>
      <c r="Q18" s="2110"/>
      <c r="R18" s="1491"/>
      <c r="S18" s="1491"/>
    </row>
    <row r="19" spans="1:19" ht="24.6" customHeight="1">
      <c r="A19" s="2108" t="s">
        <v>2157</v>
      </c>
      <c r="B19" s="2109"/>
      <c r="C19" s="2109"/>
      <c r="D19" s="2109"/>
      <c r="E19" s="2109"/>
      <c r="F19" s="2109"/>
      <c r="G19" s="2109"/>
      <c r="H19" s="2109"/>
      <c r="I19" s="2109"/>
      <c r="J19" s="2109"/>
      <c r="K19" s="2109"/>
      <c r="L19" s="2109"/>
      <c r="M19" s="2109"/>
      <c r="N19" s="2109"/>
      <c r="O19" s="2109"/>
      <c r="P19" s="2109"/>
      <c r="Q19" s="2110"/>
      <c r="R19" s="1145"/>
      <c r="S19" s="1145"/>
    </row>
    <row r="20" spans="1:19" ht="24.6" customHeight="1">
      <c r="A20" s="2108" t="s">
        <v>2158</v>
      </c>
      <c r="B20" s="2109"/>
      <c r="C20" s="2109"/>
      <c r="D20" s="2109"/>
      <c r="E20" s="2109"/>
      <c r="F20" s="2109"/>
      <c r="G20" s="2109"/>
      <c r="H20" s="2109"/>
      <c r="I20" s="2109"/>
      <c r="J20" s="2109"/>
      <c r="K20" s="2109"/>
      <c r="L20" s="2109"/>
      <c r="M20" s="2109"/>
      <c r="N20" s="2109"/>
      <c r="O20" s="2109"/>
      <c r="P20" s="2109"/>
      <c r="Q20" s="2110"/>
      <c r="R20" s="1145"/>
      <c r="S20" s="1145"/>
    </row>
    <row r="21" spans="1:19" ht="24.6" customHeight="1">
      <c r="A21" s="2108" t="s">
        <v>2159</v>
      </c>
      <c r="B21" s="2109"/>
      <c r="C21" s="2109"/>
      <c r="D21" s="2109"/>
      <c r="E21" s="2109"/>
      <c r="F21" s="2109"/>
      <c r="G21" s="2109"/>
      <c r="H21" s="2109"/>
      <c r="I21" s="2109"/>
      <c r="J21" s="2109"/>
      <c r="K21" s="2109"/>
      <c r="L21" s="2109"/>
      <c r="M21" s="2109"/>
      <c r="N21" s="2109"/>
      <c r="O21" s="2109"/>
      <c r="P21" s="2109"/>
      <c r="Q21" s="2110"/>
    </row>
    <row r="22" spans="1:19" ht="24.6" customHeight="1">
      <c r="A22" s="2108" t="s">
        <v>2160</v>
      </c>
      <c r="B22" s="2109"/>
      <c r="C22" s="2109"/>
      <c r="D22" s="2109"/>
      <c r="E22" s="2109"/>
      <c r="F22" s="2109"/>
      <c r="G22" s="2109"/>
      <c r="H22" s="2109"/>
      <c r="I22" s="2109"/>
      <c r="J22" s="2109"/>
      <c r="K22" s="2109"/>
      <c r="L22" s="2109"/>
      <c r="M22" s="2109"/>
      <c r="N22" s="2109"/>
      <c r="O22" s="2109"/>
      <c r="P22" s="2109"/>
      <c r="Q22" s="2110"/>
      <c r="R22" s="1491" t="s">
        <v>2166</v>
      </c>
      <c r="S22" s="1491"/>
    </row>
    <row r="23" spans="1:19" ht="24.6" customHeight="1">
      <c r="A23" s="2108" t="s">
        <v>2161</v>
      </c>
      <c r="B23" s="2109"/>
      <c r="C23" s="2109"/>
      <c r="D23" s="2109"/>
      <c r="E23" s="2109"/>
      <c r="F23" s="2109"/>
      <c r="G23" s="2109"/>
      <c r="H23" s="2109"/>
      <c r="I23" s="2109"/>
      <c r="J23" s="2109"/>
      <c r="K23" s="2109"/>
      <c r="L23" s="2109"/>
      <c r="M23" s="2109"/>
      <c r="N23" s="2109"/>
      <c r="O23" s="2109"/>
      <c r="P23" s="2109"/>
      <c r="Q23" s="2110"/>
      <c r="R23" s="1491"/>
      <c r="S23" s="1491"/>
    </row>
    <row r="24" spans="1:19" ht="24.6" customHeight="1">
      <c r="A24" s="2108" t="s">
        <v>2162</v>
      </c>
      <c r="B24" s="2109"/>
      <c r="C24" s="2109"/>
      <c r="D24" s="2109"/>
      <c r="E24" s="2109"/>
      <c r="F24" s="2109"/>
      <c r="G24" s="2109"/>
      <c r="H24" s="2109"/>
      <c r="I24" s="2109"/>
      <c r="J24" s="2109"/>
      <c r="K24" s="2109"/>
      <c r="L24" s="2109"/>
      <c r="M24" s="2109"/>
      <c r="N24" s="2109"/>
      <c r="O24" s="2109"/>
      <c r="P24" s="2109"/>
      <c r="Q24" s="2110"/>
      <c r="R24" s="1491"/>
      <c r="S24" s="1491"/>
    </row>
    <row r="25" spans="1:19" ht="24.6" customHeight="1">
      <c r="A25" s="2108" t="s">
        <v>2163</v>
      </c>
      <c r="B25" s="2109"/>
      <c r="C25" s="2109"/>
      <c r="D25" s="2109"/>
      <c r="E25" s="2109"/>
      <c r="F25" s="2109"/>
      <c r="G25" s="2109"/>
      <c r="H25" s="2109"/>
      <c r="I25" s="2109"/>
      <c r="J25" s="2109"/>
      <c r="K25" s="2109"/>
      <c r="L25" s="2109"/>
      <c r="M25" s="2109"/>
      <c r="N25" s="2109"/>
      <c r="O25" s="2109"/>
      <c r="P25" s="2109"/>
      <c r="Q25" s="2110"/>
      <c r="R25" s="1491"/>
      <c r="S25" s="1491"/>
    </row>
    <row r="26" spans="1:19" ht="24.6" customHeight="1">
      <c r="A26" s="2108" t="s">
        <v>2164</v>
      </c>
      <c r="B26" s="2109"/>
      <c r="C26" s="2109"/>
      <c r="D26" s="2109"/>
      <c r="E26" s="2109"/>
      <c r="F26" s="2109"/>
      <c r="G26" s="2109"/>
      <c r="H26" s="2109"/>
      <c r="I26" s="2109"/>
      <c r="J26" s="2109"/>
      <c r="K26" s="2109"/>
      <c r="L26" s="2109"/>
      <c r="M26" s="2109"/>
      <c r="N26" s="2109"/>
      <c r="O26" s="2109"/>
      <c r="P26" s="2109"/>
      <c r="Q26" s="2110"/>
      <c r="R26" s="1145"/>
      <c r="S26" s="1145"/>
    </row>
    <row r="27" spans="1:19" ht="24.6" customHeight="1">
      <c r="A27" s="2111" t="s">
        <v>2165</v>
      </c>
      <c r="B27" s="2112"/>
      <c r="C27" s="2112"/>
      <c r="D27" s="2112"/>
      <c r="E27" s="2112"/>
      <c r="F27" s="2112"/>
      <c r="G27" s="2112"/>
      <c r="H27" s="2112"/>
      <c r="I27" s="2112"/>
      <c r="J27" s="2112"/>
      <c r="K27" s="2112"/>
      <c r="L27" s="2112"/>
      <c r="M27" s="2112"/>
      <c r="N27" s="2112"/>
      <c r="O27" s="2112"/>
      <c r="P27" s="2112"/>
      <c r="Q27" s="2113"/>
      <c r="R27" s="1145"/>
      <c r="S27" s="1145"/>
    </row>
    <row r="28" spans="1:19" ht="6" customHeight="1"/>
    <row r="29" spans="1:19" ht="13.9" customHeight="1">
      <c r="A29" s="154">
        <v>1</v>
      </c>
      <c r="B29" s="155" t="s">
        <v>2847</v>
      </c>
      <c r="C29" s="156"/>
      <c r="D29" s="101"/>
      <c r="E29" s="101"/>
      <c r="F29" s="101"/>
      <c r="G29" s="101"/>
      <c r="I29" s="1192"/>
      <c r="J29" s="1192"/>
      <c r="K29" s="1192"/>
      <c r="L29" s="1172"/>
      <c r="M29" s="1172"/>
      <c r="O29" s="157" t="s">
        <v>1996</v>
      </c>
      <c r="P29" s="2016"/>
      <c r="Q29" s="2017"/>
    </row>
    <row r="30" spans="1:19" ht="3" customHeight="1"/>
    <row r="31" spans="1:19" ht="12" customHeight="1">
      <c r="B31" s="168" t="s">
        <v>2117</v>
      </c>
      <c r="C31" s="62" t="s">
        <v>3517</v>
      </c>
      <c r="E31" s="38"/>
      <c r="F31" s="38"/>
      <c r="G31" s="38"/>
      <c r="H31" s="38"/>
      <c r="I31" s="50"/>
      <c r="J31" s="40"/>
      <c r="K31" s="50"/>
      <c r="L31" s="40"/>
      <c r="M31" s="40"/>
      <c r="O31" s="78" t="s">
        <v>634</v>
      </c>
      <c r="P31" s="1080" t="s">
        <v>3699</v>
      </c>
      <c r="Q31" s="1384"/>
    </row>
    <row r="32" spans="1:19" ht="12" customHeight="1">
      <c r="B32" s="55" t="s">
        <v>2120</v>
      </c>
      <c r="C32" s="62" t="s">
        <v>765</v>
      </c>
      <c r="E32" s="38"/>
      <c r="F32" s="38"/>
      <c r="G32" s="38"/>
      <c r="H32" s="38"/>
      <c r="J32" s="2105" t="s">
        <v>2295</v>
      </c>
      <c r="K32" s="2106"/>
      <c r="L32" s="2106"/>
      <c r="M32" s="2106"/>
      <c r="N32" s="2107"/>
      <c r="O32" s="78"/>
      <c r="P32" s="78"/>
      <c r="Q32" s="78"/>
    </row>
    <row r="33" spans="1:31" ht="11.25" customHeight="1">
      <c r="B33" s="79" t="s">
        <v>1994</v>
      </c>
      <c r="C33" s="79"/>
      <c r="D33" s="79"/>
      <c r="E33" s="79"/>
      <c r="F33" s="79"/>
      <c r="G33" s="1192"/>
      <c r="H33" s="1192"/>
      <c r="I33" s="1192"/>
      <c r="J33" s="1192"/>
      <c r="K33" s="1172"/>
      <c r="L33" s="1172"/>
      <c r="M33" s="1172"/>
      <c r="N33" s="1172"/>
      <c r="O33" s="1172"/>
      <c r="P33" s="60"/>
      <c r="S33" s="188"/>
      <c r="T33" s="188"/>
    </row>
    <row r="34" spans="1:31" ht="12" customHeight="1">
      <c r="A34" s="2008"/>
      <c r="B34" s="2009"/>
      <c r="C34" s="2009"/>
      <c r="D34" s="2009"/>
      <c r="E34" s="2009"/>
      <c r="F34" s="2009"/>
      <c r="G34" s="2009"/>
      <c r="H34" s="2009"/>
      <c r="I34" s="2009"/>
      <c r="J34" s="2009"/>
      <c r="K34" s="2009"/>
      <c r="L34" s="2009"/>
      <c r="M34" s="2009"/>
      <c r="N34" s="2009"/>
      <c r="O34" s="2009"/>
      <c r="P34" s="2009"/>
      <c r="Q34" s="2010"/>
      <c r="R34" s="562" t="s">
        <v>1331</v>
      </c>
      <c r="S34" s="563"/>
      <c r="T34" s="188"/>
      <c r="U34" s="162"/>
      <c r="V34" s="162"/>
      <c r="W34" s="162"/>
      <c r="X34" s="162"/>
      <c r="Y34" s="162"/>
      <c r="Z34" s="162"/>
      <c r="AA34" s="162"/>
      <c r="AB34" s="162"/>
      <c r="AC34" s="162"/>
      <c r="AD34" s="162"/>
      <c r="AE34" s="596"/>
    </row>
    <row r="35" spans="1:31" ht="11.25" customHeight="1">
      <c r="B35" s="163" t="s">
        <v>1995</v>
      </c>
      <c r="C35" s="164"/>
      <c r="D35" s="1177"/>
      <c r="E35" s="1177"/>
      <c r="F35" s="1177"/>
      <c r="G35" s="1177"/>
      <c r="H35" s="1177"/>
      <c r="I35" s="1177"/>
      <c r="J35" s="1177"/>
      <c r="K35" s="1177"/>
      <c r="L35" s="1177"/>
      <c r="M35" s="1177"/>
      <c r="N35" s="1177"/>
      <c r="O35" s="1177"/>
      <c r="P35" s="1177"/>
    </row>
    <row r="36" spans="1:31" ht="12" customHeight="1">
      <c r="A36" s="2102"/>
      <c r="B36" s="2103"/>
      <c r="C36" s="2103"/>
      <c r="D36" s="2103"/>
      <c r="E36" s="2103"/>
      <c r="F36" s="2103"/>
      <c r="G36" s="2103"/>
      <c r="H36" s="2103"/>
      <c r="I36" s="2103"/>
      <c r="J36" s="2103"/>
      <c r="K36" s="2103"/>
      <c r="L36" s="2103"/>
      <c r="M36" s="2103"/>
      <c r="N36" s="2103"/>
      <c r="O36" s="2103"/>
      <c r="P36" s="2103"/>
      <c r="Q36" s="2104"/>
      <c r="R36" s="562" t="s">
        <v>1331</v>
      </c>
      <c r="S36" s="563"/>
    </row>
    <row r="37" spans="1:31" ht="12" customHeight="1">
      <c r="A37" s="2139"/>
      <c r="B37" s="2140"/>
      <c r="C37" s="2140"/>
      <c r="D37" s="2140"/>
      <c r="E37" s="2140"/>
      <c r="F37" s="2140"/>
      <c r="G37" s="2140"/>
      <c r="H37" s="2140"/>
      <c r="I37" s="2140"/>
      <c r="J37" s="2140"/>
      <c r="K37" s="2140"/>
      <c r="L37" s="2140"/>
      <c r="M37" s="2140"/>
      <c r="N37" s="2140"/>
      <c r="O37" s="2140"/>
      <c r="P37" s="2140"/>
      <c r="Q37" s="2141"/>
    </row>
    <row r="38" spans="1:31" ht="12" customHeight="1">
      <c r="A38" s="2139"/>
      <c r="B38" s="2140"/>
      <c r="C38" s="2140"/>
      <c r="D38" s="2140"/>
      <c r="E38" s="2140"/>
      <c r="F38" s="2140"/>
      <c r="G38" s="2140"/>
      <c r="H38" s="2140"/>
      <c r="I38" s="2140"/>
      <c r="J38" s="2140"/>
      <c r="K38" s="2140"/>
      <c r="L38" s="2140"/>
      <c r="M38" s="2140"/>
      <c r="N38" s="2140"/>
      <c r="O38" s="2140"/>
      <c r="P38" s="2140"/>
      <c r="Q38" s="2141"/>
    </row>
    <row r="39" spans="1:31" ht="12" customHeight="1">
      <c r="A39" s="2099"/>
      <c r="B39" s="2100"/>
      <c r="C39" s="2100"/>
      <c r="D39" s="2100"/>
      <c r="E39" s="2100"/>
      <c r="F39" s="2100"/>
      <c r="G39" s="2100"/>
      <c r="H39" s="2100"/>
      <c r="I39" s="2100"/>
      <c r="J39" s="2100"/>
      <c r="K39" s="2100"/>
      <c r="L39" s="2100"/>
      <c r="M39" s="2100"/>
      <c r="N39" s="2100"/>
      <c r="O39" s="2100"/>
      <c r="P39" s="2100"/>
      <c r="Q39" s="2101"/>
    </row>
    <row r="40" spans="1:31" ht="3" customHeight="1">
      <c r="B40" s="1192"/>
      <c r="C40" s="1177"/>
      <c r="D40" s="1177"/>
      <c r="E40" s="1177"/>
      <c r="F40" s="1177"/>
      <c r="G40" s="1177"/>
      <c r="H40" s="1177"/>
      <c r="I40" s="1177"/>
      <c r="J40" s="1177"/>
      <c r="K40" s="1177"/>
      <c r="L40" s="1177"/>
      <c r="M40" s="1177"/>
      <c r="N40" s="1177"/>
      <c r="O40" s="1177"/>
      <c r="P40" s="1177"/>
      <c r="Q40" s="1172"/>
    </row>
    <row r="41" spans="1:31" ht="13.9" customHeight="1">
      <c r="A41" s="1181">
        <v>2</v>
      </c>
      <c r="B41" s="5" t="s">
        <v>2953</v>
      </c>
      <c r="C41" s="5"/>
      <c r="D41" s="5"/>
      <c r="E41" s="1177"/>
      <c r="F41" s="1177"/>
      <c r="G41" s="1177"/>
      <c r="H41" s="1177"/>
      <c r="K41" s="1177"/>
      <c r="L41" s="1177"/>
      <c r="M41" s="1177"/>
      <c r="O41" s="157" t="s">
        <v>1996</v>
      </c>
      <c r="P41" s="2016"/>
      <c r="Q41" s="2017"/>
    </row>
    <row r="42" spans="1:31" ht="3" customHeight="1">
      <c r="K42" s="1177"/>
      <c r="L42" s="1177"/>
    </row>
    <row r="43" spans="1:31" ht="12.75" customHeight="1">
      <c r="A43" s="2005" t="s">
        <v>3128</v>
      </c>
      <c r="B43" s="2005"/>
      <c r="C43" s="2005"/>
      <c r="D43" s="2005"/>
      <c r="E43" s="2005"/>
      <c r="F43" s="2145" t="s">
        <v>2960</v>
      </c>
      <c r="G43" s="2146"/>
      <c r="H43" s="2146"/>
      <c r="I43" s="2147"/>
      <c r="K43" s="2145" t="s">
        <v>2962</v>
      </c>
      <c r="L43" s="2146"/>
      <c r="M43" s="2146"/>
      <c r="N43" s="2147"/>
      <c r="P43" s="724" t="s">
        <v>3005</v>
      </c>
      <c r="Q43" s="1080" t="s">
        <v>3698</v>
      </c>
    </row>
    <row r="44" spans="1:31" ht="12.75" customHeight="1">
      <c r="A44" s="2005"/>
      <c r="B44" s="2005"/>
      <c r="C44" s="2005"/>
      <c r="D44" s="2005"/>
      <c r="E44" s="2005"/>
      <c r="F44" s="2136" t="s">
        <v>2961</v>
      </c>
      <c r="G44" s="2137"/>
      <c r="H44" s="2137"/>
      <c r="I44" s="2138"/>
      <c r="K44" s="2136" t="s">
        <v>2963</v>
      </c>
      <c r="L44" s="2137"/>
      <c r="M44" s="2137"/>
      <c r="N44" s="2138"/>
    </row>
    <row r="45" spans="1:31" ht="10.5" customHeight="1">
      <c r="A45" s="2005"/>
      <c r="B45" s="2005"/>
      <c r="C45" s="2005"/>
      <c r="D45" s="2005"/>
      <c r="E45" s="2005"/>
      <c r="F45" s="2117" t="s">
        <v>2957</v>
      </c>
      <c r="G45" s="2118"/>
      <c r="H45" s="2118"/>
      <c r="I45" s="2119"/>
      <c r="K45" s="2120" t="s">
        <v>2959</v>
      </c>
      <c r="L45" s="2121"/>
      <c r="M45" s="2121"/>
      <c r="N45" s="2122"/>
      <c r="P45" s="2123" t="s">
        <v>3213</v>
      </c>
      <c r="Q45" s="2123"/>
    </row>
    <row r="46" spans="1:31" ht="22.5" customHeight="1">
      <c r="A46" s="2005"/>
      <c r="B46" s="2005"/>
      <c r="C46" s="2005"/>
      <c r="D46" s="2005"/>
      <c r="E46" s="2005"/>
      <c r="F46" s="2148" t="s">
        <v>2973</v>
      </c>
      <c r="G46" s="166"/>
      <c r="I46" s="2134" t="s">
        <v>2972</v>
      </c>
      <c r="K46" s="2148" t="s">
        <v>2973</v>
      </c>
      <c r="M46" s="1177"/>
      <c r="N46" s="2134" t="s">
        <v>2972</v>
      </c>
      <c r="O46" s="1177"/>
      <c r="P46" s="2123"/>
      <c r="Q46" s="2123"/>
    </row>
    <row r="47" spans="1:31" ht="12.75" customHeight="1">
      <c r="A47" s="165"/>
      <c r="D47" s="1081" t="s">
        <v>2956</v>
      </c>
      <c r="F47" s="2149"/>
      <c r="G47" s="1082" t="s">
        <v>2958</v>
      </c>
      <c r="I47" s="2135"/>
      <c r="K47" s="2149"/>
      <c r="L47" s="1082" t="s">
        <v>2958</v>
      </c>
      <c r="N47" s="2135"/>
      <c r="O47" s="1177"/>
      <c r="P47" s="2150">
        <f>IF(AND('Part I-Project Information'!I160="Yes",'Part I-Project Information'!O160&gt;1),'Part I-Project Information'!O160, IF(AND('Part IV-Uses of Funds'!$T$163="Yes",'Part IX A-Scoring Criteria'!$O$241&gt;0),I53+N53,I53))</f>
        <v>21517016</v>
      </c>
      <c r="Q47" s="2151"/>
    </row>
    <row r="48" spans="1:31" ht="11.45" customHeight="1">
      <c r="A48" s="165"/>
      <c r="D48" s="1083" t="s">
        <v>600</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7"/>
      <c r="P48" s="2011" t="s">
        <v>2999</v>
      </c>
      <c r="Q48" s="2011"/>
    </row>
    <row r="49" spans="1:31" ht="11.45" customHeight="1">
      <c r="A49" s="165"/>
      <c r="D49" s="1083" t="s">
        <v>2954</v>
      </c>
      <c r="F49" s="723">
        <f>'Part VI-Revenues &amp; Expenses'!I62-'Part VI-Revenues &amp; Expenses'!I82</f>
        <v>20</v>
      </c>
      <c r="G49" s="1084">
        <f>'DCA Underwriting Assumptions'!$K$12</f>
        <v>126647</v>
      </c>
      <c r="H49" s="533" t="str">
        <f>CONCATENATE("x ", F49," units = ")</f>
        <v xml:space="preserve">x 20 units = </v>
      </c>
      <c r="I49" s="616">
        <f>F49*G49</f>
        <v>2532940</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7"/>
      <c r="P49" s="2012"/>
      <c r="Q49" s="2012"/>
    </row>
    <row r="50" spans="1:31" ht="11.45" customHeight="1">
      <c r="A50" s="165"/>
      <c r="D50" s="1083" t="s">
        <v>2955</v>
      </c>
      <c r="F50" s="723">
        <f>'Part VI-Revenues &amp; Expenses'!J62-'Part VI-Revenues &amp; Expenses'!J82</f>
        <v>56</v>
      </c>
      <c r="G50" s="1084">
        <f>'DCA Underwriting Assumptions'!$L$12</f>
        <v>154003</v>
      </c>
      <c r="H50" s="533" t="str">
        <f>CONCATENATE("x ", F50," units = ")</f>
        <v xml:space="preserve">x 56 units = </v>
      </c>
      <c r="I50" s="616">
        <f>F50*G50</f>
        <v>8624168</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7"/>
      <c r="P50" s="2012"/>
      <c r="Q50" s="2012"/>
    </row>
    <row r="51" spans="1:31" ht="11.45" customHeight="1">
      <c r="A51" s="165"/>
      <c r="D51" s="1083" t="s">
        <v>2964</v>
      </c>
      <c r="F51" s="723">
        <f>'Part VI-Revenues &amp; Expenses'!K62-'Part VI-Revenues &amp; Expenses'!K82</f>
        <v>52</v>
      </c>
      <c r="G51" s="1084">
        <f>'DCA Underwriting Assumptions'!$M$12</f>
        <v>199229</v>
      </c>
      <c r="H51" s="533" t="str">
        <f>CONCATENATE("x ", F51," units = ")</f>
        <v xml:space="preserve">x 52 units = </v>
      </c>
      <c r="I51" s="616">
        <f>F51*G51</f>
        <v>10359908</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7"/>
      <c r="P51" s="2012"/>
      <c r="Q51" s="2012"/>
    </row>
    <row r="52" spans="1:31" ht="11.45" customHeight="1">
      <c r="A52" s="165"/>
      <c r="D52" s="1085" t="s">
        <v>2965</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7"/>
      <c r="P52" s="2012"/>
      <c r="Q52" s="2012"/>
    </row>
    <row r="53" spans="1:31" ht="11.45" customHeight="1">
      <c r="A53" s="165"/>
      <c r="C53" s="166"/>
      <c r="D53" s="614" t="s">
        <v>2966</v>
      </c>
      <c r="F53" s="613">
        <f>SUM(F48:F52)</f>
        <v>128</v>
      </c>
      <c r="G53" s="1086"/>
      <c r="H53" s="723"/>
      <c r="I53" s="615">
        <f>SUM(I48:I52)</f>
        <v>21517016</v>
      </c>
      <c r="K53" s="613">
        <f>SUM(K48:K52)</f>
        <v>0</v>
      </c>
      <c r="M53" s="723"/>
      <c r="N53" s="615">
        <f>SUM(N48:N52)</f>
        <v>0</v>
      </c>
      <c r="O53" s="1177"/>
      <c r="P53" s="2124" t="str">
        <f>IF('Part IV-Uses of Funds'!$G$130&gt;P47,"CHECK TDC !!!","")</f>
        <v/>
      </c>
      <c r="Q53" s="2124"/>
    </row>
    <row r="54" spans="1:31" ht="3.75" customHeight="1">
      <c r="A54" s="165"/>
      <c r="C54" s="166"/>
      <c r="E54" s="65"/>
      <c r="F54" s="1086"/>
      <c r="G54" s="65"/>
      <c r="I54" s="65"/>
      <c r="J54" s="65"/>
      <c r="K54" s="1177"/>
      <c r="L54" s="1087"/>
      <c r="M54" s="1177"/>
      <c r="N54" s="1177"/>
      <c r="O54" s="1177"/>
      <c r="P54" s="1177"/>
      <c r="Q54" s="1177"/>
    </row>
    <row r="55" spans="1:31" ht="11.25" customHeight="1">
      <c r="B55" s="112" t="s">
        <v>1994</v>
      </c>
      <c r="D55" s="112"/>
      <c r="E55" s="112"/>
      <c r="F55" s="112"/>
      <c r="G55" s="112"/>
      <c r="H55" s="48"/>
      <c r="I55" s="1192"/>
      <c r="J55" s="1192"/>
      <c r="K55" s="163" t="s">
        <v>1995</v>
      </c>
      <c r="L55" s="1172"/>
      <c r="M55" s="1172"/>
      <c r="N55" s="1172"/>
      <c r="O55" s="1172"/>
      <c r="P55" s="1172"/>
      <c r="Q55" s="60"/>
    </row>
    <row r="56" spans="1:31" ht="11.45" customHeight="1">
      <c r="A56" s="2008"/>
      <c r="B56" s="2009"/>
      <c r="C56" s="2009"/>
      <c r="D56" s="2009"/>
      <c r="E56" s="2009"/>
      <c r="F56" s="2009"/>
      <c r="G56" s="2009"/>
      <c r="H56" s="2009"/>
      <c r="I56" s="2009"/>
      <c r="J56" s="2010"/>
      <c r="K56" s="2013"/>
      <c r="L56" s="2014"/>
      <c r="M56" s="2014"/>
      <c r="N56" s="2014"/>
      <c r="O56" s="2014"/>
      <c r="P56" s="2014"/>
      <c r="Q56" s="2015"/>
      <c r="U56" s="162"/>
      <c r="V56" s="162"/>
      <c r="W56" s="162"/>
      <c r="X56" s="162"/>
      <c r="Y56" s="162"/>
      <c r="Z56" s="162"/>
      <c r="AA56" s="162"/>
      <c r="AB56" s="162"/>
      <c r="AC56" s="162"/>
      <c r="AD56" s="162"/>
      <c r="AE56" s="596"/>
    </row>
    <row r="57" spans="1:31" ht="3" customHeight="1">
      <c r="B57" s="1192"/>
      <c r="C57" s="1177"/>
      <c r="D57" s="1177"/>
      <c r="E57" s="1177"/>
      <c r="F57" s="1177"/>
      <c r="G57" s="1177"/>
      <c r="H57" s="1177"/>
      <c r="I57" s="1177"/>
      <c r="J57" s="1177"/>
      <c r="K57" s="1177"/>
      <c r="L57" s="1177"/>
      <c r="M57" s="1177"/>
      <c r="N57" s="1177"/>
      <c r="O57" s="1177"/>
      <c r="P57" s="1177"/>
      <c r="Q57" s="1172"/>
    </row>
    <row r="58" spans="1:31" ht="13.9" customHeight="1">
      <c r="A58" s="1181">
        <v>3</v>
      </c>
      <c r="B58" s="5" t="s">
        <v>1261</v>
      </c>
      <c r="C58" s="5"/>
      <c r="D58" s="5"/>
      <c r="E58" s="1177"/>
      <c r="F58" s="1177"/>
      <c r="G58" s="1177"/>
      <c r="H58" s="1177"/>
      <c r="M58" s="1177"/>
      <c r="O58" s="157" t="s">
        <v>1996</v>
      </c>
      <c r="P58" s="2016"/>
      <c r="Q58" s="2017"/>
    </row>
    <row r="59" spans="1:31" ht="3" customHeight="1"/>
    <row r="60" spans="1:31" ht="11.45" customHeight="1">
      <c r="A60" s="165"/>
      <c r="C60" s="166" t="s">
        <v>102</v>
      </c>
      <c r="D60" s="166"/>
      <c r="E60" s="166"/>
      <c r="F60" s="166"/>
      <c r="G60" s="166"/>
      <c r="H60" s="166"/>
      <c r="K60" s="2142" t="str">
        <f>'Part I-Project Information'!$H$66</f>
        <v>Family</v>
      </c>
      <c r="L60" s="2143"/>
      <c r="M60" s="2144"/>
      <c r="N60" s="1177"/>
    </row>
    <row r="61" spans="1:31" ht="11.25" customHeight="1">
      <c r="B61" s="112" t="s">
        <v>1994</v>
      </c>
      <c r="D61" s="112"/>
      <c r="E61" s="112"/>
      <c r="F61" s="112"/>
      <c r="G61" s="112"/>
      <c r="H61" s="48"/>
      <c r="I61" s="1192"/>
      <c r="J61" s="1192"/>
      <c r="K61" s="163" t="s">
        <v>1995</v>
      </c>
      <c r="L61" s="1172"/>
      <c r="M61" s="1172"/>
      <c r="N61" s="1172"/>
      <c r="O61" s="1172"/>
      <c r="P61" s="1172"/>
      <c r="Q61" s="60"/>
    </row>
    <row r="62" spans="1:31" ht="11.45" customHeight="1">
      <c r="A62" s="2008"/>
      <c r="B62" s="2009"/>
      <c r="C62" s="2009"/>
      <c r="D62" s="2009"/>
      <c r="E62" s="2009"/>
      <c r="F62" s="2009"/>
      <c r="G62" s="2009"/>
      <c r="H62" s="2009"/>
      <c r="I62" s="2009"/>
      <c r="J62" s="2010"/>
      <c r="K62" s="2013"/>
      <c r="L62" s="2014"/>
      <c r="M62" s="2014"/>
      <c r="N62" s="2014"/>
      <c r="O62" s="2014"/>
      <c r="P62" s="2014"/>
      <c r="Q62" s="2015"/>
      <c r="U62" s="162"/>
      <c r="V62" s="162"/>
      <c r="W62" s="162"/>
      <c r="X62" s="162"/>
      <c r="Y62" s="162"/>
      <c r="Z62" s="162"/>
      <c r="AA62" s="162"/>
      <c r="AB62" s="162"/>
      <c r="AC62" s="162"/>
      <c r="AD62" s="162"/>
      <c r="AE62" s="596"/>
    </row>
    <row r="63" spans="1:31" ht="3" customHeight="1">
      <c r="A63" s="1172"/>
      <c r="B63" s="1192"/>
      <c r="C63" s="1177"/>
      <c r="D63" s="1177"/>
      <c r="E63" s="1177"/>
      <c r="F63" s="1177"/>
      <c r="G63" s="1177"/>
      <c r="H63" s="1177"/>
      <c r="I63" s="1177"/>
      <c r="J63" s="1177"/>
      <c r="K63" s="1177"/>
      <c r="L63" s="1177"/>
      <c r="M63" s="1177"/>
      <c r="N63" s="1177"/>
      <c r="O63" s="1177"/>
      <c r="P63" s="1177"/>
      <c r="Q63" s="1172"/>
    </row>
    <row r="64" spans="1:31" ht="13.9" customHeight="1">
      <c r="A64" s="1181">
        <v>4</v>
      </c>
      <c r="B64" s="1181" t="s">
        <v>2848</v>
      </c>
      <c r="C64" s="132"/>
      <c r="D64" s="1177"/>
      <c r="E64" s="1177"/>
      <c r="F64" s="1177"/>
      <c r="G64" s="1177"/>
      <c r="H64" s="1177"/>
      <c r="I64" s="1177"/>
      <c r="J64" s="1177"/>
      <c r="K64" s="1177"/>
      <c r="L64" s="1177"/>
      <c r="M64" s="1177"/>
      <c r="O64" s="157" t="s">
        <v>1996</v>
      </c>
      <c r="P64" s="2016"/>
      <c r="Q64" s="2017"/>
    </row>
    <row r="65" spans="1:31" ht="3" customHeight="1"/>
    <row r="66" spans="1:31" ht="12.6" customHeight="1">
      <c r="B66" s="168" t="s">
        <v>2117</v>
      </c>
      <c r="C66" s="2114" t="s">
        <v>322</v>
      </c>
      <c r="D66" s="2115"/>
      <c r="E66" s="2115"/>
      <c r="F66" s="2115"/>
      <c r="G66" s="2115"/>
      <c r="H66" s="2115"/>
      <c r="I66" s="2115"/>
      <c r="J66" s="2115"/>
      <c r="K66" s="2115"/>
      <c r="L66" s="2115"/>
      <c r="M66" s="2115"/>
      <c r="O66" s="169"/>
      <c r="P66" s="1080" t="s">
        <v>3756</v>
      </c>
    </row>
    <row r="67" spans="1:31" ht="12" customHeight="1">
      <c r="B67" s="55" t="s">
        <v>2120</v>
      </c>
      <c r="C67" s="38" t="s">
        <v>2974</v>
      </c>
      <c r="D67" s="38"/>
      <c r="E67" s="38"/>
      <c r="F67" s="38"/>
      <c r="G67" s="38"/>
      <c r="H67" s="38"/>
      <c r="I67" s="38"/>
      <c r="J67" s="38"/>
      <c r="K67" s="38"/>
      <c r="L67" s="38"/>
      <c r="M67" s="38"/>
      <c r="O67" s="38"/>
      <c r="P67" s="38"/>
      <c r="Q67" s="38"/>
    </row>
    <row r="68" spans="1:31" ht="10.9" customHeight="1">
      <c r="A68" s="170"/>
      <c r="B68" s="50"/>
      <c r="C68" s="78" t="s">
        <v>1858</v>
      </c>
      <c r="D68" s="38" t="s">
        <v>610</v>
      </c>
      <c r="E68" s="1171"/>
      <c r="F68" s="1171"/>
      <c r="G68" s="1171"/>
      <c r="H68" s="40"/>
      <c r="I68" s="50"/>
      <c r="J68" s="44" t="s">
        <v>2944</v>
      </c>
      <c r="K68" s="2078" t="s">
        <v>3757</v>
      </c>
      <c r="L68" s="2079"/>
      <c r="M68" s="2079"/>
      <c r="N68" s="2079"/>
      <c r="O68" s="2079"/>
      <c r="P68" s="2079"/>
      <c r="Q68" s="2080"/>
    </row>
    <row r="69" spans="1:31" ht="10.9" customHeight="1">
      <c r="A69" s="170"/>
      <c r="B69" s="50"/>
      <c r="C69" s="78" t="s">
        <v>1859</v>
      </c>
      <c r="D69" s="38" t="s">
        <v>1934</v>
      </c>
      <c r="E69" s="1171"/>
      <c r="F69" s="1171"/>
      <c r="G69" s="1171"/>
      <c r="H69" s="40"/>
      <c r="I69" s="50"/>
      <c r="J69" s="44" t="s">
        <v>2944</v>
      </c>
      <c r="K69" s="2081"/>
      <c r="L69" s="2082"/>
      <c r="M69" s="2082"/>
      <c r="N69" s="2082"/>
      <c r="O69" s="2082"/>
      <c r="P69" s="2082"/>
      <c r="Q69" s="2133"/>
    </row>
    <row r="70" spans="1:31" ht="10.9" customHeight="1">
      <c r="A70" s="170"/>
      <c r="B70" s="50"/>
      <c r="C70" s="78" t="s">
        <v>1860</v>
      </c>
      <c r="D70" s="38" t="s">
        <v>323</v>
      </c>
      <c r="E70" s="1171"/>
      <c r="J70" s="44" t="s">
        <v>2944</v>
      </c>
      <c r="K70" s="2075"/>
      <c r="L70" s="2076"/>
      <c r="M70" s="2076"/>
      <c r="N70" s="2076"/>
      <c r="O70" s="2076"/>
      <c r="P70" s="2076"/>
      <c r="Q70" s="2077"/>
    </row>
    <row r="71" spans="1:31" ht="11.25" customHeight="1">
      <c r="B71" s="112" t="s">
        <v>1994</v>
      </c>
      <c r="D71" s="112"/>
      <c r="E71" s="112"/>
      <c r="F71" s="112"/>
      <c r="G71" s="112"/>
      <c r="H71" s="48"/>
      <c r="I71" s="1192"/>
      <c r="J71" s="1192"/>
      <c r="K71" s="1192"/>
      <c r="L71" s="1172"/>
      <c r="M71" s="1172"/>
      <c r="N71" s="1172"/>
      <c r="O71" s="1172"/>
      <c r="P71" s="1172"/>
      <c r="Q71" s="60"/>
    </row>
    <row r="72" spans="1:31" ht="25.5" customHeight="1">
      <c r="A72" s="2008" t="s">
        <v>3816</v>
      </c>
      <c r="B72" s="2009"/>
      <c r="C72" s="2009"/>
      <c r="D72" s="2009"/>
      <c r="E72" s="2009"/>
      <c r="F72" s="2009"/>
      <c r="G72" s="2009"/>
      <c r="H72" s="2009"/>
      <c r="I72" s="2009"/>
      <c r="J72" s="2009"/>
      <c r="K72" s="2009"/>
      <c r="L72" s="2009"/>
      <c r="M72" s="2009"/>
      <c r="N72" s="2009"/>
      <c r="O72" s="2009"/>
      <c r="P72" s="2009"/>
      <c r="Q72" s="2010"/>
      <c r="U72" s="162"/>
      <c r="V72" s="162"/>
      <c r="W72" s="162"/>
      <c r="X72" s="162"/>
      <c r="Y72" s="162"/>
      <c r="Z72" s="162"/>
      <c r="AA72" s="162"/>
      <c r="AB72" s="162"/>
      <c r="AC72" s="162"/>
      <c r="AD72" s="162"/>
      <c r="AE72" s="596"/>
    </row>
    <row r="73" spans="1:31" ht="11.25" customHeight="1">
      <c r="B73" s="163" t="s">
        <v>1995</v>
      </c>
      <c r="C73" s="164"/>
      <c r="D73" s="1177"/>
      <c r="E73" s="1177"/>
      <c r="F73" s="1177"/>
      <c r="G73" s="1177"/>
      <c r="H73" s="1177"/>
      <c r="I73" s="1177"/>
      <c r="J73" s="1177"/>
      <c r="K73" s="1177"/>
      <c r="L73" s="1177"/>
      <c r="M73" s="1177"/>
      <c r="N73" s="1177"/>
      <c r="O73" s="1177"/>
      <c r="P73" s="1177"/>
      <c r="Q73" s="1177"/>
    </row>
    <row r="74" spans="1:31" ht="12" customHeight="1">
      <c r="A74" s="2013"/>
      <c r="B74" s="2014"/>
      <c r="C74" s="2014"/>
      <c r="D74" s="2014"/>
      <c r="E74" s="2014"/>
      <c r="F74" s="2014"/>
      <c r="G74" s="2014"/>
      <c r="H74" s="2014"/>
      <c r="I74" s="2014"/>
      <c r="J74" s="2014"/>
      <c r="K74" s="2014"/>
      <c r="L74" s="2014"/>
      <c r="M74" s="2014"/>
      <c r="N74" s="2014"/>
      <c r="O74" s="2014"/>
      <c r="P74" s="2014"/>
      <c r="Q74" s="2015"/>
    </row>
    <row r="75" spans="1:31" ht="4.9000000000000004" customHeight="1">
      <c r="A75" s="1172"/>
      <c r="B75" s="1192"/>
      <c r="C75" s="1177"/>
      <c r="D75" s="1177"/>
      <c r="E75" s="1177"/>
      <c r="F75" s="1177"/>
      <c r="G75" s="1177"/>
      <c r="H75" s="1177"/>
      <c r="I75" s="1177"/>
      <c r="J75" s="1177"/>
      <c r="K75" s="1177"/>
      <c r="L75" s="1177"/>
      <c r="M75" s="1177"/>
      <c r="N75" s="1177"/>
      <c r="O75" s="1177"/>
      <c r="P75" s="1177"/>
      <c r="Q75" s="1172"/>
    </row>
    <row r="76" spans="1:31" ht="13.9" customHeight="1">
      <c r="A76" s="1181">
        <v>5</v>
      </c>
      <c r="B76" s="1181" t="s">
        <v>2849</v>
      </c>
      <c r="C76" s="1181"/>
      <c r="D76" s="1177"/>
      <c r="E76" s="1177"/>
      <c r="F76" s="1177"/>
      <c r="G76" s="1177"/>
      <c r="H76" s="1177"/>
      <c r="I76" s="1177"/>
      <c r="J76" s="1177"/>
      <c r="K76" s="1177"/>
      <c r="O76" s="157" t="s">
        <v>1996</v>
      </c>
      <c r="P76" s="2016"/>
      <c r="Q76" s="2017"/>
    </row>
    <row r="77" spans="1:31" ht="3" customHeight="1"/>
    <row r="78" spans="1:31" ht="12" customHeight="1">
      <c r="B78" s="55" t="s">
        <v>2117</v>
      </c>
      <c r="C78" s="171" t="s">
        <v>2625</v>
      </c>
      <c r="D78" s="159"/>
      <c r="E78" s="159"/>
      <c r="F78" s="159"/>
      <c r="G78" s="159"/>
      <c r="H78" s="159"/>
      <c r="I78" s="50"/>
      <c r="J78" s="50"/>
      <c r="K78" s="50"/>
      <c r="L78" s="594" t="s">
        <v>2117</v>
      </c>
      <c r="M78" s="2078" t="s">
        <v>3772</v>
      </c>
      <c r="N78" s="2079"/>
      <c r="O78" s="2079"/>
      <c r="P78" s="2116"/>
      <c r="Q78" s="1384"/>
    </row>
    <row r="79" spans="1:31" ht="12" customHeight="1">
      <c r="B79" s="55" t="s">
        <v>2120</v>
      </c>
      <c r="C79" s="62" t="s">
        <v>2172</v>
      </c>
      <c r="D79" s="159"/>
      <c r="E79" s="159"/>
      <c r="F79" s="159"/>
      <c r="L79" s="594" t="s">
        <v>2120</v>
      </c>
      <c r="M79" s="2081" t="s">
        <v>3817</v>
      </c>
      <c r="N79" s="2082"/>
      <c r="O79" s="2082"/>
      <c r="P79" s="2083"/>
      <c r="Q79" s="1384"/>
    </row>
    <row r="80" spans="1:31" ht="12" customHeight="1">
      <c r="B80" s="55" t="s">
        <v>798</v>
      </c>
      <c r="C80" s="62" t="s">
        <v>3518</v>
      </c>
      <c r="D80" s="159"/>
      <c r="E80" s="159"/>
      <c r="F80" s="159"/>
      <c r="L80" s="594" t="s">
        <v>798</v>
      </c>
      <c r="M80" s="2128">
        <v>0.97399999999999998</v>
      </c>
      <c r="N80" s="2129"/>
      <c r="O80" s="2129"/>
      <c r="P80" s="2130"/>
      <c r="Q80" s="1385"/>
    </row>
    <row r="81" spans="1:31" ht="12" customHeight="1">
      <c r="B81" s="55" t="s">
        <v>2252</v>
      </c>
      <c r="C81" s="62" t="s">
        <v>2626</v>
      </c>
      <c r="D81" s="159"/>
      <c r="E81" s="159"/>
      <c r="F81" s="159"/>
      <c r="L81" s="594" t="s">
        <v>2252</v>
      </c>
      <c r="M81" s="2033">
        <v>1.0999999999999999E-2</v>
      </c>
      <c r="N81" s="2034"/>
      <c r="O81" s="2034"/>
      <c r="P81" s="2035"/>
      <c r="Q81" s="1384"/>
    </row>
    <row r="82" spans="1:31" ht="12" customHeight="1">
      <c r="B82" s="168" t="s">
        <v>1856</v>
      </c>
      <c r="C82" s="2003" t="s">
        <v>3519</v>
      </c>
      <c r="D82" s="2003"/>
      <c r="E82" s="2003"/>
      <c r="F82" s="2003"/>
      <c r="G82" s="2003"/>
      <c r="H82" s="2003"/>
      <c r="I82" s="2003"/>
      <c r="J82" s="2003"/>
      <c r="K82" s="2003"/>
      <c r="L82" s="2003"/>
      <c r="M82" s="2003"/>
      <c r="N82" s="2003"/>
      <c r="O82" s="2003"/>
      <c r="P82" s="2003"/>
      <c r="Q82" s="2003"/>
    </row>
    <row r="83" spans="1:31" ht="12" customHeight="1">
      <c r="B83" s="55"/>
      <c r="C83" s="62"/>
      <c r="D83" s="1183" t="s">
        <v>2533</v>
      </c>
      <c r="E83" s="38" t="s">
        <v>657</v>
      </c>
      <c r="F83" s="38"/>
      <c r="H83" s="62"/>
      <c r="I83" s="1183" t="s">
        <v>2533</v>
      </c>
      <c r="J83" s="38" t="s">
        <v>657</v>
      </c>
      <c r="K83" s="38"/>
      <c r="M83" s="62"/>
      <c r="N83" s="1183" t="s">
        <v>2533</v>
      </c>
      <c r="O83" s="38" t="s">
        <v>657</v>
      </c>
      <c r="P83" s="38"/>
      <c r="Q83" s="594"/>
    </row>
    <row r="84" spans="1:31" ht="12" customHeight="1">
      <c r="B84" s="55"/>
      <c r="C84" s="62">
        <v>1</v>
      </c>
      <c r="D84" s="1088"/>
      <c r="E84" s="2093"/>
      <c r="F84" s="2093"/>
      <c r="G84" s="2093"/>
      <c r="H84" s="62">
        <v>3</v>
      </c>
      <c r="I84" s="1088"/>
      <c r="J84" s="2093"/>
      <c r="K84" s="2093"/>
      <c r="L84" s="2093"/>
      <c r="M84" s="62">
        <v>5</v>
      </c>
      <c r="N84" s="1088"/>
      <c r="O84" s="2093"/>
      <c r="P84" s="2093"/>
      <c r="Q84" s="2093"/>
    </row>
    <row r="85" spans="1:31" ht="12" customHeight="1">
      <c r="B85" s="55"/>
      <c r="C85" s="62">
        <v>2</v>
      </c>
      <c r="D85" s="1089"/>
      <c r="E85" s="2132"/>
      <c r="F85" s="2132"/>
      <c r="G85" s="2132"/>
      <c r="H85" s="62">
        <v>4</v>
      </c>
      <c r="I85" s="1089"/>
      <c r="J85" s="2132"/>
      <c r="K85" s="2132"/>
      <c r="L85" s="2132"/>
      <c r="M85" s="62">
        <v>6</v>
      </c>
      <c r="N85" s="1089"/>
      <c r="O85" s="2132"/>
      <c r="P85" s="2132"/>
      <c r="Q85" s="2132"/>
    </row>
    <row r="86" spans="1:31" ht="12" customHeight="1">
      <c r="B86" s="55" t="s">
        <v>1857</v>
      </c>
      <c r="C86" s="62" t="s">
        <v>0</v>
      </c>
      <c r="D86" s="159"/>
      <c r="E86" s="159"/>
      <c r="F86" s="159"/>
      <c r="G86" s="159"/>
      <c r="H86" s="159"/>
      <c r="I86" s="50"/>
      <c r="J86" s="50"/>
      <c r="K86" s="159"/>
      <c r="L86" s="1171"/>
      <c r="M86" s="1171"/>
      <c r="O86" s="594" t="s">
        <v>1857</v>
      </c>
      <c r="P86" s="1090"/>
      <c r="Q86" s="1385"/>
    </row>
    <row r="87" spans="1:31" ht="11.25" customHeight="1">
      <c r="B87" s="167" t="s">
        <v>1994</v>
      </c>
      <c r="D87" s="167"/>
      <c r="E87" s="167"/>
      <c r="F87" s="167"/>
      <c r="G87" s="167"/>
      <c r="H87" s="48"/>
      <c r="I87" s="1192"/>
      <c r="J87" s="1192"/>
      <c r="K87" s="1192"/>
      <c r="L87" s="1172"/>
      <c r="M87" s="1172"/>
      <c r="N87" s="1172"/>
      <c r="O87" s="1172"/>
      <c r="P87" s="1172"/>
      <c r="Q87" s="60"/>
    </row>
    <row r="88" spans="1:31" ht="22.9" customHeight="1">
      <c r="A88" s="2008" t="s">
        <v>3773</v>
      </c>
      <c r="B88" s="2009"/>
      <c r="C88" s="2009"/>
      <c r="D88" s="2009"/>
      <c r="E88" s="2009"/>
      <c r="F88" s="2009"/>
      <c r="G88" s="2009"/>
      <c r="H88" s="2009"/>
      <c r="I88" s="2009"/>
      <c r="J88" s="2009"/>
      <c r="K88" s="2009"/>
      <c r="L88" s="2009"/>
      <c r="M88" s="2009"/>
      <c r="N88" s="2009"/>
      <c r="O88" s="2009"/>
      <c r="P88" s="2009"/>
      <c r="Q88" s="2010"/>
      <c r="U88" s="162"/>
      <c r="V88" s="162"/>
      <c r="W88" s="162"/>
      <c r="X88" s="162"/>
      <c r="Y88" s="162"/>
      <c r="Z88" s="162"/>
      <c r="AA88" s="162"/>
      <c r="AB88" s="162"/>
      <c r="AC88" s="162"/>
      <c r="AD88" s="162"/>
      <c r="AE88" s="596"/>
    </row>
    <row r="89" spans="1:31" ht="11.25" customHeight="1">
      <c r="B89" s="163" t="s">
        <v>1995</v>
      </c>
      <c r="C89" s="164"/>
      <c r="D89" s="1177"/>
      <c r="E89" s="1177"/>
      <c r="F89" s="1177"/>
      <c r="G89" s="1177"/>
      <c r="H89" s="1177"/>
      <c r="I89" s="1177"/>
      <c r="J89" s="1177"/>
      <c r="K89" s="1177"/>
      <c r="L89" s="1177"/>
      <c r="M89" s="1177"/>
      <c r="N89" s="1177"/>
      <c r="O89" s="1177"/>
      <c r="P89" s="1177"/>
      <c r="Q89" s="1177"/>
    </row>
    <row r="90" spans="1:31" ht="22.9" customHeight="1">
      <c r="A90" s="2013"/>
      <c r="B90" s="2014"/>
      <c r="C90" s="2014"/>
      <c r="D90" s="2014"/>
      <c r="E90" s="2014"/>
      <c r="F90" s="2014"/>
      <c r="G90" s="2014"/>
      <c r="H90" s="2014"/>
      <c r="I90" s="2014"/>
      <c r="J90" s="2014"/>
      <c r="K90" s="2014"/>
      <c r="L90" s="2014"/>
      <c r="M90" s="2014"/>
      <c r="N90" s="2014"/>
      <c r="O90" s="2014"/>
      <c r="P90" s="2014"/>
      <c r="Q90" s="2015"/>
    </row>
    <row r="91" spans="1:31" ht="13.9" customHeight="1">
      <c r="A91" s="1181">
        <v>6</v>
      </c>
      <c r="B91" s="1181" t="s">
        <v>2850</v>
      </c>
      <c r="C91" s="1181"/>
      <c r="D91" s="1177"/>
      <c r="E91" s="1177"/>
      <c r="F91" s="1177"/>
      <c r="G91" s="1177"/>
      <c r="H91" s="1177"/>
      <c r="I91" s="1177"/>
      <c r="J91" s="1177"/>
      <c r="K91" s="1177"/>
      <c r="L91" s="1177"/>
      <c r="M91" s="1177"/>
      <c r="O91" s="157" t="s">
        <v>1996</v>
      </c>
      <c r="P91" s="2016"/>
      <c r="Q91" s="2017"/>
    </row>
    <row r="92" spans="1:31" ht="3" customHeight="1"/>
    <row r="93" spans="1:31" ht="12" customHeight="1">
      <c r="B93" s="55" t="s">
        <v>2117</v>
      </c>
      <c r="C93" s="62" t="s">
        <v>524</v>
      </c>
      <c r="D93" s="62"/>
      <c r="E93" s="62"/>
      <c r="F93" s="62"/>
      <c r="G93" s="62"/>
      <c r="H93" s="62"/>
      <c r="I93" s="62"/>
      <c r="J93" s="62"/>
      <c r="K93" s="62"/>
      <c r="L93" s="62"/>
      <c r="M93" s="62"/>
      <c r="O93" s="594" t="s">
        <v>2117</v>
      </c>
      <c r="P93" s="1080" t="s">
        <v>3699</v>
      </c>
      <c r="Q93" s="1384"/>
    </row>
    <row r="94" spans="1:31" ht="12" customHeight="1">
      <c r="B94" s="55" t="s">
        <v>2120</v>
      </c>
      <c r="C94" s="62" t="s">
        <v>1389</v>
      </c>
      <c r="D94" s="62"/>
      <c r="E94" s="62"/>
      <c r="F94" s="62"/>
      <c r="G94" s="62"/>
      <c r="H94" s="62"/>
      <c r="I94" s="62"/>
      <c r="J94" s="62"/>
      <c r="K94" s="62"/>
      <c r="L94" s="38"/>
      <c r="M94" s="38"/>
      <c r="O94" s="594" t="s">
        <v>2120</v>
      </c>
      <c r="P94" s="1080" t="s">
        <v>3699</v>
      </c>
      <c r="Q94" s="1384"/>
    </row>
    <row r="95" spans="1:31" ht="12" customHeight="1">
      <c r="A95" s="158"/>
      <c r="B95" s="44"/>
      <c r="D95" s="47" t="s">
        <v>586</v>
      </c>
      <c r="E95" s="50"/>
      <c r="F95" s="50"/>
      <c r="G95" s="50"/>
      <c r="H95" s="50"/>
      <c r="I95" s="50"/>
      <c r="L95" s="78" t="s">
        <v>587</v>
      </c>
      <c r="M95" s="2052"/>
      <c r="N95" s="2053"/>
      <c r="O95" s="2053"/>
      <c r="P95" s="2125"/>
      <c r="Q95" s="1384"/>
    </row>
    <row r="96" spans="1:31" ht="22.9" customHeight="1">
      <c r="A96" s="170"/>
      <c r="B96" s="1192"/>
      <c r="C96" s="177" t="s">
        <v>1858</v>
      </c>
      <c r="D96" s="1983" t="s">
        <v>488</v>
      </c>
      <c r="E96" s="2131"/>
      <c r="F96" s="2131"/>
      <c r="G96" s="2131"/>
      <c r="H96" s="2131"/>
      <c r="I96" s="2131"/>
      <c r="J96" s="2131"/>
      <c r="K96" s="2131"/>
      <c r="L96" s="2131"/>
      <c r="M96" s="2131"/>
      <c r="N96" s="2131"/>
      <c r="O96" s="177" t="s">
        <v>1858</v>
      </c>
      <c r="P96" s="1080"/>
      <c r="Q96" s="1384"/>
    </row>
    <row r="97" spans="1:32" ht="12" customHeight="1">
      <c r="A97" s="170"/>
      <c r="B97" s="1192"/>
      <c r="C97" s="78" t="s">
        <v>1859</v>
      </c>
      <c r="D97" s="62" t="s">
        <v>3521</v>
      </c>
      <c r="E97" s="62"/>
      <c r="F97" s="62"/>
      <c r="G97" s="62"/>
      <c r="H97" s="62"/>
      <c r="I97" s="62"/>
      <c r="J97" s="62"/>
      <c r="K97" s="62"/>
      <c r="L97" s="62"/>
      <c r="M97" s="62"/>
      <c r="O97" s="78" t="s">
        <v>1859</v>
      </c>
      <c r="P97" s="1080"/>
      <c r="Q97" s="1384"/>
    </row>
    <row r="98" spans="1:32" ht="12" customHeight="1">
      <c r="A98" s="170"/>
      <c r="B98" s="1192"/>
      <c r="C98" s="177" t="s">
        <v>1860</v>
      </c>
      <c r="D98" s="62" t="s">
        <v>3520</v>
      </c>
      <c r="E98" s="62"/>
      <c r="F98" s="62"/>
      <c r="G98" s="62"/>
      <c r="H98" s="62"/>
      <c r="I98" s="62"/>
      <c r="J98" s="62"/>
      <c r="K98" s="62"/>
      <c r="L98" s="62"/>
      <c r="M98" s="62"/>
      <c r="O98" s="177" t="s">
        <v>1860</v>
      </c>
      <c r="P98" s="1091"/>
      <c r="Q98" s="1386"/>
    </row>
    <row r="99" spans="1:32" s="158" customFormat="1" ht="24.75" customHeight="1">
      <c r="A99" s="170"/>
      <c r="B99" s="546"/>
      <c r="C99" s="192" t="s">
        <v>2518</v>
      </c>
      <c r="D99" s="2003" t="s">
        <v>2915</v>
      </c>
      <c r="E99" s="2003"/>
      <c r="F99" s="2003"/>
      <c r="G99" s="2003"/>
      <c r="H99" s="2003"/>
      <c r="I99" s="2003"/>
      <c r="J99" s="2003"/>
      <c r="K99" s="2003"/>
      <c r="L99" s="2003"/>
      <c r="M99" s="2003"/>
      <c r="N99" s="2003"/>
      <c r="O99" s="192" t="s">
        <v>2518</v>
      </c>
      <c r="P99" s="1092"/>
      <c r="Q99" s="1387"/>
      <c r="AE99" s="597"/>
      <c r="AF99" s="597"/>
    </row>
    <row r="100" spans="1:32" ht="12" customHeight="1">
      <c r="B100" s="55" t="s">
        <v>798</v>
      </c>
      <c r="C100" s="62" t="s">
        <v>149</v>
      </c>
      <c r="D100" s="62"/>
      <c r="E100" s="62"/>
      <c r="F100" s="62"/>
      <c r="G100" s="62"/>
      <c r="H100" s="62"/>
      <c r="I100" s="62"/>
      <c r="J100" s="62"/>
      <c r="K100" s="62"/>
      <c r="L100" s="62"/>
      <c r="M100" s="62"/>
      <c r="O100" s="594" t="s">
        <v>798</v>
      </c>
      <c r="P100" s="1080" t="s">
        <v>3699</v>
      </c>
      <c r="Q100" s="1384"/>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80" t="s">
        <v>3699</v>
      </c>
      <c r="Q102" s="1384"/>
    </row>
    <row r="103" spans="1:32" ht="12" customHeight="1">
      <c r="B103" s="55"/>
      <c r="C103" s="78" t="s">
        <v>1859</v>
      </c>
      <c r="D103" s="62" t="s">
        <v>1523</v>
      </c>
      <c r="E103" s="62"/>
      <c r="F103" s="62"/>
      <c r="G103" s="62"/>
      <c r="H103" s="62"/>
      <c r="I103" s="62"/>
      <c r="J103" s="62"/>
      <c r="K103" s="62"/>
      <c r="L103" s="38"/>
      <c r="M103" s="38"/>
      <c r="O103" s="78" t="s">
        <v>1859</v>
      </c>
      <c r="P103" s="1080" t="s">
        <v>3699</v>
      </c>
      <c r="Q103" s="1384"/>
    </row>
    <row r="104" spans="1:32" ht="12" customHeight="1">
      <c r="B104" s="55"/>
      <c r="C104" s="78" t="s">
        <v>1860</v>
      </c>
      <c r="D104" s="62" t="s">
        <v>1524</v>
      </c>
      <c r="E104" s="62"/>
      <c r="F104" s="62"/>
      <c r="G104" s="62"/>
      <c r="H104" s="62"/>
      <c r="I104" s="62"/>
      <c r="J104" s="62"/>
      <c r="K104" s="62"/>
      <c r="L104" s="38"/>
      <c r="M104" s="38"/>
      <c r="O104" s="78" t="s">
        <v>1860</v>
      </c>
      <c r="P104" s="1080" t="s">
        <v>3699</v>
      </c>
      <c r="Q104" s="1384"/>
    </row>
    <row r="105" spans="1:32" ht="11.25" customHeight="1">
      <c r="B105" s="167" t="s">
        <v>1994</v>
      </c>
      <c r="D105" s="167"/>
      <c r="E105" s="167"/>
      <c r="F105" s="167"/>
      <c r="G105" s="167"/>
      <c r="H105" s="48"/>
      <c r="I105" s="1192"/>
      <c r="J105" s="1192"/>
      <c r="K105" s="1192"/>
      <c r="L105" s="1172"/>
      <c r="M105" s="1172"/>
      <c r="N105" s="1172"/>
      <c r="O105" s="1172"/>
      <c r="P105" s="1172"/>
      <c r="Q105" s="60"/>
    </row>
    <row r="106" spans="1:32" ht="13.15" customHeight="1">
      <c r="A106" s="2008"/>
      <c r="B106" s="2009"/>
      <c r="C106" s="2009"/>
      <c r="D106" s="2009"/>
      <c r="E106" s="2009"/>
      <c r="F106" s="2009"/>
      <c r="G106" s="2009"/>
      <c r="H106" s="2009"/>
      <c r="I106" s="2009"/>
      <c r="J106" s="2009"/>
      <c r="K106" s="2009"/>
      <c r="L106" s="2009"/>
      <c r="M106" s="2009"/>
      <c r="N106" s="2009"/>
      <c r="O106" s="2009"/>
      <c r="P106" s="2009"/>
      <c r="Q106" s="2010"/>
      <c r="U106" s="162"/>
      <c r="V106" s="162"/>
      <c r="W106" s="162"/>
      <c r="X106" s="162"/>
      <c r="Y106" s="162"/>
      <c r="Z106" s="162"/>
      <c r="AA106" s="162"/>
      <c r="AB106" s="162"/>
      <c r="AC106" s="162"/>
      <c r="AD106" s="162"/>
      <c r="AE106" s="596"/>
    </row>
    <row r="107" spans="1:32" ht="11.25" customHeight="1">
      <c r="B107" s="163" t="s">
        <v>1995</v>
      </c>
      <c r="C107" s="164"/>
      <c r="D107" s="1177"/>
      <c r="E107" s="1177"/>
      <c r="F107" s="1177"/>
      <c r="G107" s="1177"/>
      <c r="H107" s="1177"/>
      <c r="I107" s="1177"/>
      <c r="J107" s="1177"/>
      <c r="K107" s="1177"/>
      <c r="L107" s="1177"/>
      <c r="M107" s="1177"/>
      <c r="N107" s="1177"/>
      <c r="O107" s="1177"/>
      <c r="P107" s="1177"/>
      <c r="Q107" s="1177"/>
    </row>
    <row r="108" spans="1:32" ht="13.15" customHeight="1">
      <c r="A108" s="2013"/>
      <c r="B108" s="2014"/>
      <c r="C108" s="2014"/>
      <c r="D108" s="2014"/>
      <c r="E108" s="2014"/>
      <c r="F108" s="2014"/>
      <c r="G108" s="2014"/>
      <c r="H108" s="2014"/>
      <c r="I108" s="2014"/>
      <c r="J108" s="2014"/>
      <c r="K108" s="2014"/>
      <c r="L108" s="2014"/>
      <c r="M108" s="2014"/>
      <c r="N108" s="2014"/>
      <c r="O108" s="2014"/>
      <c r="P108" s="2014"/>
      <c r="Q108" s="2015"/>
    </row>
    <row r="109" spans="1:32" ht="4.9000000000000004" customHeight="1">
      <c r="A109" s="1172"/>
      <c r="B109" s="1192"/>
      <c r="C109" s="1177"/>
      <c r="D109" s="1177"/>
      <c r="E109" s="1177"/>
      <c r="F109" s="1177"/>
      <c r="G109" s="1177"/>
      <c r="H109" s="1177"/>
      <c r="I109" s="1177"/>
      <c r="J109" s="1177"/>
      <c r="K109" s="1177"/>
      <c r="L109" s="1177"/>
      <c r="M109" s="1177"/>
      <c r="N109" s="1177"/>
      <c r="O109" s="1177"/>
      <c r="P109" s="1177"/>
      <c r="Q109" s="1172"/>
    </row>
    <row r="110" spans="1:32" ht="13.9" customHeight="1">
      <c r="A110" s="1181">
        <v>7</v>
      </c>
      <c r="B110" s="1181" t="s">
        <v>2851</v>
      </c>
      <c r="C110" s="48"/>
      <c r="D110" s="1177"/>
      <c r="E110" s="1177"/>
      <c r="F110" s="1177"/>
      <c r="G110" s="1177"/>
      <c r="H110" s="1177"/>
      <c r="I110" s="1177"/>
      <c r="J110" s="1177"/>
      <c r="K110" s="1177"/>
      <c r="L110" s="1177"/>
      <c r="M110" s="1177"/>
      <c r="O110" s="157" t="s">
        <v>1996</v>
      </c>
      <c r="P110" s="2016"/>
      <c r="Q110" s="2017"/>
    </row>
    <row r="111" spans="1:32" ht="6.6" customHeight="1"/>
    <row r="112" spans="1:32" ht="12" customHeight="1">
      <c r="B112" s="55" t="s">
        <v>2117</v>
      </c>
      <c r="C112" s="62" t="s">
        <v>2913</v>
      </c>
      <c r="D112" s="159"/>
      <c r="E112" s="159"/>
      <c r="F112" s="159"/>
      <c r="G112" s="159"/>
      <c r="H112" s="159"/>
      <c r="I112" s="50"/>
      <c r="J112" s="50"/>
      <c r="K112" s="50"/>
      <c r="L112" s="594" t="s">
        <v>2117</v>
      </c>
      <c r="M112" s="2039" t="s">
        <v>3786</v>
      </c>
      <c r="N112" s="2040"/>
      <c r="O112" s="2040"/>
      <c r="P112" s="2041"/>
      <c r="Q112" s="1384"/>
    </row>
    <row r="113" spans="2:17" ht="12" customHeight="1">
      <c r="B113" s="55" t="s">
        <v>2120</v>
      </c>
      <c r="C113" s="62" t="s">
        <v>1644</v>
      </c>
      <c r="D113" s="159"/>
      <c r="E113" s="159"/>
      <c r="F113" s="159"/>
      <c r="G113" s="159"/>
      <c r="H113" s="159"/>
      <c r="I113" s="50"/>
      <c r="J113" s="50"/>
      <c r="K113" s="159"/>
      <c r="L113" s="159"/>
      <c r="M113" s="1171"/>
      <c r="O113" s="594" t="s">
        <v>2120</v>
      </c>
      <c r="P113" s="1080" t="s">
        <v>3699</v>
      </c>
      <c r="Q113" s="1385"/>
    </row>
    <row r="114" spans="2:17" ht="12" customHeight="1">
      <c r="B114" s="55" t="s">
        <v>798</v>
      </c>
      <c r="C114" s="62" t="s">
        <v>157</v>
      </c>
      <c r="D114" s="159"/>
      <c r="E114" s="159"/>
      <c r="F114" s="159"/>
      <c r="G114" s="159"/>
      <c r="H114" s="159"/>
      <c r="I114" s="50"/>
      <c r="J114" s="50"/>
      <c r="K114" s="159"/>
      <c r="L114" s="1171"/>
      <c r="M114" s="1171"/>
      <c r="O114" s="594" t="s">
        <v>798</v>
      </c>
      <c r="P114" s="1080" t="s">
        <v>3698</v>
      </c>
      <c r="Q114" s="1384"/>
    </row>
    <row r="115" spans="2:17" ht="12" customHeight="1">
      <c r="B115" s="55"/>
      <c r="C115" s="77" t="s">
        <v>1858</v>
      </c>
      <c r="D115" s="62" t="s">
        <v>2914</v>
      </c>
      <c r="E115" s="159"/>
      <c r="F115" s="159"/>
      <c r="G115" s="159"/>
      <c r="H115" s="159"/>
      <c r="I115" s="50"/>
      <c r="J115" s="50"/>
      <c r="K115" s="159"/>
      <c r="L115" s="78" t="s">
        <v>1858</v>
      </c>
      <c r="M115" s="2039" t="s">
        <v>3786</v>
      </c>
      <c r="N115" s="2040"/>
      <c r="O115" s="2040"/>
      <c r="P115" s="2041"/>
      <c r="Q115" s="1385"/>
    </row>
    <row r="116" spans="2:17" ht="12" customHeight="1">
      <c r="B116" s="165"/>
      <c r="C116" s="78" t="s">
        <v>1859</v>
      </c>
      <c r="D116" s="44" t="s">
        <v>2785</v>
      </c>
      <c r="E116" s="50"/>
      <c r="F116" s="50"/>
      <c r="G116" s="50"/>
      <c r="H116" s="62"/>
      <c r="I116" s="50"/>
      <c r="J116" s="50"/>
      <c r="K116" s="159"/>
      <c r="L116" s="1171"/>
      <c r="M116" s="1171"/>
      <c r="O116" s="594" t="s">
        <v>1859</v>
      </c>
      <c r="P116" s="1090">
        <v>64.2</v>
      </c>
      <c r="Q116" s="1385"/>
    </row>
    <row r="117" spans="2:17" ht="12" customHeight="1">
      <c r="B117" s="165"/>
      <c r="C117" s="594" t="s">
        <v>1860</v>
      </c>
      <c r="D117" s="62" t="s">
        <v>1470</v>
      </c>
      <c r="E117" s="50"/>
      <c r="F117" s="50"/>
      <c r="G117" s="50"/>
      <c r="H117" s="62"/>
      <c r="I117" s="50"/>
      <c r="J117" s="50"/>
      <c r="K117" s="159"/>
      <c r="L117" s="1171"/>
      <c r="M117" s="1171"/>
      <c r="N117" s="1171"/>
      <c r="O117" s="1171"/>
    </row>
    <row r="118" spans="2:17" ht="11.45" customHeight="1">
      <c r="B118" s="1172"/>
      <c r="C118" s="78"/>
      <c r="D118" s="2088" t="s">
        <v>3846</v>
      </c>
      <c r="E118" s="2089"/>
      <c r="F118" s="2089"/>
      <c r="G118" s="2089"/>
      <c r="H118" s="2089"/>
      <c r="I118" s="2089"/>
      <c r="J118" s="2089"/>
      <c r="K118" s="2089"/>
      <c r="L118" s="2089"/>
      <c r="M118" s="2089"/>
      <c r="N118" s="2089"/>
      <c r="O118" s="2089"/>
      <c r="P118" s="2089"/>
      <c r="Q118" s="2090"/>
    </row>
    <row r="119" spans="2:17" ht="12" customHeight="1">
      <c r="B119" s="55" t="s">
        <v>2252</v>
      </c>
      <c r="C119" s="62" t="s">
        <v>1339</v>
      </c>
      <c r="D119" s="159"/>
      <c r="E119" s="159"/>
      <c r="F119" s="159"/>
      <c r="G119" s="159"/>
      <c r="H119" s="159"/>
      <c r="I119" s="50"/>
      <c r="J119" s="50"/>
      <c r="K119" s="159"/>
      <c r="L119" s="1171"/>
      <c r="M119" s="1171"/>
      <c r="N119" s="1171"/>
      <c r="O119" s="594" t="s">
        <v>2252</v>
      </c>
    </row>
    <row r="120" spans="2:17" ht="12" customHeight="1">
      <c r="B120" s="55"/>
      <c r="C120" s="78" t="s">
        <v>1858</v>
      </c>
      <c r="D120" s="62" t="s">
        <v>155</v>
      </c>
      <c r="E120" s="159"/>
      <c r="F120" s="159"/>
      <c r="G120" s="159"/>
      <c r="H120" s="159"/>
      <c r="I120" s="50"/>
      <c r="J120" s="50"/>
      <c r="K120" s="159"/>
      <c r="L120" s="1171"/>
      <c r="M120" s="1171"/>
      <c r="O120" s="78" t="s">
        <v>1858</v>
      </c>
      <c r="P120" s="1080" t="s">
        <v>3699</v>
      </c>
      <c r="Q120" s="1384"/>
    </row>
    <row r="121" spans="2:17" ht="12" customHeight="1">
      <c r="B121" s="55"/>
      <c r="C121" s="78" t="s">
        <v>1859</v>
      </c>
      <c r="D121" s="62" t="s">
        <v>1340</v>
      </c>
      <c r="E121" s="159"/>
      <c r="F121" s="159"/>
      <c r="G121" s="159"/>
      <c r="H121" s="50"/>
      <c r="I121" s="50"/>
      <c r="J121" s="50"/>
      <c r="K121" s="159"/>
      <c r="L121" s="1171"/>
      <c r="M121" s="1171"/>
      <c r="O121" s="78" t="s">
        <v>1859</v>
      </c>
      <c r="P121" s="1090" t="s">
        <v>3699</v>
      </c>
      <c r="Q121" s="1385"/>
    </row>
    <row r="122" spans="2:17" ht="12" customHeight="1">
      <c r="B122" s="55"/>
      <c r="C122" s="78"/>
      <c r="D122" s="62" t="s">
        <v>2826</v>
      </c>
      <c r="E122" s="557" t="s">
        <v>2598</v>
      </c>
      <c r="F122" s="62" t="s">
        <v>2827</v>
      </c>
      <c r="G122" s="50"/>
      <c r="H122" s="62"/>
      <c r="I122" s="50"/>
      <c r="J122" s="50"/>
      <c r="K122" s="159"/>
      <c r="L122" s="1171"/>
      <c r="M122" s="1171"/>
      <c r="O122" s="557" t="s">
        <v>2598</v>
      </c>
      <c r="P122" s="1093"/>
      <c r="Q122" s="1388"/>
    </row>
    <row r="123" spans="2:17" ht="12" customHeight="1">
      <c r="B123" s="55"/>
      <c r="C123" s="78"/>
      <c r="E123" s="557" t="s">
        <v>2599</v>
      </c>
      <c r="F123" s="62" t="s">
        <v>2828</v>
      </c>
      <c r="G123" s="50"/>
      <c r="H123" s="62"/>
      <c r="I123" s="50"/>
      <c r="J123" s="50"/>
      <c r="K123" s="159"/>
      <c r="L123" s="1171"/>
      <c r="M123" s="1171"/>
      <c r="O123" s="557" t="s">
        <v>2599</v>
      </c>
      <c r="P123" s="1090"/>
      <c r="Q123" s="1385"/>
    </row>
    <row r="124" spans="2:17" ht="12" customHeight="1">
      <c r="B124" s="55"/>
      <c r="C124" s="78"/>
      <c r="E124" s="557" t="s">
        <v>2600</v>
      </c>
      <c r="F124" s="62" t="s">
        <v>2829</v>
      </c>
      <c r="G124" s="50"/>
      <c r="H124" s="62"/>
      <c r="I124" s="50"/>
      <c r="J124" s="50"/>
      <c r="K124" s="159"/>
      <c r="L124" s="1171"/>
      <c r="M124" s="1171"/>
      <c r="O124" s="557" t="s">
        <v>2600</v>
      </c>
      <c r="P124" s="1090"/>
      <c r="Q124" s="1385"/>
    </row>
    <row r="125" spans="2:17" ht="12" customHeight="1">
      <c r="B125" s="55"/>
      <c r="C125" s="78" t="s">
        <v>1860</v>
      </c>
      <c r="D125" s="62" t="s">
        <v>1341</v>
      </c>
      <c r="E125" s="159"/>
      <c r="F125" s="159"/>
      <c r="G125" s="159"/>
      <c r="H125" s="62"/>
      <c r="I125" s="50"/>
      <c r="J125" s="50"/>
      <c r="K125" s="159"/>
      <c r="L125" s="1171"/>
      <c r="M125" s="1171"/>
      <c r="O125" s="78" t="s">
        <v>1860</v>
      </c>
      <c r="P125" s="1080" t="s">
        <v>3699</v>
      </c>
      <c r="Q125" s="1384"/>
    </row>
    <row r="126" spans="2:17" ht="12" customHeight="1">
      <c r="B126" s="55"/>
      <c r="C126" s="78"/>
      <c r="D126" s="62" t="s">
        <v>2826</v>
      </c>
      <c r="E126" s="557" t="s">
        <v>2598</v>
      </c>
      <c r="F126" s="62" t="s">
        <v>2830</v>
      </c>
      <c r="G126" s="50"/>
      <c r="H126" s="62"/>
      <c r="I126" s="50"/>
      <c r="J126" s="50"/>
      <c r="K126" s="159"/>
      <c r="L126" s="1171"/>
      <c r="O126" s="557" t="s">
        <v>2598</v>
      </c>
      <c r="P126" s="1093"/>
      <c r="Q126" s="1389"/>
    </row>
    <row r="127" spans="2:17" ht="12" customHeight="1">
      <c r="B127" s="55"/>
      <c r="C127" s="78"/>
      <c r="E127" s="557" t="s">
        <v>2599</v>
      </c>
      <c r="F127" s="62" t="s">
        <v>2831</v>
      </c>
      <c r="G127" s="50"/>
      <c r="H127" s="62"/>
      <c r="I127" s="50"/>
      <c r="J127" s="50"/>
      <c r="O127" s="557" t="s">
        <v>2599</v>
      </c>
      <c r="P127" s="1090"/>
      <c r="Q127" s="1385"/>
    </row>
    <row r="128" spans="2:17" ht="12" customHeight="1">
      <c r="B128" s="55"/>
      <c r="C128" s="78"/>
      <c r="E128" s="557" t="s">
        <v>2600</v>
      </c>
      <c r="F128" s="62" t="s">
        <v>2829</v>
      </c>
      <c r="G128" s="50"/>
      <c r="H128" s="62"/>
      <c r="I128" s="50"/>
      <c r="J128" s="50"/>
      <c r="O128" s="557" t="s">
        <v>2600</v>
      </c>
      <c r="P128" s="1090"/>
      <c r="Q128" s="1385"/>
    </row>
    <row r="129" spans="1:31" ht="12" customHeight="1">
      <c r="B129" s="44"/>
      <c r="C129" s="78" t="s">
        <v>2518</v>
      </c>
      <c r="D129" s="62" t="s">
        <v>2832</v>
      </c>
      <c r="E129" s="159"/>
      <c r="F129" s="159"/>
      <c r="G129" s="159"/>
      <c r="H129" s="159"/>
      <c r="I129" s="50"/>
      <c r="J129" s="50"/>
      <c r="O129" s="78" t="s">
        <v>2518</v>
      </c>
      <c r="P129" s="1080" t="s">
        <v>3699</v>
      </c>
      <c r="Q129" s="1384"/>
    </row>
    <row r="130" spans="1:31" ht="12" customHeight="1">
      <c r="B130" s="55" t="s">
        <v>1856</v>
      </c>
      <c r="C130" s="172" t="s">
        <v>2576</v>
      </c>
      <c r="D130" s="159"/>
      <c r="E130" s="159"/>
      <c r="F130" s="159"/>
      <c r="G130" s="159"/>
      <c r="H130" s="159"/>
      <c r="I130" s="50"/>
      <c r="J130" s="50"/>
      <c r="K130" s="159"/>
      <c r="L130" s="1171"/>
      <c r="M130" s="1171"/>
      <c r="N130" s="1171"/>
      <c r="O130" s="1171"/>
      <c r="P130" s="1171"/>
      <c r="Q130" s="1171"/>
    </row>
    <row r="131" spans="1:31" ht="12" customHeight="1">
      <c r="C131" s="78" t="s">
        <v>1858</v>
      </c>
      <c r="D131" s="62" t="s">
        <v>2662</v>
      </c>
      <c r="E131" s="159"/>
      <c r="F131" s="1094" t="s">
        <v>3699</v>
      </c>
      <c r="G131" s="1390"/>
      <c r="H131" s="78" t="s">
        <v>1656</v>
      </c>
      <c r="I131" s="65" t="s">
        <v>2834</v>
      </c>
      <c r="L131" s="1094" t="s">
        <v>3699</v>
      </c>
      <c r="M131" s="1390"/>
      <c r="N131" s="594" t="s">
        <v>544</v>
      </c>
      <c r="O131" s="62" t="s">
        <v>1659</v>
      </c>
      <c r="P131" s="1094" t="s">
        <v>3699</v>
      </c>
      <c r="Q131" s="1390"/>
    </row>
    <row r="132" spans="1:31" ht="12" customHeight="1">
      <c r="B132" s="44"/>
      <c r="C132" s="78" t="s">
        <v>1859</v>
      </c>
      <c r="D132" s="62" t="s">
        <v>3260</v>
      </c>
      <c r="E132" s="159"/>
      <c r="F132" s="1095" t="s">
        <v>3699</v>
      </c>
      <c r="G132" s="1391"/>
      <c r="H132" s="78" t="s">
        <v>1657</v>
      </c>
      <c r="I132" s="65" t="s">
        <v>2835</v>
      </c>
      <c r="L132" s="1095" t="s">
        <v>3699</v>
      </c>
      <c r="M132" s="1391"/>
      <c r="N132" s="594" t="s">
        <v>545</v>
      </c>
      <c r="O132" s="62" t="s">
        <v>1658</v>
      </c>
      <c r="P132" s="1095" t="s">
        <v>3699</v>
      </c>
      <c r="Q132" s="1391"/>
    </row>
    <row r="133" spans="1:31" ht="12" customHeight="1">
      <c r="B133" s="44"/>
      <c r="C133" s="78" t="s">
        <v>1860</v>
      </c>
      <c r="D133" s="62" t="s">
        <v>2833</v>
      </c>
      <c r="E133" s="159"/>
      <c r="F133" s="1095" t="s">
        <v>3699</v>
      </c>
      <c r="G133" s="1391"/>
      <c r="H133" s="594" t="s">
        <v>101</v>
      </c>
      <c r="I133" s="65" t="s">
        <v>3261</v>
      </c>
      <c r="L133" s="1095" t="s">
        <v>3699</v>
      </c>
      <c r="M133" s="1391"/>
      <c r="N133" s="594" t="s">
        <v>3263</v>
      </c>
      <c r="O133" s="62" t="s">
        <v>1660</v>
      </c>
      <c r="P133" s="1096" t="s">
        <v>3699</v>
      </c>
      <c r="Q133" s="1392"/>
    </row>
    <row r="134" spans="1:31" ht="12" customHeight="1">
      <c r="B134" s="44"/>
      <c r="C134" s="78" t="s">
        <v>2518</v>
      </c>
      <c r="D134" s="62" t="s">
        <v>3264</v>
      </c>
      <c r="E134" s="159"/>
      <c r="F134" s="1096" t="s">
        <v>3699</v>
      </c>
      <c r="G134" s="1392"/>
      <c r="H134" s="594" t="s">
        <v>543</v>
      </c>
      <c r="I134" s="62" t="s">
        <v>3259</v>
      </c>
      <c r="L134" s="1096" t="s">
        <v>3699</v>
      </c>
      <c r="M134" s="1392"/>
      <c r="O134" s="78"/>
    </row>
    <row r="135" spans="1:31" ht="12" customHeight="1">
      <c r="B135" s="44"/>
      <c r="C135" s="594" t="s">
        <v>3557</v>
      </c>
      <c r="D135" s="62" t="s">
        <v>3262</v>
      </c>
      <c r="E135" s="159"/>
      <c r="F135" s="159"/>
      <c r="G135" s="159"/>
      <c r="H135" s="159"/>
      <c r="I135" s="159"/>
      <c r="J135" s="159"/>
      <c r="K135" s="159"/>
      <c r="L135" s="159"/>
      <c r="M135" s="62"/>
      <c r="O135" s="78"/>
      <c r="P135" s="78"/>
    </row>
    <row r="136" spans="1:31" ht="12" customHeight="1">
      <c r="B136" s="44"/>
      <c r="D136" s="2052" t="s">
        <v>3304</v>
      </c>
      <c r="E136" s="2053"/>
      <c r="F136" s="2053"/>
      <c r="G136" s="2053"/>
      <c r="H136" s="2053"/>
      <c r="I136" s="2053"/>
      <c r="J136" s="2053"/>
      <c r="K136" s="2053"/>
      <c r="L136" s="2053"/>
      <c r="M136" s="2053"/>
      <c r="N136" s="2053"/>
      <c r="O136" s="2053"/>
      <c r="P136" s="2054"/>
      <c r="Q136" s="1384"/>
    </row>
    <row r="137" spans="1:31" ht="12" customHeight="1">
      <c r="B137" s="55" t="s">
        <v>1857</v>
      </c>
      <c r="C137" s="62" t="s">
        <v>1369</v>
      </c>
      <c r="D137" s="159"/>
      <c r="E137" s="159"/>
      <c r="F137" s="159"/>
      <c r="G137" s="159"/>
      <c r="H137" s="159"/>
      <c r="I137" s="50"/>
      <c r="J137" s="50"/>
      <c r="K137" s="159"/>
      <c r="L137" s="159"/>
      <c r="M137" s="1171"/>
      <c r="O137" s="594" t="s">
        <v>1857</v>
      </c>
      <c r="P137" s="1090" t="s">
        <v>3698</v>
      </c>
      <c r="Q137" s="1384"/>
    </row>
    <row r="138" spans="1:31" ht="12" customHeight="1">
      <c r="A138" s="170"/>
      <c r="B138" s="50"/>
      <c r="C138" s="78" t="s">
        <v>1858</v>
      </c>
      <c r="D138" s="62" t="s">
        <v>3265</v>
      </c>
      <c r="E138" s="159"/>
      <c r="F138" s="159"/>
      <c r="G138" s="159"/>
      <c r="H138" s="159"/>
      <c r="O138" s="78" t="s">
        <v>1858</v>
      </c>
      <c r="P138" s="1080" t="s">
        <v>3699</v>
      </c>
      <c r="Q138" s="1384"/>
    </row>
    <row r="139" spans="1:31" ht="12" customHeight="1">
      <c r="A139" s="170"/>
      <c r="B139" s="1192"/>
      <c r="C139" s="78" t="s">
        <v>1859</v>
      </c>
      <c r="D139" s="62" t="s">
        <v>521</v>
      </c>
      <c r="E139" s="62"/>
      <c r="F139" s="62"/>
      <c r="G139" s="62"/>
      <c r="H139" s="62"/>
      <c r="I139" s="50"/>
      <c r="J139" s="50"/>
      <c r="K139" s="62"/>
      <c r="L139" s="62"/>
      <c r="M139" s="62"/>
      <c r="O139" s="78" t="s">
        <v>1859</v>
      </c>
      <c r="P139" s="1080" t="s">
        <v>3698</v>
      </c>
      <c r="Q139" s="1384"/>
    </row>
    <row r="140" spans="1:31" ht="12" customHeight="1">
      <c r="A140" s="170"/>
      <c r="B140" s="1192"/>
      <c r="C140" s="78" t="s">
        <v>1860</v>
      </c>
      <c r="D140" s="62" t="s">
        <v>726</v>
      </c>
      <c r="E140" s="62"/>
      <c r="F140" s="62"/>
      <c r="G140" s="62"/>
      <c r="H140" s="62"/>
      <c r="I140" s="50"/>
      <c r="J140" s="50"/>
      <c r="K140" s="62"/>
      <c r="L140" s="62"/>
      <c r="M140" s="62"/>
      <c r="O140" s="78" t="s">
        <v>1860</v>
      </c>
      <c r="P140" s="1080" t="s">
        <v>3698</v>
      </c>
      <c r="Q140" s="1384"/>
    </row>
    <row r="141" spans="1:31" ht="12" customHeight="1">
      <c r="B141" s="55" t="s">
        <v>2080</v>
      </c>
      <c r="C141" s="62" t="s">
        <v>1875</v>
      </c>
      <c r="D141" s="159"/>
      <c r="E141" s="159"/>
      <c r="F141" s="159"/>
      <c r="G141" s="159"/>
      <c r="H141" s="159"/>
      <c r="I141" s="50"/>
      <c r="J141" s="50"/>
      <c r="K141" s="159"/>
      <c r="L141" s="159"/>
      <c r="M141" s="1171"/>
      <c r="O141" s="594" t="s">
        <v>2080</v>
      </c>
      <c r="P141" s="1080" t="s">
        <v>1028</v>
      </c>
      <c r="Q141" s="1384"/>
    </row>
    <row r="142" spans="1:31" ht="4.9000000000000004" customHeight="1"/>
    <row r="143" spans="1:31" ht="11.25" customHeight="1">
      <c r="B143" s="167" t="s">
        <v>1994</v>
      </c>
      <c r="D143" s="167"/>
      <c r="E143" s="167"/>
      <c r="F143" s="167"/>
      <c r="G143" s="167"/>
      <c r="H143" s="48"/>
      <c r="I143" s="1192"/>
      <c r="J143" s="1192"/>
      <c r="K143" s="1192"/>
      <c r="L143" s="1172"/>
      <c r="M143" s="1172"/>
      <c r="N143" s="1172"/>
      <c r="O143" s="1172"/>
      <c r="P143" s="1172"/>
      <c r="Q143" s="60"/>
    </row>
    <row r="144" spans="1:31" ht="12" customHeight="1">
      <c r="A144" s="2008" t="s">
        <v>3836</v>
      </c>
      <c r="B144" s="2009"/>
      <c r="C144" s="2009"/>
      <c r="D144" s="2009"/>
      <c r="E144" s="2009"/>
      <c r="F144" s="2009"/>
      <c r="G144" s="2009"/>
      <c r="H144" s="2009"/>
      <c r="I144" s="2009"/>
      <c r="J144" s="2009"/>
      <c r="K144" s="2009"/>
      <c r="L144" s="2009"/>
      <c r="M144" s="2009"/>
      <c r="N144" s="2009"/>
      <c r="O144" s="2009"/>
      <c r="P144" s="2009"/>
      <c r="Q144" s="2010"/>
      <c r="R144" s="562" t="s">
        <v>1331</v>
      </c>
      <c r="S144" s="563"/>
      <c r="U144" s="162"/>
      <c r="V144" s="162"/>
      <c r="W144" s="162"/>
      <c r="X144" s="162"/>
      <c r="Y144" s="162"/>
      <c r="Z144" s="162"/>
      <c r="AA144" s="162"/>
      <c r="AB144" s="162"/>
      <c r="AC144" s="162"/>
      <c r="AD144" s="162"/>
      <c r="AE144" s="596"/>
    </row>
    <row r="145" spans="1:31" ht="11.25" customHeight="1">
      <c r="B145" s="163" t="s">
        <v>1995</v>
      </c>
      <c r="C145" s="164"/>
      <c r="D145" s="1177"/>
      <c r="E145" s="1177"/>
      <c r="F145" s="1177"/>
      <c r="G145" s="1177"/>
      <c r="H145" s="1177"/>
      <c r="I145" s="1177"/>
      <c r="J145" s="1177"/>
      <c r="K145" s="1177"/>
      <c r="L145" s="1177"/>
      <c r="M145" s="1177"/>
      <c r="N145" s="1177"/>
      <c r="O145" s="1177"/>
      <c r="P145" s="1177"/>
      <c r="Q145" s="1177"/>
    </row>
    <row r="146" spans="1:31" ht="12" customHeight="1">
      <c r="A146" s="2013"/>
      <c r="B146" s="2014"/>
      <c r="C146" s="2014"/>
      <c r="D146" s="2014"/>
      <c r="E146" s="2014"/>
      <c r="F146" s="2014"/>
      <c r="G146" s="2014"/>
      <c r="H146" s="2014"/>
      <c r="I146" s="2014"/>
      <c r="J146" s="2014"/>
      <c r="K146" s="2014"/>
      <c r="L146" s="2014"/>
      <c r="M146" s="2014"/>
      <c r="N146" s="2014"/>
      <c r="O146" s="2014"/>
      <c r="P146" s="2014"/>
      <c r="Q146" s="2015"/>
      <c r="R146" s="562" t="s">
        <v>1331</v>
      </c>
      <c r="S146" s="563"/>
    </row>
    <row r="147" spans="1:31" ht="8.4499999999999993" customHeight="1">
      <c r="A147" s="1172"/>
      <c r="B147" s="1192"/>
      <c r="C147" s="1177"/>
      <c r="D147" s="1177"/>
      <c r="E147" s="1177"/>
      <c r="F147" s="1177"/>
      <c r="G147" s="1177"/>
      <c r="H147" s="1177"/>
      <c r="I147" s="1177"/>
      <c r="J147" s="1177"/>
      <c r="K147" s="1177"/>
      <c r="L147" s="1177"/>
      <c r="M147" s="1177"/>
      <c r="N147" s="1177"/>
      <c r="O147" s="1177"/>
      <c r="P147" s="1177"/>
      <c r="Q147" s="1172"/>
    </row>
    <row r="148" spans="1:31" ht="13.9" customHeight="1">
      <c r="A148" s="1181">
        <v>8</v>
      </c>
      <c r="B148" s="1181" t="s">
        <v>2852</v>
      </c>
      <c r="C148" s="1181"/>
      <c r="D148" s="1177"/>
      <c r="E148" s="1177"/>
      <c r="F148" s="1177"/>
      <c r="G148" s="1177"/>
      <c r="H148" s="1177"/>
      <c r="I148" s="1177"/>
      <c r="J148" s="1177"/>
      <c r="K148" s="1177"/>
      <c r="O148" s="157" t="s">
        <v>1996</v>
      </c>
      <c r="P148" s="2016"/>
      <c r="Q148" s="2017"/>
    </row>
    <row r="149" spans="1:31" ht="12" customHeight="1">
      <c r="B149" s="55" t="s">
        <v>2117</v>
      </c>
      <c r="C149" s="62" t="s">
        <v>3258</v>
      </c>
      <c r="D149" s="62"/>
      <c r="E149" s="62"/>
      <c r="F149" s="62"/>
      <c r="G149" s="62"/>
      <c r="I149" s="62" t="s">
        <v>2947</v>
      </c>
      <c r="K149" s="2037">
        <v>42248</v>
      </c>
      <c r="L149" s="2038"/>
      <c r="N149" s="62"/>
      <c r="O149" s="594" t="s">
        <v>2117</v>
      </c>
      <c r="P149" s="1080" t="s">
        <v>3698</v>
      </c>
      <c r="Q149" s="1384"/>
    </row>
    <row r="150" spans="1:31" ht="12" customHeight="1">
      <c r="A150" s="165"/>
      <c r="B150" s="55" t="s">
        <v>2120</v>
      </c>
      <c r="C150" s="166" t="s">
        <v>156</v>
      </c>
      <c r="D150" s="166"/>
      <c r="E150" s="166"/>
      <c r="F150" s="166"/>
      <c r="G150" s="166"/>
      <c r="H150" s="166"/>
      <c r="M150" s="594" t="s">
        <v>2120</v>
      </c>
      <c r="N150" s="2126" t="s">
        <v>3758</v>
      </c>
      <c r="O150" s="2127"/>
      <c r="P150" s="2095"/>
      <c r="Q150" s="2096"/>
    </row>
    <row r="151" spans="1:31" ht="12" customHeight="1">
      <c r="A151" s="165"/>
      <c r="B151" s="55" t="s">
        <v>798</v>
      </c>
      <c r="C151" s="166" t="s">
        <v>727</v>
      </c>
      <c r="D151" s="166"/>
      <c r="E151" s="166"/>
      <c r="F151" s="166"/>
      <c r="G151" s="166"/>
      <c r="H151" s="166"/>
      <c r="J151" s="594" t="s">
        <v>798</v>
      </c>
      <c r="K151" s="2052" t="s">
        <v>3716</v>
      </c>
      <c r="L151" s="2053"/>
      <c r="M151" s="2053"/>
      <c r="N151" s="2053"/>
      <c r="O151" s="2053"/>
      <c r="P151" s="2054"/>
      <c r="Q151" s="1384"/>
    </row>
    <row r="152" spans="1:31" ht="12" customHeight="1">
      <c r="A152" s="165"/>
      <c r="B152" s="55" t="s">
        <v>2252</v>
      </c>
      <c r="C152" s="166" t="s">
        <v>3538</v>
      </c>
      <c r="D152" s="166"/>
      <c r="E152" s="166"/>
      <c r="F152" s="166"/>
      <c r="G152" s="166"/>
      <c r="H152" s="166"/>
      <c r="J152" s="594"/>
      <c r="K152" s="594"/>
      <c r="L152" s="594"/>
      <c r="M152" s="594"/>
      <c r="N152" s="594"/>
      <c r="O152" s="594" t="s">
        <v>2252</v>
      </c>
      <c r="P152" s="1080" t="s">
        <v>3699</v>
      </c>
      <c r="Q152" s="1384"/>
    </row>
    <row r="153" spans="1:31" ht="12" customHeight="1">
      <c r="B153" s="167" t="s">
        <v>1994</v>
      </c>
      <c r="D153" s="167"/>
      <c r="E153" s="167"/>
      <c r="F153" s="167"/>
      <c r="G153" s="167"/>
      <c r="H153" s="48"/>
      <c r="I153" s="1192"/>
      <c r="J153" s="1192"/>
      <c r="K153" s="1192"/>
      <c r="L153" s="1172"/>
      <c r="M153" s="1172"/>
      <c r="N153" s="1172"/>
      <c r="O153" s="1172"/>
      <c r="P153" s="1172"/>
      <c r="Q153" s="60"/>
    </row>
    <row r="154" spans="1:31" ht="11.45" customHeight="1">
      <c r="A154" s="2008" t="s">
        <v>3847</v>
      </c>
      <c r="B154" s="2009"/>
      <c r="C154" s="2009"/>
      <c r="D154" s="2009"/>
      <c r="E154" s="2009"/>
      <c r="F154" s="2009"/>
      <c r="G154" s="2009"/>
      <c r="H154" s="2009"/>
      <c r="I154" s="2009"/>
      <c r="J154" s="2009"/>
      <c r="K154" s="2009"/>
      <c r="L154" s="2009"/>
      <c r="M154" s="2009"/>
      <c r="N154" s="2009"/>
      <c r="O154" s="2009"/>
      <c r="P154" s="2009"/>
      <c r="Q154" s="2010"/>
      <c r="U154" s="162"/>
      <c r="V154" s="162"/>
      <c r="W154" s="162"/>
      <c r="X154" s="162"/>
      <c r="Y154" s="162"/>
      <c r="Z154" s="162"/>
      <c r="AA154" s="162"/>
      <c r="AB154" s="162"/>
      <c r="AC154" s="162"/>
      <c r="AD154" s="162"/>
      <c r="AE154" s="596"/>
    </row>
    <row r="155" spans="1:31" ht="12" customHeight="1">
      <c r="B155" s="163" t="s">
        <v>1995</v>
      </c>
      <c r="C155" s="164"/>
      <c r="D155" s="1177"/>
      <c r="E155" s="1177"/>
      <c r="F155" s="1177"/>
      <c r="G155" s="1177"/>
      <c r="H155" s="1177"/>
      <c r="I155" s="1177"/>
      <c r="J155" s="1177"/>
      <c r="K155" s="1177"/>
      <c r="L155" s="1177"/>
      <c r="M155" s="1177"/>
      <c r="N155" s="1177"/>
      <c r="O155" s="1177"/>
      <c r="P155" s="1177"/>
      <c r="Q155" s="1177"/>
    </row>
    <row r="156" spans="1:31" ht="11.45" customHeight="1">
      <c r="A156" s="2013"/>
      <c r="B156" s="2014"/>
      <c r="C156" s="2014"/>
      <c r="D156" s="2014"/>
      <c r="E156" s="2014"/>
      <c r="F156" s="2014"/>
      <c r="G156" s="2014"/>
      <c r="H156" s="2014"/>
      <c r="I156" s="2014"/>
      <c r="J156" s="2014"/>
      <c r="K156" s="2014"/>
      <c r="L156" s="2014"/>
      <c r="M156" s="2014"/>
      <c r="N156" s="2014"/>
      <c r="O156" s="2014"/>
      <c r="P156" s="2014"/>
      <c r="Q156" s="2015"/>
    </row>
    <row r="157" spans="1:31" ht="3" customHeight="1">
      <c r="A157" s="1172"/>
      <c r="B157" s="1192"/>
      <c r="C157" s="1177"/>
      <c r="D157" s="1177"/>
      <c r="E157" s="1177"/>
      <c r="F157" s="1177"/>
      <c r="G157" s="1177"/>
      <c r="H157" s="1177"/>
      <c r="I157" s="1177"/>
      <c r="J157" s="1177"/>
      <c r="K157" s="1177"/>
      <c r="L157" s="1177"/>
      <c r="M157" s="1177"/>
      <c r="Q157" s="1172"/>
    </row>
    <row r="158" spans="1:31" ht="13.9" customHeight="1">
      <c r="A158" s="1181">
        <v>9</v>
      </c>
      <c r="B158" s="1181" t="s">
        <v>2853</v>
      </c>
      <c r="C158" s="1181"/>
      <c r="D158" s="1177"/>
      <c r="E158" s="1177"/>
      <c r="F158" s="1177"/>
      <c r="G158" s="1177"/>
      <c r="H158" s="1177"/>
      <c r="I158" s="1177"/>
      <c r="J158" s="1177"/>
      <c r="K158" s="1177"/>
      <c r="L158" s="1177"/>
      <c r="M158" s="1177"/>
      <c r="O158" s="157" t="s">
        <v>1996</v>
      </c>
      <c r="P158" s="2016"/>
      <c r="Q158" s="2017"/>
    </row>
    <row r="159" spans="1:31" ht="21.75" customHeight="1">
      <c r="B159" s="168" t="s">
        <v>2117</v>
      </c>
      <c r="C159" s="2003" t="s">
        <v>3522</v>
      </c>
      <c r="D159" s="2003"/>
      <c r="E159" s="2003"/>
      <c r="F159" s="2003"/>
      <c r="G159" s="2003"/>
      <c r="H159" s="2003"/>
      <c r="I159" s="2003"/>
      <c r="J159" s="2003"/>
      <c r="K159" s="2003"/>
      <c r="L159" s="2003"/>
      <c r="M159" s="2003"/>
      <c r="N159" s="2003"/>
      <c r="O159" s="192" t="s">
        <v>2117</v>
      </c>
      <c r="P159" s="1080" t="s">
        <v>3698</v>
      </c>
      <c r="Q159" s="1384"/>
    </row>
    <row r="160" spans="1:31" ht="22.15" customHeight="1">
      <c r="B160" s="168" t="s">
        <v>2120</v>
      </c>
      <c r="C160" s="2003" t="s">
        <v>2677</v>
      </c>
      <c r="D160" s="2003"/>
      <c r="E160" s="2003"/>
      <c r="F160" s="2003"/>
      <c r="G160" s="2003"/>
      <c r="H160" s="2003"/>
      <c r="I160" s="2003"/>
      <c r="J160" s="2003"/>
      <c r="K160" s="2003"/>
      <c r="L160" s="2003"/>
      <c r="M160" s="2003"/>
      <c r="N160" s="2003"/>
      <c r="O160" s="192" t="s">
        <v>2120</v>
      </c>
      <c r="P160" s="1080"/>
      <c r="Q160" s="1384"/>
    </row>
    <row r="161" spans="1:32" ht="21.75" customHeight="1">
      <c r="B161" s="168" t="s">
        <v>798</v>
      </c>
      <c r="C161" s="2003" t="s">
        <v>2836</v>
      </c>
      <c r="D161" s="2003"/>
      <c r="E161" s="2003"/>
      <c r="F161" s="2003"/>
      <c r="G161" s="2003"/>
      <c r="H161" s="2003"/>
      <c r="I161" s="2003"/>
      <c r="J161" s="2003"/>
      <c r="K161" s="2003"/>
      <c r="L161" s="2003"/>
      <c r="M161" s="2003"/>
      <c r="N161" s="2003"/>
      <c r="O161" s="192" t="s">
        <v>798</v>
      </c>
      <c r="P161" s="1080" t="s">
        <v>3698</v>
      </c>
      <c r="Q161" s="1384"/>
    </row>
    <row r="162" spans="1:32" ht="12" customHeight="1">
      <c r="B162" s="167" t="s">
        <v>1994</v>
      </c>
      <c r="D162" s="167"/>
      <c r="E162" s="167"/>
      <c r="F162" s="167"/>
      <c r="G162" s="167"/>
      <c r="H162" s="48"/>
      <c r="I162" s="1192"/>
      <c r="J162" s="1192"/>
      <c r="K162" s="1192"/>
      <c r="L162" s="1172"/>
      <c r="M162" s="1172"/>
      <c r="N162" s="1172"/>
      <c r="O162" s="1172"/>
      <c r="P162" s="1172"/>
      <c r="Q162" s="60"/>
    </row>
    <row r="163" spans="1:32" ht="11.45" customHeight="1">
      <c r="A163" s="2008" t="s">
        <v>3759</v>
      </c>
      <c r="B163" s="2009"/>
      <c r="C163" s="2009"/>
      <c r="D163" s="2009"/>
      <c r="E163" s="2009"/>
      <c r="F163" s="2009"/>
      <c r="G163" s="2009"/>
      <c r="H163" s="2009"/>
      <c r="I163" s="2009"/>
      <c r="J163" s="2009"/>
      <c r="K163" s="2009"/>
      <c r="L163" s="2009"/>
      <c r="M163" s="2009"/>
      <c r="N163" s="2009"/>
      <c r="O163" s="2009"/>
      <c r="P163" s="2009"/>
      <c r="Q163" s="2010"/>
      <c r="U163" s="162"/>
      <c r="V163" s="162"/>
      <c r="W163" s="162"/>
      <c r="X163" s="162"/>
      <c r="Y163" s="162"/>
      <c r="Z163" s="162"/>
      <c r="AA163" s="162"/>
      <c r="AB163" s="162"/>
      <c r="AC163" s="162"/>
      <c r="AD163" s="162"/>
      <c r="AE163" s="596"/>
    </row>
    <row r="164" spans="1:32" ht="12" customHeight="1">
      <c r="B164" s="163" t="s">
        <v>1995</v>
      </c>
      <c r="C164" s="164"/>
      <c r="D164" s="1177"/>
      <c r="E164" s="1177"/>
      <c r="F164" s="1177"/>
      <c r="G164" s="1177"/>
      <c r="H164" s="1177"/>
      <c r="I164" s="1177"/>
      <c r="J164" s="1177"/>
      <c r="K164" s="1177"/>
      <c r="L164" s="1177"/>
      <c r="M164" s="1177"/>
      <c r="N164" s="1177"/>
      <c r="O164" s="1177"/>
      <c r="P164" s="1177"/>
      <c r="Q164" s="1177"/>
    </row>
    <row r="165" spans="1:32" ht="11.45" customHeight="1">
      <c r="A165" s="2013"/>
      <c r="B165" s="2014"/>
      <c r="C165" s="2014"/>
      <c r="D165" s="2014"/>
      <c r="E165" s="2014"/>
      <c r="F165" s="2014"/>
      <c r="G165" s="2014"/>
      <c r="H165" s="2014"/>
      <c r="I165" s="2014"/>
      <c r="J165" s="2014"/>
      <c r="K165" s="2014"/>
      <c r="L165" s="2014"/>
      <c r="M165" s="2014"/>
      <c r="N165" s="2014"/>
      <c r="O165" s="2014"/>
      <c r="P165" s="2014"/>
      <c r="Q165" s="2015"/>
    </row>
    <row r="166" spans="1:32" ht="3" customHeight="1">
      <c r="B166" s="1192"/>
      <c r="C166" s="1177"/>
      <c r="D166" s="1177"/>
      <c r="E166" s="1177"/>
      <c r="F166" s="1177"/>
      <c r="G166" s="1177"/>
      <c r="H166" s="1177"/>
      <c r="I166" s="1177"/>
      <c r="J166" s="1177"/>
      <c r="K166" s="1177"/>
      <c r="L166" s="1177"/>
      <c r="M166" s="1177"/>
      <c r="N166" s="1177"/>
      <c r="O166" s="1177"/>
      <c r="P166" s="1177"/>
      <c r="Q166" s="1172"/>
    </row>
    <row r="167" spans="1:32" ht="13.9" customHeight="1">
      <c r="A167" s="1160">
        <v>10</v>
      </c>
      <c r="B167" s="2084" t="s">
        <v>2854</v>
      </c>
      <c r="C167" s="2084"/>
      <c r="D167" s="2084"/>
      <c r="O167" s="157" t="s">
        <v>1996</v>
      </c>
      <c r="P167" s="2016"/>
      <c r="Q167" s="2017"/>
    </row>
    <row r="168" spans="1:32" ht="12" customHeight="1">
      <c r="B168" s="168" t="s">
        <v>2117</v>
      </c>
      <c r="C168" s="173" t="s">
        <v>497</v>
      </c>
      <c r="D168" s="173"/>
      <c r="E168" s="173"/>
      <c r="F168" s="173"/>
      <c r="G168" s="173"/>
      <c r="H168" s="173"/>
      <c r="I168" s="173"/>
      <c r="J168" s="173"/>
      <c r="K168" s="173"/>
      <c r="L168" s="173"/>
      <c r="M168" s="173"/>
      <c r="O168" s="192" t="s">
        <v>2117</v>
      </c>
      <c r="P168" s="1080" t="s">
        <v>3698</v>
      </c>
      <c r="Q168" s="1384"/>
    </row>
    <row r="169" spans="1:32" ht="12" customHeight="1">
      <c r="B169" s="168" t="s">
        <v>2120</v>
      </c>
      <c r="C169" s="173" t="s">
        <v>2837</v>
      </c>
      <c r="D169" s="173"/>
      <c r="E169" s="173"/>
      <c r="F169" s="173"/>
      <c r="G169" s="173"/>
      <c r="H169" s="173"/>
      <c r="I169" s="173"/>
      <c r="J169" s="173"/>
      <c r="K169" s="173"/>
      <c r="L169" s="173"/>
      <c r="M169" s="173"/>
      <c r="O169" s="192" t="s">
        <v>2120</v>
      </c>
      <c r="P169" s="1080" t="s">
        <v>3698</v>
      </c>
      <c r="Q169" s="1384"/>
    </row>
    <row r="170" spans="1:32" ht="12" customHeight="1">
      <c r="B170" s="168" t="s">
        <v>798</v>
      </c>
      <c r="C170" s="173" t="s">
        <v>2838</v>
      </c>
      <c r="D170" s="173"/>
      <c r="E170" s="173"/>
      <c r="F170" s="173"/>
      <c r="G170" s="173"/>
      <c r="H170" s="173"/>
      <c r="I170" s="173"/>
      <c r="J170" s="173"/>
      <c r="K170" s="173"/>
      <c r="L170" s="173"/>
      <c r="M170" s="173"/>
      <c r="O170" s="192" t="s">
        <v>798</v>
      </c>
      <c r="P170" s="1080" t="s">
        <v>3698</v>
      </c>
      <c r="Q170" s="1384"/>
    </row>
    <row r="171" spans="1:32" ht="12" customHeight="1">
      <c r="B171" s="168"/>
      <c r="C171" s="173" t="s">
        <v>2826</v>
      </c>
      <c r="D171" s="173"/>
      <c r="E171" s="557" t="s">
        <v>1858</v>
      </c>
      <c r="F171" s="173" t="s">
        <v>2839</v>
      </c>
      <c r="G171" s="173"/>
      <c r="H171" s="173"/>
      <c r="I171" s="173"/>
      <c r="J171" s="173"/>
      <c r="K171" s="173"/>
      <c r="L171" s="173"/>
      <c r="M171" s="173"/>
      <c r="O171" s="557" t="s">
        <v>1858</v>
      </c>
      <c r="P171" s="1080" t="s">
        <v>3698</v>
      </c>
      <c r="Q171" s="1384"/>
    </row>
    <row r="172" spans="1:32" ht="12" customHeight="1">
      <c r="B172" s="168"/>
      <c r="C172" s="173"/>
      <c r="D172" s="173"/>
      <c r="E172" s="557" t="s">
        <v>1859</v>
      </c>
      <c r="F172" s="173" t="s">
        <v>2840</v>
      </c>
      <c r="G172" s="173"/>
      <c r="H172" s="173"/>
      <c r="I172" s="173"/>
      <c r="J172" s="173"/>
      <c r="K172" s="173"/>
      <c r="L172" s="173"/>
      <c r="M172" s="173"/>
      <c r="O172" s="557" t="s">
        <v>1859</v>
      </c>
      <c r="P172" s="1080" t="s">
        <v>3698</v>
      </c>
      <c r="Q172" s="1384"/>
    </row>
    <row r="173" spans="1:32" s="158" customFormat="1" ht="21.75" customHeight="1">
      <c r="B173" s="168"/>
      <c r="C173" s="173"/>
      <c r="D173" s="173"/>
      <c r="E173" s="192" t="s">
        <v>1860</v>
      </c>
      <c r="F173" s="2003" t="s">
        <v>2841</v>
      </c>
      <c r="G173" s="2003"/>
      <c r="H173" s="2003"/>
      <c r="I173" s="2003"/>
      <c r="J173" s="2003"/>
      <c r="K173" s="2003"/>
      <c r="L173" s="2003"/>
      <c r="M173" s="2003"/>
      <c r="N173" s="2003"/>
      <c r="O173" s="192" t="s">
        <v>1860</v>
      </c>
      <c r="P173" s="1092" t="s">
        <v>3698</v>
      </c>
      <c r="Q173" s="1387"/>
      <c r="AE173" s="597"/>
      <c r="AF173" s="597"/>
    </row>
    <row r="174" spans="1:32" ht="12" customHeight="1">
      <c r="B174" s="168"/>
      <c r="C174" s="173"/>
      <c r="D174" s="173"/>
      <c r="E174" s="557" t="s">
        <v>2518</v>
      </c>
      <c r="F174" s="173" t="s">
        <v>2842</v>
      </c>
      <c r="G174" s="173"/>
      <c r="H174" s="173"/>
      <c r="I174" s="173"/>
      <c r="J174" s="173"/>
      <c r="K174" s="173"/>
      <c r="L174" s="173"/>
      <c r="M174" s="173"/>
      <c r="O174" s="557" t="s">
        <v>2518</v>
      </c>
      <c r="P174" s="1080" t="s">
        <v>3698</v>
      </c>
      <c r="Q174" s="1384"/>
    </row>
    <row r="175" spans="1:32" s="158" customFormat="1" ht="21.75" customHeight="1">
      <c r="B175" s="168"/>
      <c r="C175" s="173"/>
      <c r="D175" s="173"/>
      <c r="E175" s="192" t="s">
        <v>1656</v>
      </c>
      <c r="F175" s="2003" t="s">
        <v>2843</v>
      </c>
      <c r="G175" s="2003"/>
      <c r="H175" s="2003"/>
      <c r="I175" s="2003"/>
      <c r="J175" s="2003"/>
      <c r="K175" s="2003"/>
      <c r="L175" s="2003"/>
      <c r="M175" s="2003"/>
      <c r="N175" s="2003"/>
      <c r="O175" s="192" t="s">
        <v>1656</v>
      </c>
      <c r="P175" s="1092" t="s">
        <v>3698</v>
      </c>
      <c r="Q175" s="1387"/>
      <c r="AE175" s="597"/>
      <c r="AF175" s="597"/>
    </row>
    <row r="176" spans="1:32" ht="21.75" customHeight="1">
      <c r="B176" s="168" t="s">
        <v>2252</v>
      </c>
      <c r="C176" s="2003" t="s">
        <v>2844</v>
      </c>
      <c r="D176" s="2003"/>
      <c r="E176" s="2003"/>
      <c r="F176" s="2003"/>
      <c r="G176" s="2003"/>
      <c r="H176" s="2003"/>
      <c r="I176" s="2003"/>
      <c r="J176" s="2003"/>
      <c r="K176" s="2003"/>
      <c r="L176" s="2003"/>
      <c r="M176" s="2003"/>
      <c r="N176" s="2003"/>
      <c r="O176" s="192" t="s">
        <v>2252</v>
      </c>
      <c r="P176" s="1080" t="s">
        <v>3698</v>
      </c>
      <c r="Q176" s="1384"/>
    </row>
    <row r="177" spans="1:31" ht="12" customHeight="1">
      <c r="B177" s="168" t="s">
        <v>1856</v>
      </c>
      <c r="C177" s="173" t="s">
        <v>2534</v>
      </c>
      <c r="D177" s="173"/>
      <c r="E177" s="173"/>
      <c r="F177" s="173"/>
      <c r="G177" s="173"/>
      <c r="H177" s="173"/>
      <c r="I177" s="173"/>
      <c r="J177" s="173"/>
      <c r="K177" s="173"/>
      <c r="L177" s="173"/>
      <c r="M177" s="173"/>
      <c r="O177" s="192" t="s">
        <v>1856</v>
      </c>
      <c r="P177" s="1080" t="s">
        <v>3698</v>
      </c>
      <c r="Q177" s="1384"/>
    </row>
    <row r="178" spans="1:31" ht="12" customHeight="1">
      <c r="B178" s="167" t="s">
        <v>1994</v>
      </c>
      <c r="D178" s="167"/>
      <c r="E178" s="167"/>
      <c r="F178" s="167"/>
      <c r="G178" s="167"/>
      <c r="H178" s="48"/>
      <c r="I178" s="1192"/>
      <c r="J178" s="1192"/>
      <c r="K178" s="1192"/>
      <c r="L178" s="1172"/>
      <c r="M178" s="1172"/>
      <c r="N178" s="1172"/>
      <c r="O178" s="1172"/>
      <c r="P178" s="1172"/>
      <c r="Q178" s="60"/>
    </row>
    <row r="179" spans="1:31" ht="26.25" customHeight="1">
      <c r="A179" s="2008" t="s">
        <v>3760</v>
      </c>
      <c r="B179" s="2009"/>
      <c r="C179" s="2009"/>
      <c r="D179" s="2009"/>
      <c r="E179" s="2009"/>
      <c r="F179" s="2009"/>
      <c r="G179" s="2009"/>
      <c r="H179" s="2009"/>
      <c r="I179" s="2009"/>
      <c r="J179" s="2009"/>
      <c r="K179" s="2009"/>
      <c r="L179" s="2009"/>
      <c r="M179" s="2009"/>
      <c r="N179" s="2009"/>
      <c r="O179" s="2009"/>
      <c r="P179" s="2009"/>
      <c r="Q179" s="2010"/>
      <c r="U179" s="162"/>
      <c r="V179" s="162"/>
      <c r="W179" s="162"/>
      <c r="X179" s="162"/>
      <c r="Y179" s="162"/>
      <c r="Z179" s="162"/>
      <c r="AA179" s="162"/>
      <c r="AB179" s="162"/>
      <c r="AC179" s="162"/>
      <c r="AD179" s="162"/>
      <c r="AE179" s="596"/>
    </row>
    <row r="180" spans="1:31" ht="12" customHeight="1">
      <c r="B180" s="163" t="s">
        <v>1995</v>
      </c>
      <c r="C180" s="164"/>
      <c r="D180" s="1177"/>
      <c r="E180" s="1177"/>
      <c r="F180" s="1177"/>
      <c r="G180" s="1177"/>
      <c r="H180" s="1177"/>
      <c r="I180" s="1177"/>
      <c r="J180" s="1177"/>
      <c r="K180" s="1177"/>
      <c r="L180" s="1177"/>
      <c r="M180" s="1177"/>
      <c r="N180" s="1177"/>
      <c r="O180" s="1177"/>
      <c r="P180" s="1177"/>
      <c r="Q180" s="1177"/>
    </row>
    <row r="181" spans="1:31" ht="11.45" customHeight="1">
      <c r="A181" s="2013"/>
      <c r="B181" s="2014"/>
      <c r="C181" s="2014"/>
      <c r="D181" s="2014"/>
      <c r="E181" s="2014"/>
      <c r="F181" s="2014"/>
      <c r="G181" s="2014"/>
      <c r="H181" s="2014"/>
      <c r="I181" s="2014"/>
      <c r="J181" s="2014"/>
      <c r="K181" s="2014"/>
      <c r="L181" s="2014"/>
      <c r="M181" s="2014"/>
      <c r="N181" s="2014"/>
      <c r="O181" s="2014"/>
      <c r="P181" s="2014"/>
      <c r="Q181" s="2015"/>
    </row>
    <row r="182" spans="1:31" ht="3" customHeight="1">
      <c r="A182" s="1172"/>
      <c r="B182" s="1192"/>
      <c r="C182" s="1177"/>
      <c r="D182" s="1177"/>
      <c r="E182" s="1177"/>
      <c r="F182" s="1177"/>
      <c r="G182" s="1177"/>
      <c r="H182" s="1177"/>
      <c r="I182" s="1177"/>
      <c r="J182" s="1177"/>
      <c r="K182" s="1177"/>
      <c r="L182" s="1177"/>
      <c r="M182" s="1177"/>
      <c r="N182" s="1177"/>
      <c r="O182" s="1177"/>
      <c r="P182" s="1177"/>
      <c r="Q182" s="1172"/>
    </row>
    <row r="183" spans="1:31" ht="13.9" customHeight="1">
      <c r="A183" s="1181">
        <v>11</v>
      </c>
      <c r="B183" s="1181" t="s">
        <v>2855</v>
      </c>
      <c r="C183" s="1181"/>
      <c r="D183" s="1177"/>
      <c r="E183" s="174"/>
      <c r="F183" s="174"/>
      <c r="G183" s="1177"/>
      <c r="J183" s="556"/>
      <c r="K183" s="645"/>
      <c r="L183" s="645"/>
      <c r="M183" s="645"/>
      <c r="N183" s="645"/>
      <c r="O183" s="157" t="s">
        <v>1996</v>
      </c>
      <c r="P183" s="2016"/>
      <c r="Q183" s="2017"/>
    </row>
    <row r="184" spans="1:31" ht="12" customHeight="1">
      <c r="A184" s="165"/>
      <c r="B184" s="55" t="s">
        <v>2117</v>
      </c>
      <c r="C184" s="2003" t="s">
        <v>100</v>
      </c>
      <c r="D184" s="2003"/>
      <c r="E184" s="2003"/>
      <c r="F184" s="2003"/>
      <c r="G184" s="2003"/>
      <c r="H184" s="78" t="s">
        <v>1858</v>
      </c>
      <c r="I184" s="62" t="s">
        <v>158</v>
      </c>
      <c r="K184" s="2078" t="s">
        <v>1028</v>
      </c>
      <c r="L184" s="2079"/>
      <c r="M184" s="2079"/>
      <c r="N184" s="2080"/>
      <c r="O184" s="78" t="s">
        <v>1858</v>
      </c>
      <c r="P184" s="1080" t="s">
        <v>3699</v>
      </c>
      <c r="Q184" s="1384"/>
    </row>
    <row r="185" spans="1:31" ht="12" customHeight="1">
      <c r="A185" s="165"/>
      <c r="B185" s="1192"/>
      <c r="C185" s="121"/>
      <c r="D185" s="121"/>
      <c r="E185" s="121"/>
      <c r="F185" s="121"/>
      <c r="H185" s="78" t="s">
        <v>1859</v>
      </c>
      <c r="I185" s="62" t="s">
        <v>1703</v>
      </c>
      <c r="K185" s="2075" t="s">
        <v>3761</v>
      </c>
      <c r="L185" s="2076"/>
      <c r="M185" s="2076"/>
      <c r="N185" s="2077"/>
      <c r="O185" s="78" t="s">
        <v>1859</v>
      </c>
      <c r="P185" s="1080" t="s">
        <v>3698</v>
      </c>
      <c r="Q185" s="1384"/>
    </row>
    <row r="186" spans="1:31" ht="12" customHeight="1">
      <c r="B186" s="167" t="s">
        <v>1994</v>
      </c>
      <c r="D186" s="167"/>
      <c r="E186" s="167"/>
      <c r="F186" s="167"/>
      <c r="G186" s="167"/>
      <c r="J186" s="1192"/>
      <c r="K186" s="1192"/>
      <c r="L186" s="1172"/>
      <c r="M186" s="1172"/>
      <c r="N186" s="1172"/>
      <c r="O186" s="1172"/>
      <c r="P186" s="1172"/>
      <c r="Q186" s="60"/>
    </row>
    <row r="187" spans="1:31" ht="11.45" customHeight="1">
      <c r="A187" s="2008" t="s">
        <v>3763</v>
      </c>
      <c r="B187" s="2009"/>
      <c r="C187" s="2009"/>
      <c r="D187" s="2009"/>
      <c r="E187" s="2009"/>
      <c r="F187" s="2009"/>
      <c r="G187" s="2009"/>
      <c r="H187" s="2009"/>
      <c r="I187" s="2009"/>
      <c r="J187" s="2009"/>
      <c r="K187" s="2009"/>
      <c r="L187" s="2009"/>
      <c r="M187" s="2009"/>
      <c r="N187" s="2009"/>
      <c r="O187" s="2009"/>
      <c r="P187" s="2009"/>
      <c r="Q187" s="2010"/>
      <c r="U187" s="162"/>
      <c r="V187" s="162"/>
      <c r="W187" s="162"/>
      <c r="X187" s="162"/>
      <c r="Y187" s="162"/>
      <c r="Z187" s="162"/>
      <c r="AA187" s="162"/>
      <c r="AB187" s="162"/>
      <c r="AC187" s="162"/>
      <c r="AD187" s="162"/>
      <c r="AE187" s="596"/>
    </row>
    <row r="188" spans="1:31" ht="12" customHeight="1">
      <c r="B188" s="163" t="s">
        <v>1995</v>
      </c>
      <c r="C188" s="164"/>
      <c r="D188" s="1177"/>
      <c r="E188" s="1177"/>
      <c r="F188" s="1177"/>
      <c r="G188" s="1177"/>
      <c r="H188" s="1177"/>
      <c r="I188" s="1177"/>
      <c r="J188" s="1177"/>
      <c r="K188" s="1177"/>
      <c r="L188" s="1177"/>
      <c r="M188" s="1177"/>
      <c r="N188" s="1177"/>
      <c r="O188" s="1177"/>
      <c r="P188" s="1177"/>
      <c r="Q188" s="1177"/>
    </row>
    <row r="189" spans="1:31" ht="11.45" customHeight="1">
      <c r="A189" s="2013"/>
      <c r="B189" s="2014"/>
      <c r="C189" s="2014"/>
      <c r="D189" s="2014"/>
      <c r="E189" s="2014"/>
      <c r="F189" s="2014"/>
      <c r="G189" s="2014"/>
      <c r="H189" s="2014"/>
      <c r="I189" s="2014"/>
      <c r="J189" s="2014"/>
      <c r="K189" s="2014"/>
      <c r="L189" s="2014"/>
      <c r="M189" s="2014"/>
      <c r="N189" s="2014"/>
      <c r="O189" s="2014"/>
      <c r="P189" s="2014"/>
      <c r="Q189" s="2015"/>
    </row>
    <row r="190" spans="1:31" ht="4.1500000000000004" customHeight="1">
      <c r="B190" s="1192"/>
      <c r="C190" s="1177"/>
      <c r="D190" s="1177"/>
      <c r="E190" s="1177"/>
      <c r="F190" s="1177"/>
      <c r="G190" s="1177"/>
      <c r="H190" s="1177"/>
      <c r="I190" s="1177"/>
      <c r="J190" s="1177"/>
      <c r="K190" s="1177"/>
      <c r="L190" s="1177"/>
      <c r="M190" s="1177"/>
      <c r="Q190" s="60"/>
    </row>
    <row r="191" spans="1:31" ht="13.9" customHeight="1">
      <c r="A191" s="1181">
        <v>12</v>
      </c>
      <c r="B191" s="5" t="s">
        <v>2856</v>
      </c>
      <c r="C191" s="5"/>
      <c r="D191" s="101"/>
      <c r="E191" s="101"/>
      <c r="F191" s="101"/>
      <c r="G191" s="1177"/>
      <c r="H191" s="1177"/>
      <c r="I191" s="1177"/>
      <c r="J191" s="1177"/>
      <c r="K191" s="1177"/>
      <c r="L191" s="1177"/>
      <c r="M191" s="1177"/>
      <c r="O191" s="157" t="s">
        <v>1996</v>
      </c>
      <c r="P191" s="2016"/>
      <c r="Q191" s="2017"/>
    </row>
    <row r="192" spans="1:31" ht="4.1500000000000004" customHeight="1"/>
    <row r="193" spans="1:31" ht="11.45" customHeight="1">
      <c r="B193" s="168" t="s">
        <v>2117</v>
      </c>
      <c r="C193" s="723" t="s">
        <v>1858</v>
      </c>
      <c r="D193" s="498" t="s">
        <v>546</v>
      </c>
      <c r="E193" s="498"/>
      <c r="F193" s="498"/>
      <c r="G193" s="498"/>
      <c r="H193" s="498"/>
      <c r="I193" s="498"/>
      <c r="J193" s="498"/>
      <c r="K193" s="498"/>
      <c r="L193" s="498"/>
      <c r="M193" s="498"/>
      <c r="N193" s="498"/>
      <c r="O193" s="192" t="s">
        <v>1587</v>
      </c>
      <c r="P193" s="1080" t="s">
        <v>3699</v>
      </c>
      <c r="Q193" s="1384"/>
    </row>
    <row r="194" spans="1:31" ht="11.45" customHeight="1">
      <c r="B194" s="168"/>
      <c r="C194" s="723" t="s">
        <v>1859</v>
      </c>
      <c r="D194" s="498" t="s">
        <v>1564</v>
      </c>
      <c r="E194" s="498"/>
      <c r="F194" s="498"/>
      <c r="G194" s="498"/>
      <c r="H194" s="498"/>
      <c r="I194" s="498"/>
      <c r="J194" s="498"/>
      <c r="K194" s="498"/>
      <c r="L194" s="498"/>
      <c r="M194" s="498"/>
      <c r="N194" s="498"/>
      <c r="O194" s="192" t="s">
        <v>1859</v>
      </c>
      <c r="P194" s="1080"/>
      <c r="Q194" s="1384"/>
    </row>
    <row r="195" spans="1:31" ht="11.45" customHeight="1">
      <c r="A195" s="165"/>
      <c r="B195" s="168" t="s">
        <v>2120</v>
      </c>
      <c r="C195" s="2003" t="s">
        <v>1977</v>
      </c>
      <c r="D195" s="2003"/>
      <c r="E195" s="2003"/>
      <c r="F195" s="2003"/>
      <c r="G195" s="2003"/>
      <c r="H195" s="78" t="s">
        <v>1858</v>
      </c>
      <c r="I195" s="62" t="s">
        <v>675</v>
      </c>
      <c r="K195" s="2078" t="s">
        <v>3762</v>
      </c>
      <c r="L195" s="2079"/>
      <c r="M195" s="2079"/>
      <c r="N195" s="2080"/>
      <c r="O195" s="78" t="s">
        <v>1541</v>
      </c>
      <c r="P195" s="1080" t="s">
        <v>3698</v>
      </c>
      <c r="Q195" s="1384"/>
    </row>
    <row r="196" spans="1:31" ht="11.45" customHeight="1">
      <c r="A196" s="165"/>
      <c r="B196" s="1187"/>
      <c r="C196" s="2003"/>
      <c r="D196" s="2003"/>
      <c r="E196" s="2003"/>
      <c r="F196" s="2003"/>
      <c r="G196" s="2003"/>
      <c r="H196" s="78" t="s">
        <v>1859</v>
      </c>
      <c r="I196" s="62" t="s">
        <v>119</v>
      </c>
      <c r="K196" s="2075" t="s">
        <v>3762</v>
      </c>
      <c r="L196" s="2076"/>
      <c r="M196" s="2076"/>
      <c r="N196" s="2077"/>
      <c r="O196" s="78" t="s">
        <v>1859</v>
      </c>
      <c r="P196" s="1080" t="s">
        <v>3698</v>
      </c>
      <c r="Q196" s="1384"/>
    </row>
    <row r="197" spans="1:31" ht="11.25" customHeight="1">
      <c r="B197" s="167" t="s">
        <v>1994</v>
      </c>
      <c r="D197" s="167"/>
      <c r="E197" s="167"/>
      <c r="F197" s="167"/>
      <c r="G197" s="167"/>
      <c r="H197" s="48"/>
      <c r="I197" s="1192"/>
      <c r="J197" s="1192"/>
      <c r="K197" s="1192"/>
      <c r="L197" s="1172"/>
      <c r="M197" s="1172"/>
      <c r="N197" s="1172"/>
      <c r="O197" s="1172"/>
      <c r="P197" s="1172"/>
      <c r="Q197" s="60"/>
    </row>
    <row r="198" spans="1:31" ht="11.45" customHeight="1">
      <c r="A198" s="2008" t="s">
        <v>3818</v>
      </c>
      <c r="B198" s="2009"/>
      <c r="C198" s="2009"/>
      <c r="D198" s="2009"/>
      <c r="E198" s="2009"/>
      <c r="F198" s="2009"/>
      <c r="G198" s="2009"/>
      <c r="H198" s="2009"/>
      <c r="I198" s="2009"/>
      <c r="J198" s="2009"/>
      <c r="K198" s="2009"/>
      <c r="L198" s="2009"/>
      <c r="M198" s="2009"/>
      <c r="N198" s="2009"/>
      <c r="O198" s="2009"/>
      <c r="P198" s="2009"/>
      <c r="Q198" s="2010"/>
      <c r="U198" s="162"/>
      <c r="V198" s="162"/>
      <c r="W198" s="162"/>
      <c r="X198" s="162"/>
      <c r="Y198" s="162"/>
      <c r="Z198" s="162"/>
      <c r="AA198" s="162"/>
      <c r="AB198" s="162"/>
      <c r="AC198" s="162"/>
      <c r="AD198" s="162"/>
      <c r="AE198" s="596"/>
    </row>
    <row r="199" spans="1:31" ht="11.25" customHeight="1">
      <c r="B199" s="163" t="s">
        <v>1995</v>
      </c>
      <c r="C199" s="164"/>
      <c r="D199" s="1177"/>
      <c r="E199" s="1177"/>
      <c r="F199" s="1177"/>
      <c r="G199" s="1177"/>
      <c r="H199" s="1177"/>
      <c r="I199" s="1177"/>
      <c r="J199" s="1177"/>
      <c r="K199" s="1177"/>
      <c r="L199" s="1177"/>
      <c r="M199" s="1177"/>
      <c r="N199" s="1177"/>
      <c r="O199" s="1177"/>
      <c r="P199" s="1177"/>
      <c r="Q199" s="1177"/>
    </row>
    <row r="200" spans="1:31" ht="11.45" customHeight="1">
      <c r="A200" s="2013"/>
      <c r="B200" s="2014"/>
      <c r="C200" s="2014"/>
      <c r="D200" s="2014"/>
      <c r="E200" s="2014"/>
      <c r="F200" s="2014"/>
      <c r="G200" s="2014"/>
      <c r="H200" s="2014"/>
      <c r="I200" s="2014"/>
      <c r="J200" s="2014"/>
      <c r="K200" s="2014"/>
      <c r="L200" s="2014"/>
      <c r="M200" s="2014"/>
      <c r="N200" s="2014"/>
      <c r="O200" s="2014"/>
      <c r="P200" s="2014"/>
      <c r="Q200" s="2015"/>
    </row>
    <row r="201" spans="1:31" ht="3" customHeight="1">
      <c r="A201" s="1172"/>
      <c r="B201" s="1192"/>
      <c r="C201" s="1177"/>
      <c r="D201" s="1177"/>
      <c r="E201" s="1177"/>
      <c r="F201" s="1177"/>
      <c r="G201" s="1177"/>
      <c r="H201" s="1177"/>
      <c r="I201" s="1177"/>
      <c r="J201" s="1177"/>
      <c r="K201" s="1177"/>
      <c r="L201" s="1177"/>
      <c r="M201" s="1177"/>
      <c r="Q201" s="1172"/>
    </row>
    <row r="202" spans="1:31" ht="13.9" customHeight="1">
      <c r="A202" s="1181">
        <v>13</v>
      </c>
      <c r="B202" s="5" t="s">
        <v>2857</v>
      </c>
      <c r="C202" s="5"/>
      <c r="D202" s="101"/>
      <c r="E202" s="101"/>
      <c r="F202" s="101"/>
      <c r="G202" s="101"/>
      <c r="H202" s="1177"/>
      <c r="I202" s="1177"/>
      <c r="J202" s="1177"/>
      <c r="K202" s="1177"/>
      <c r="L202" s="1177"/>
      <c r="M202" s="1177"/>
      <c r="O202" s="157" t="s">
        <v>1996</v>
      </c>
      <c r="P202" s="2016"/>
      <c r="Q202" s="2017"/>
    </row>
    <row r="203" spans="1:31" ht="10.9" customHeight="1">
      <c r="B203" s="171" t="s">
        <v>150</v>
      </c>
    </row>
    <row r="204" spans="1:31" ht="11.45" customHeight="1">
      <c r="B204" s="55" t="s">
        <v>2117</v>
      </c>
      <c r="C204" s="62" t="s">
        <v>3266</v>
      </c>
      <c r="D204" s="50"/>
      <c r="E204" s="62"/>
      <c r="F204" s="62"/>
      <c r="G204" s="62"/>
      <c r="H204" s="62"/>
      <c r="I204" s="50"/>
      <c r="J204" s="50"/>
      <c r="K204" s="50"/>
      <c r="L204" s="173"/>
      <c r="M204" s="173"/>
      <c r="O204" s="192" t="s">
        <v>2117</v>
      </c>
      <c r="P204" s="1080" t="s">
        <v>3698</v>
      </c>
      <c r="Q204" s="1384"/>
    </row>
    <row r="205" spans="1:31" ht="11.45" customHeight="1">
      <c r="B205" s="55"/>
      <c r="C205" s="62"/>
      <c r="D205" s="44" t="s">
        <v>3577</v>
      </c>
      <c r="E205" s="62"/>
      <c r="F205" s="62"/>
      <c r="G205" s="1097">
        <v>41759</v>
      </c>
      <c r="H205" s="62"/>
      <c r="I205" s="44" t="s">
        <v>3578</v>
      </c>
      <c r="J205" s="50"/>
      <c r="K205" s="1097">
        <v>41765</v>
      </c>
      <c r="M205" s="173"/>
    </row>
    <row r="206" spans="1:31" ht="11.45" customHeight="1">
      <c r="B206" s="55"/>
      <c r="C206" s="62"/>
      <c r="D206" s="65" t="s">
        <v>3579</v>
      </c>
      <c r="E206" s="62"/>
      <c r="F206" s="62"/>
      <c r="G206" s="2052" t="s">
        <v>3764</v>
      </c>
      <c r="H206" s="2053"/>
      <c r="I206" s="2053"/>
      <c r="J206" s="2053"/>
      <c r="K206" s="2054"/>
      <c r="L206" s="62"/>
      <c r="M206" s="62"/>
      <c r="N206" s="62"/>
      <c r="O206" s="62"/>
      <c r="P206" s="62"/>
    </row>
    <row r="207" spans="1:31" ht="11.45" customHeight="1">
      <c r="B207" s="55" t="s">
        <v>2120</v>
      </c>
      <c r="C207" s="62" t="s">
        <v>3267</v>
      </c>
      <c r="D207" s="62"/>
      <c r="E207" s="62"/>
      <c r="F207" s="62"/>
      <c r="G207" s="62"/>
      <c r="H207" s="62"/>
      <c r="I207" s="50"/>
      <c r="J207" s="50"/>
      <c r="K207" s="50"/>
      <c r="L207" s="166"/>
      <c r="M207" s="166"/>
      <c r="O207" s="192" t="s">
        <v>2120</v>
      </c>
      <c r="P207" s="1080" t="s">
        <v>3698</v>
      </c>
      <c r="Q207" s="1384"/>
    </row>
    <row r="208" spans="1:31" ht="11.45" customHeight="1">
      <c r="B208" s="55" t="s">
        <v>798</v>
      </c>
      <c r="C208" s="62" t="s">
        <v>3268</v>
      </c>
      <c r="D208" s="62"/>
      <c r="E208" s="62"/>
      <c r="F208" s="62"/>
      <c r="G208" s="62"/>
      <c r="H208" s="62"/>
      <c r="I208" s="50"/>
      <c r="J208" s="50"/>
      <c r="K208" s="50"/>
      <c r="L208" s="166"/>
      <c r="M208" s="166"/>
      <c r="O208" s="192" t="s">
        <v>798</v>
      </c>
      <c r="P208" s="1080" t="s">
        <v>3698</v>
      </c>
      <c r="Q208" s="1384"/>
    </row>
    <row r="209" spans="1:32" s="175" customFormat="1" ht="11.45" customHeight="1">
      <c r="B209" s="55" t="s">
        <v>2252</v>
      </c>
      <c r="C209" s="62" t="s">
        <v>3574</v>
      </c>
      <c r="D209" s="62"/>
      <c r="E209" s="62"/>
      <c r="F209" s="62"/>
      <c r="G209" s="62"/>
      <c r="H209" s="62"/>
      <c r="I209" s="111"/>
      <c r="J209" s="111"/>
      <c r="K209" s="111"/>
      <c r="L209" s="173"/>
      <c r="M209" s="173"/>
      <c r="N209" s="43"/>
      <c r="O209" s="594" t="s">
        <v>2252</v>
      </c>
      <c r="P209" s="1080" t="s">
        <v>3699</v>
      </c>
      <c r="Q209" s="1384"/>
      <c r="AE209" s="598"/>
      <c r="AF209" s="598"/>
    </row>
    <row r="210" spans="1:32" s="175" customFormat="1" ht="11.45" customHeight="1">
      <c r="B210" s="55" t="s">
        <v>1856</v>
      </c>
      <c r="C210" s="62" t="s">
        <v>151</v>
      </c>
      <c r="D210" s="62"/>
      <c r="E210" s="62"/>
      <c r="F210" s="62"/>
      <c r="G210" s="62"/>
      <c r="H210" s="62"/>
      <c r="I210" s="111"/>
      <c r="J210" s="111"/>
      <c r="K210" s="111"/>
      <c r="L210" s="111"/>
      <c r="M210" s="111"/>
      <c r="O210" s="594" t="s">
        <v>1856</v>
      </c>
      <c r="P210" s="1080" t="s">
        <v>3699</v>
      </c>
      <c r="Q210" s="1384"/>
      <c r="AE210" s="598"/>
      <c r="AF210" s="598"/>
    </row>
    <row r="211" spans="1:32" ht="11.25" customHeight="1">
      <c r="B211" s="167" t="s">
        <v>1994</v>
      </c>
      <c r="D211" s="167"/>
      <c r="E211" s="167"/>
      <c r="F211" s="167"/>
      <c r="G211" s="167"/>
      <c r="H211" s="48"/>
      <c r="I211" s="1192"/>
      <c r="J211" s="1192"/>
      <c r="K211" s="1192"/>
      <c r="L211" s="1172"/>
      <c r="M211" s="1172"/>
      <c r="N211" s="1172"/>
      <c r="O211" s="1172"/>
      <c r="P211" s="1172"/>
      <c r="Q211" s="60"/>
    </row>
    <row r="212" spans="1:32" ht="13.15" customHeight="1">
      <c r="A212" s="2008" t="s">
        <v>3819</v>
      </c>
      <c r="B212" s="2009"/>
      <c r="C212" s="2009"/>
      <c r="D212" s="2009"/>
      <c r="E212" s="2009"/>
      <c r="F212" s="2009"/>
      <c r="G212" s="2009"/>
      <c r="H212" s="2009"/>
      <c r="I212" s="2009"/>
      <c r="J212" s="2009"/>
      <c r="K212" s="2009"/>
      <c r="L212" s="2009"/>
      <c r="M212" s="2009"/>
      <c r="N212" s="2009"/>
      <c r="O212" s="2009"/>
      <c r="P212" s="2009"/>
      <c r="Q212" s="2010"/>
      <c r="R212" s="563" t="s">
        <v>1331</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1995</v>
      </c>
      <c r="C214" s="164"/>
      <c r="D214" s="1177"/>
      <c r="E214" s="1177"/>
      <c r="F214" s="1177"/>
      <c r="G214" s="1177"/>
      <c r="H214" s="1177"/>
      <c r="I214" s="1177"/>
      <c r="J214" s="1177"/>
      <c r="K214" s="1177"/>
      <c r="L214" s="1177"/>
      <c r="M214" s="1177"/>
      <c r="N214" s="1177"/>
      <c r="O214" s="1177"/>
      <c r="P214" s="1177"/>
      <c r="Q214" s="1177"/>
    </row>
    <row r="215" spans="1:32" ht="13.15" customHeight="1">
      <c r="A215" s="2013"/>
      <c r="B215" s="2014"/>
      <c r="C215" s="2014"/>
      <c r="D215" s="2014"/>
      <c r="E215" s="2014"/>
      <c r="F215" s="2014"/>
      <c r="G215" s="2014"/>
      <c r="H215" s="2014"/>
      <c r="I215" s="2014"/>
      <c r="J215" s="2014"/>
      <c r="K215" s="2014"/>
      <c r="L215" s="2014"/>
      <c r="M215" s="2014"/>
      <c r="N215" s="2014"/>
      <c r="O215" s="2014"/>
      <c r="P215" s="2014"/>
      <c r="Q215" s="2015"/>
    </row>
    <row r="216" spans="1:32" ht="3" customHeight="1">
      <c r="A216" s="1172"/>
      <c r="B216" s="1192"/>
      <c r="C216" s="1177"/>
      <c r="D216" s="1177"/>
      <c r="E216" s="1177"/>
      <c r="F216" s="1177"/>
      <c r="G216" s="1177"/>
      <c r="H216" s="1177"/>
      <c r="I216" s="1177"/>
      <c r="J216" s="1177"/>
      <c r="K216" s="1177"/>
      <c r="L216" s="1177"/>
      <c r="M216" s="1177"/>
      <c r="Q216" s="1172"/>
    </row>
    <row r="217" spans="1:32" ht="13.9" customHeight="1">
      <c r="A217" s="1181">
        <v>14</v>
      </c>
      <c r="B217" s="1181" t="s">
        <v>2858</v>
      </c>
      <c r="C217" s="132"/>
      <c r="D217" s="1177"/>
      <c r="E217" s="1177"/>
      <c r="F217" s="1177"/>
      <c r="G217" s="1177"/>
      <c r="H217" s="1177"/>
      <c r="I217" s="1177"/>
      <c r="J217" s="1177"/>
      <c r="K217" s="1177"/>
      <c r="L217" s="1177"/>
      <c r="M217" s="1177"/>
      <c r="O217" s="157" t="s">
        <v>1996</v>
      </c>
      <c r="P217" s="2016"/>
      <c r="Q217" s="2017"/>
    </row>
    <row r="218" spans="1:32" s="31" customFormat="1" ht="11.45" customHeight="1">
      <c r="B218" s="171" t="s">
        <v>1263</v>
      </c>
      <c r="N218" s="143"/>
      <c r="P218" s="1080" t="s">
        <v>3699</v>
      </c>
      <c r="Q218" s="1384"/>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2052" t="s">
        <v>564</v>
      </c>
      <c r="M220" s="2054"/>
      <c r="Q220" s="1384"/>
    </row>
    <row r="221" spans="1:32" ht="11.45" customHeight="1">
      <c r="B221" s="55"/>
      <c r="C221" s="78" t="s">
        <v>1859</v>
      </c>
      <c r="D221" s="38" t="s">
        <v>2977</v>
      </c>
      <c r="E221" s="38"/>
      <c r="F221" s="38"/>
      <c r="G221" s="38"/>
      <c r="H221" s="38"/>
      <c r="I221" s="50"/>
      <c r="K221" s="78" t="s">
        <v>1588</v>
      </c>
      <c r="L221" s="2068" t="s">
        <v>3765</v>
      </c>
      <c r="M221" s="2069"/>
      <c r="N221" s="2070" t="s">
        <v>2978</v>
      </c>
      <c r="O221" s="2071"/>
      <c r="P221" s="2072"/>
      <c r="Q221" s="1384"/>
    </row>
    <row r="222" spans="1:32" ht="11.45" customHeight="1">
      <c r="B222" s="55"/>
      <c r="C222" s="78" t="s">
        <v>1860</v>
      </c>
      <c r="D222" s="38" t="s">
        <v>590</v>
      </c>
      <c r="E222" s="38"/>
      <c r="F222" s="38"/>
      <c r="G222" s="38"/>
      <c r="H222" s="38"/>
      <c r="I222" s="50"/>
      <c r="K222" s="78" t="s">
        <v>1589</v>
      </c>
      <c r="L222" s="2052" t="s">
        <v>3766</v>
      </c>
      <c r="M222" s="2053"/>
      <c r="N222" s="2073"/>
      <c r="Q222" s="1384"/>
      <c r="R222" s="50"/>
    </row>
    <row r="223" spans="1:32" ht="3" customHeight="1">
      <c r="B223" s="55"/>
      <c r="C223" s="78"/>
      <c r="D223" s="62"/>
      <c r="E223" s="62"/>
      <c r="F223" s="62"/>
      <c r="G223" s="62"/>
      <c r="H223" s="62"/>
      <c r="I223" s="50"/>
      <c r="J223" s="40"/>
      <c r="K223" s="50"/>
      <c r="L223" s="40"/>
      <c r="M223" s="40"/>
    </row>
    <row r="224" spans="1:32" ht="12" customHeight="1">
      <c r="B224" s="55" t="s">
        <v>2120</v>
      </c>
      <c r="C224" s="261" t="s">
        <v>2679</v>
      </c>
      <c r="D224" s="62"/>
      <c r="E224" s="62"/>
      <c r="F224" s="62"/>
      <c r="G224" s="62"/>
      <c r="H224" s="62"/>
      <c r="I224" s="62"/>
      <c r="J224" s="62"/>
      <c r="K224" s="50"/>
      <c r="L224" s="50"/>
      <c r="M224" s="50"/>
      <c r="N224" s="50"/>
      <c r="O224" s="594" t="s">
        <v>2120</v>
      </c>
      <c r="P224" s="1080" t="s">
        <v>3756</v>
      </c>
      <c r="Q224" s="1384"/>
    </row>
    <row r="225" spans="1:32" ht="10.9" customHeight="1">
      <c r="B225" s="55"/>
      <c r="C225" s="62" t="s">
        <v>2678</v>
      </c>
      <c r="D225" s="62"/>
      <c r="E225" s="62"/>
      <c r="F225" s="62"/>
      <c r="G225" s="62"/>
      <c r="H225" s="62"/>
      <c r="I225" s="62"/>
      <c r="J225" s="62"/>
      <c r="K225" s="50"/>
      <c r="L225" s="50"/>
      <c r="M225" s="50"/>
      <c r="N225" s="50"/>
      <c r="O225" s="50"/>
      <c r="P225" s="2162" t="s">
        <v>3</v>
      </c>
      <c r="Q225" s="2162"/>
    </row>
    <row r="226" spans="1:32" ht="10.9" customHeight="1">
      <c r="B226" s="55"/>
      <c r="D226" s="62" t="s">
        <v>2</v>
      </c>
      <c r="E226" s="62"/>
      <c r="F226" s="62"/>
      <c r="G226" s="62"/>
      <c r="I226" s="360" t="s">
        <v>824</v>
      </c>
      <c r="J226" s="361" t="s">
        <v>825</v>
      </c>
      <c r="L226" s="62" t="s">
        <v>2979</v>
      </c>
      <c r="M226" s="50"/>
      <c r="N226" s="50"/>
      <c r="O226" s="360"/>
      <c r="P226" s="362" t="s">
        <v>824</v>
      </c>
      <c r="Q226" s="361" t="s">
        <v>825</v>
      </c>
    </row>
    <row r="227" spans="1:32" s="51" customFormat="1" ht="11.45" customHeight="1">
      <c r="A227" s="111"/>
      <c r="B227" s="61"/>
      <c r="C227" s="78" t="s">
        <v>1858</v>
      </c>
      <c r="D227" s="2030" t="s">
        <v>2242</v>
      </c>
      <c r="E227" s="2031"/>
      <c r="F227" s="2031"/>
      <c r="G227" s="2031"/>
      <c r="H227" s="2032"/>
      <c r="I227" s="1393"/>
      <c r="J227" s="1394"/>
      <c r="K227" s="78" t="s">
        <v>1860</v>
      </c>
      <c r="L227" s="2030" t="s">
        <v>1770</v>
      </c>
      <c r="M227" s="2031"/>
      <c r="N227" s="2031"/>
      <c r="O227" s="2032"/>
      <c r="P227" s="1390"/>
      <c r="Q227" s="1394"/>
      <c r="AE227" s="64"/>
      <c r="AF227" s="64"/>
    </row>
    <row r="228" spans="1:32" s="51" customFormat="1" ht="11.45" customHeight="1">
      <c r="A228" s="111"/>
      <c r="B228" s="61"/>
      <c r="C228" s="78" t="s">
        <v>1859</v>
      </c>
      <c r="D228" s="2022" t="s">
        <v>3767</v>
      </c>
      <c r="E228" s="2047"/>
      <c r="F228" s="2047"/>
      <c r="G228" s="2047"/>
      <c r="H228" s="2048"/>
      <c r="I228" s="1395"/>
      <c r="J228" s="1396"/>
      <c r="K228" s="78" t="s">
        <v>2518</v>
      </c>
      <c r="L228" s="2022" t="s">
        <v>3768</v>
      </c>
      <c r="M228" s="2047"/>
      <c r="N228" s="2047"/>
      <c r="O228" s="2048"/>
      <c r="P228" s="1392"/>
      <c r="Q228" s="1396"/>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1" t="s">
        <v>1468</v>
      </c>
      <c r="D230" s="62"/>
      <c r="E230" s="62"/>
      <c r="F230" s="62"/>
      <c r="G230" s="62"/>
      <c r="H230" s="62"/>
      <c r="I230" s="62"/>
      <c r="J230" s="62"/>
      <c r="K230" s="50"/>
      <c r="L230" s="62"/>
      <c r="M230" s="62"/>
      <c r="O230" s="594" t="s">
        <v>798</v>
      </c>
      <c r="P230" s="1080" t="s">
        <v>3756</v>
      </c>
      <c r="Q230" s="1384"/>
    </row>
    <row r="231" spans="1:32" ht="11.45" customHeight="1">
      <c r="B231" s="55"/>
      <c r="C231" s="78" t="s">
        <v>1858</v>
      </c>
      <c r="D231" s="62" t="s">
        <v>159</v>
      </c>
      <c r="E231" s="62"/>
      <c r="F231" s="62"/>
      <c r="G231" s="62"/>
      <c r="H231" s="62"/>
      <c r="I231" s="50"/>
      <c r="J231" s="40"/>
      <c r="K231" s="50"/>
      <c r="L231" s="40"/>
      <c r="M231" s="40"/>
      <c r="O231" s="78" t="s">
        <v>1858</v>
      </c>
      <c r="P231" s="1080" t="s">
        <v>3698</v>
      </c>
      <c r="Q231" s="1384"/>
    </row>
    <row r="232" spans="1:32" ht="11.45" customHeight="1">
      <c r="C232" s="78" t="s">
        <v>1859</v>
      </c>
      <c r="D232" s="38" t="s">
        <v>3269</v>
      </c>
      <c r="E232" s="38"/>
      <c r="F232" s="38"/>
      <c r="G232" s="38"/>
      <c r="H232" s="38"/>
      <c r="I232" s="50"/>
      <c r="J232" s="40"/>
      <c r="K232" s="50"/>
      <c r="L232" s="40"/>
      <c r="M232" s="40"/>
      <c r="O232" s="78" t="s">
        <v>1859</v>
      </c>
      <c r="P232" s="1080" t="s">
        <v>3698</v>
      </c>
      <c r="Q232" s="1384"/>
    </row>
    <row r="233" spans="1:32" ht="11.45" customHeight="1">
      <c r="C233" s="78" t="s">
        <v>1860</v>
      </c>
      <c r="D233" s="38" t="s">
        <v>3270</v>
      </c>
      <c r="E233" s="38"/>
      <c r="F233" s="38"/>
      <c r="G233" s="38"/>
      <c r="H233" s="38"/>
      <c r="I233" s="50"/>
      <c r="J233" s="40"/>
      <c r="K233" s="50"/>
      <c r="L233" s="40"/>
      <c r="M233" s="40"/>
      <c r="O233" s="78" t="s">
        <v>1860</v>
      </c>
      <c r="P233" s="1080" t="s">
        <v>3698</v>
      </c>
      <c r="Q233" s="1384"/>
    </row>
    <row r="234" spans="1:32" ht="11.45" customHeight="1">
      <c r="B234" s="55"/>
      <c r="C234" s="78" t="s">
        <v>2518</v>
      </c>
      <c r="D234" s="38" t="s">
        <v>3271</v>
      </c>
      <c r="E234" s="38"/>
      <c r="F234" s="38"/>
      <c r="G234" s="38"/>
      <c r="H234" s="38"/>
      <c r="I234" s="50"/>
      <c r="J234" s="40"/>
      <c r="K234" s="50"/>
      <c r="L234" s="40"/>
      <c r="M234" s="40"/>
      <c r="O234" s="78" t="s">
        <v>2518</v>
      </c>
      <c r="P234" s="1080" t="s">
        <v>3698</v>
      </c>
      <c r="Q234" s="1384"/>
    </row>
    <row r="235" spans="1:32" ht="11.45" customHeight="1">
      <c r="B235" s="55"/>
      <c r="C235" s="78" t="s">
        <v>1656</v>
      </c>
      <c r="D235" s="38" t="s">
        <v>3272</v>
      </c>
      <c r="E235" s="38"/>
      <c r="F235" s="38"/>
      <c r="G235" s="38"/>
      <c r="H235" s="38"/>
      <c r="I235" s="50"/>
      <c r="J235" s="40"/>
      <c r="K235" s="50"/>
      <c r="L235" s="40"/>
      <c r="M235" s="40"/>
      <c r="O235" s="78" t="s">
        <v>1656</v>
      </c>
      <c r="P235" s="1080" t="s">
        <v>3698</v>
      </c>
      <c r="Q235" s="1384"/>
    </row>
    <row r="236" spans="1:32" ht="11.45" customHeight="1">
      <c r="B236" s="55"/>
      <c r="C236" s="594" t="s">
        <v>1657</v>
      </c>
      <c r="D236" s="62" t="s">
        <v>826</v>
      </c>
      <c r="E236" s="62"/>
      <c r="F236" s="62"/>
      <c r="G236" s="62"/>
      <c r="H236" s="62"/>
      <c r="I236" s="50"/>
      <c r="J236" s="40"/>
      <c r="K236" s="50"/>
      <c r="L236" s="40"/>
      <c r="M236" s="40"/>
      <c r="O236" s="594" t="s">
        <v>3255</v>
      </c>
      <c r="P236" s="1080" t="s">
        <v>3698</v>
      </c>
      <c r="Q236" s="1384"/>
    </row>
    <row r="237" spans="1:32" ht="11.45" customHeight="1">
      <c r="B237" s="55"/>
      <c r="C237" s="78"/>
      <c r="D237" s="62" t="s">
        <v>1590</v>
      </c>
      <c r="E237" s="62"/>
      <c r="F237" s="62"/>
      <c r="G237" s="62"/>
      <c r="H237" s="62"/>
      <c r="I237" s="50"/>
      <c r="J237" s="40"/>
      <c r="K237" s="50"/>
      <c r="L237" s="40"/>
      <c r="M237" s="40"/>
      <c r="O237" s="594" t="s">
        <v>3256</v>
      </c>
      <c r="P237" s="1080" t="s">
        <v>3699</v>
      </c>
      <c r="Q237" s="1384"/>
    </row>
    <row r="238" spans="1:32" ht="3" customHeight="1">
      <c r="B238" s="55"/>
      <c r="C238" s="78"/>
      <c r="D238" s="62"/>
      <c r="E238" s="62"/>
      <c r="F238" s="62"/>
      <c r="G238" s="62"/>
      <c r="H238" s="62"/>
      <c r="I238" s="50"/>
      <c r="J238" s="40"/>
      <c r="K238" s="50"/>
      <c r="L238" s="40"/>
      <c r="M238" s="40"/>
    </row>
    <row r="239" spans="1:32" ht="12" customHeight="1">
      <c r="B239" s="55" t="s">
        <v>2252</v>
      </c>
      <c r="C239" s="261" t="s">
        <v>2892</v>
      </c>
      <c r="D239" s="62"/>
      <c r="E239" s="62"/>
      <c r="F239" s="62"/>
      <c r="G239" s="62"/>
      <c r="H239" s="62"/>
      <c r="I239" s="62"/>
      <c r="J239" s="62"/>
      <c r="K239" s="50"/>
      <c r="L239" s="62"/>
      <c r="M239" s="62"/>
      <c r="O239" s="594" t="s">
        <v>2252</v>
      </c>
      <c r="P239" s="1080"/>
      <c r="Q239" s="1384"/>
    </row>
    <row r="240" spans="1:32" ht="11.45" customHeight="1">
      <c r="B240" s="55"/>
      <c r="C240" s="78" t="s">
        <v>1858</v>
      </c>
      <c r="D240" s="47" t="s">
        <v>1332</v>
      </c>
      <c r="E240" s="50"/>
      <c r="F240" s="50"/>
      <c r="G240" s="47"/>
      <c r="H240" s="38"/>
      <c r="I240" s="50"/>
      <c r="J240" s="38"/>
      <c r="K240" s="50"/>
      <c r="L240" s="38"/>
      <c r="M240" s="38"/>
      <c r="O240" s="78" t="s">
        <v>1858</v>
      </c>
      <c r="P240" s="1080"/>
      <c r="Q240" s="1384"/>
    </row>
    <row r="241" spans="1:32" ht="11.45" customHeight="1">
      <c r="B241" s="55"/>
      <c r="C241" s="78" t="s">
        <v>1859</v>
      </c>
      <c r="D241" s="47" t="s">
        <v>152</v>
      </c>
      <c r="E241" s="50"/>
      <c r="F241" s="50"/>
      <c r="G241" s="38"/>
      <c r="H241" s="38"/>
      <c r="I241" s="50"/>
      <c r="J241" s="38"/>
      <c r="K241" s="50"/>
      <c r="L241" s="38"/>
      <c r="M241" s="38"/>
      <c r="O241" s="78" t="s">
        <v>1859</v>
      </c>
      <c r="P241" s="1080"/>
      <c r="Q241" s="1384"/>
    </row>
    <row r="242" spans="1:32" ht="11.45" customHeight="1">
      <c r="B242" s="55"/>
      <c r="C242" s="78" t="s">
        <v>1860</v>
      </c>
      <c r="D242" s="38" t="s">
        <v>1752</v>
      </c>
      <c r="E242" s="50"/>
      <c r="F242" s="50"/>
      <c r="G242" s="38"/>
      <c r="H242" s="38"/>
      <c r="I242" s="50"/>
      <c r="J242" s="38"/>
      <c r="K242" s="50"/>
      <c r="L242" s="38"/>
      <c r="M242" s="38"/>
      <c r="O242" s="78" t="s">
        <v>2524</v>
      </c>
      <c r="P242" s="1080"/>
      <c r="Q242" s="1384"/>
    </row>
    <row r="243" spans="1:32" ht="11.45" customHeight="1">
      <c r="B243" s="44"/>
      <c r="C243" s="50"/>
      <c r="D243" s="38" t="s">
        <v>1370</v>
      </c>
      <c r="E243" s="50"/>
      <c r="F243" s="50"/>
      <c r="G243" s="38"/>
      <c r="H243" s="38"/>
      <c r="I243" s="50"/>
      <c r="J243" s="38"/>
      <c r="K243" s="50"/>
      <c r="L243" s="38"/>
      <c r="M243" s="38"/>
      <c r="O243" s="78" t="s">
        <v>2525</v>
      </c>
      <c r="P243" s="1080"/>
      <c r="Q243" s="1384"/>
    </row>
    <row r="244" spans="1:32" ht="11.25" customHeight="1">
      <c r="B244" s="167" t="s">
        <v>1994</v>
      </c>
      <c r="D244" s="167"/>
      <c r="E244" s="167"/>
      <c r="F244" s="167"/>
      <c r="G244" s="167"/>
      <c r="H244" s="48"/>
      <c r="I244" s="1192"/>
      <c r="J244" s="1192"/>
      <c r="K244" s="1192"/>
      <c r="L244" s="1172"/>
      <c r="M244" s="1172"/>
      <c r="N244" s="1172"/>
      <c r="O244" s="1172"/>
      <c r="P244" s="1172"/>
      <c r="Q244" s="60"/>
    </row>
    <row r="245" spans="1:32" ht="11.45" customHeight="1">
      <c r="A245" s="2008"/>
      <c r="B245" s="2009"/>
      <c r="C245" s="2009"/>
      <c r="D245" s="2009"/>
      <c r="E245" s="2009"/>
      <c r="F245" s="2009"/>
      <c r="G245" s="2009"/>
      <c r="H245" s="2009"/>
      <c r="I245" s="2009"/>
      <c r="J245" s="2009"/>
      <c r="K245" s="2009"/>
      <c r="L245" s="2009"/>
      <c r="M245" s="2009"/>
      <c r="N245" s="2009"/>
      <c r="O245" s="2009"/>
      <c r="P245" s="2009"/>
      <c r="Q245" s="2010"/>
      <c r="R245" s="562" t="s">
        <v>1331</v>
      </c>
      <c r="S245" s="563"/>
      <c r="U245" s="162"/>
      <c r="V245" s="162"/>
      <c r="W245" s="162"/>
      <c r="X245" s="162"/>
      <c r="Y245" s="162"/>
      <c r="Z245" s="162"/>
      <c r="AA245" s="162"/>
      <c r="AB245" s="162"/>
      <c r="AC245" s="162"/>
      <c r="AD245" s="162"/>
      <c r="AE245" s="596"/>
    </row>
    <row r="246" spans="1:32" ht="11.25" customHeight="1">
      <c r="B246" s="163" t="s">
        <v>1995</v>
      </c>
      <c r="C246" s="164"/>
      <c r="D246" s="1177"/>
      <c r="E246" s="1177"/>
      <c r="F246" s="1177"/>
      <c r="G246" s="1177"/>
      <c r="H246" s="1177"/>
      <c r="I246" s="1177"/>
      <c r="J246" s="1177"/>
      <c r="K246" s="1177"/>
      <c r="L246" s="1177"/>
      <c r="M246" s="1177"/>
      <c r="N246" s="1177"/>
      <c r="O246" s="1177"/>
      <c r="P246" s="1177"/>
      <c r="Q246" s="1177"/>
    </row>
    <row r="247" spans="1:32" ht="13.15" customHeight="1">
      <c r="A247" s="2013"/>
      <c r="B247" s="2014"/>
      <c r="C247" s="2014"/>
      <c r="D247" s="2014"/>
      <c r="E247" s="2014"/>
      <c r="F247" s="2014"/>
      <c r="G247" s="2014"/>
      <c r="H247" s="2014"/>
      <c r="I247" s="2014"/>
      <c r="J247" s="2014"/>
      <c r="K247" s="2014"/>
      <c r="L247" s="2014"/>
      <c r="M247" s="2014"/>
      <c r="N247" s="2014"/>
      <c r="O247" s="2014"/>
      <c r="P247" s="2014"/>
      <c r="Q247" s="2015"/>
    </row>
    <row r="248" spans="1:32" ht="3" customHeight="1">
      <c r="A248" s="1172"/>
      <c r="B248" s="1192"/>
      <c r="C248" s="1177"/>
      <c r="D248" s="1177"/>
      <c r="E248" s="1177"/>
      <c r="F248" s="1177"/>
      <c r="G248" s="1177"/>
      <c r="H248" s="1177"/>
      <c r="I248" s="1177"/>
      <c r="J248" s="1177"/>
      <c r="K248" s="1177"/>
      <c r="L248" s="1177"/>
      <c r="M248" s="1177"/>
      <c r="Q248" s="1172"/>
    </row>
    <row r="249" spans="1:32" ht="13.9" customHeight="1">
      <c r="A249" s="1181">
        <v>15</v>
      </c>
      <c r="B249" s="5" t="s">
        <v>2859</v>
      </c>
      <c r="C249" s="5"/>
      <c r="D249" s="101"/>
      <c r="E249" s="101"/>
      <c r="F249" s="101"/>
      <c r="G249" s="101"/>
      <c r="H249" s="1177"/>
      <c r="I249" s="1177"/>
      <c r="J249" s="1177"/>
      <c r="K249" s="1177"/>
      <c r="L249" s="1177"/>
      <c r="M249" s="1177"/>
      <c r="O249" s="157" t="s">
        <v>1996</v>
      </c>
      <c r="P249" s="2016"/>
      <c r="Q249" s="2017"/>
    </row>
    <row r="250" spans="1:32" ht="4.9000000000000004" customHeight="1"/>
    <row r="251" spans="1:32" ht="11.45" customHeight="1">
      <c r="B251" s="55" t="s">
        <v>2117</v>
      </c>
      <c r="C251" s="62" t="s">
        <v>1347</v>
      </c>
      <c r="D251" s="50"/>
      <c r="E251" s="62"/>
      <c r="F251" s="62"/>
      <c r="G251" s="62"/>
      <c r="H251" s="62"/>
      <c r="I251" s="50"/>
      <c r="J251" s="50"/>
      <c r="K251" s="50"/>
      <c r="L251" s="594" t="s">
        <v>2117</v>
      </c>
      <c r="M251" s="2039" t="s">
        <v>3769</v>
      </c>
      <c r="N251" s="2040"/>
      <c r="O251" s="2041"/>
      <c r="P251" s="2097" t="s">
        <v>1894</v>
      </c>
      <c r="Q251" s="2098"/>
    </row>
    <row r="252" spans="1:32" ht="11.45" customHeight="1">
      <c r="B252" s="55" t="s">
        <v>2120</v>
      </c>
      <c r="C252" s="62" t="s">
        <v>3273</v>
      </c>
      <c r="D252" s="62"/>
      <c r="E252" s="62"/>
      <c r="F252" s="62"/>
      <c r="G252" s="62"/>
      <c r="H252" s="62"/>
      <c r="I252" s="50"/>
      <c r="J252" s="50"/>
      <c r="K252" s="50"/>
      <c r="L252" s="594" t="s">
        <v>2120</v>
      </c>
      <c r="M252" s="2065">
        <v>41794</v>
      </c>
      <c r="N252" s="2066"/>
      <c r="O252" s="2067"/>
      <c r="P252" s="2058"/>
      <c r="Q252" s="2059"/>
    </row>
    <row r="253" spans="1:32" s="175" customFormat="1" ht="11.45" customHeight="1">
      <c r="B253" s="55" t="s">
        <v>798</v>
      </c>
      <c r="C253" s="62" t="s">
        <v>2078</v>
      </c>
      <c r="D253" s="62"/>
      <c r="E253" s="62"/>
      <c r="F253" s="62"/>
      <c r="G253" s="62"/>
      <c r="H253" s="62"/>
      <c r="I253" s="111"/>
      <c r="J253" s="111"/>
      <c r="K253" s="111"/>
      <c r="L253" s="594" t="s">
        <v>798</v>
      </c>
      <c r="M253" s="2039" t="s">
        <v>3770</v>
      </c>
      <c r="N253" s="2040"/>
      <c r="O253" s="2041"/>
      <c r="P253" s="2097"/>
      <c r="Q253" s="2098"/>
      <c r="AE253" s="598"/>
      <c r="AF253" s="598"/>
    </row>
    <row r="254" spans="1:32" s="175" customFormat="1" ht="11.45" customHeight="1">
      <c r="B254" s="55" t="s">
        <v>2252</v>
      </c>
      <c r="C254" s="62" t="s">
        <v>2724</v>
      </c>
      <c r="D254" s="62"/>
      <c r="E254" s="62"/>
      <c r="F254" s="62"/>
      <c r="G254" s="62"/>
      <c r="H254" s="62"/>
      <c r="I254" s="111"/>
      <c r="J254" s="111"/>
      <c r="K254" s="111"/>
      <c r="L254" s="111"/>
      <c r="M254" s="111"/>
      <c r="O254" s="594" t="s">
        <v>2252</v>
      </c>
      <c r="P254" s="1080" t="s">
        <v>3698</v>
      </c>
      <c r="Q254" s="1384"/>
      <c r="AE254" s="598"/>
      <c r="AF254" s="598"/>
    </row>
    <row r="255" spans="1:32" s="175" customFormat="1" ht="22.15" customHeight="1">
      <c r="B255" s="168" t="s">
        <v>1856</v>
      </c>
      <c r="C255" s="2003" t="s">
        <v>3014</v>
      </c>
      <c r="D255" s="2003"/>
      <c r="E255" s="2003"/>
      <c r="F255" s="2003"/>
      <c r="G255" s="2003"/>
      <c r="H255" s="2003"/>
      <c r="I255" s="2003"/>
      <c r="J255" s="2003"/>
      <c r="K255" s="2003"/>
      <c r="L255" s="2003"/>
      <c r="M255" s="2003"/>
      <c r="N255" s="2003"/>
      <c r="O255" s="192" t="s">
        <v>1856</v>
      </c>
      <c r="P255" s="1080" t="s">
        <v>3756</v>
      </c>
      <c r="Q255" s="1384"/>
      <c r="AE255" s="598"/>
      <c r="AF255" s="598"/>
    </row>
    <row r="256" spans="1:32" ht="11.25" customHeight="1">
      <c r="B256" s="167" t="s">
        <v>1994</v>
      </c>
      <c r="D256" s="167"/>
      <c r="E256" s="167"/>
      <c r="F256" s="167"/>
      <c r="G256" s="167"/>
      <c r="H256" s="48"/>
      <c r="I256" s="1192"/>
      <c r="J256" s="1192"/>
      <c r="K256" s="1192"/>
      <c r="L256" s="1172"/>
      <c r="M256" s="1172"/>
      <c r="N256" s="1172"/>
      <c r="O256" s="1172"/>
      <c r="P256" s="1172"/>
      <c r="Q256" s="60"/>
    </row>
    <row r="257" spans="1:32" ht="13.15" customHeight="1">
      <c r="A257" s="2008"/>
      <c r="B257" s="2009"/>
      <c r="C257" s="2009"/>
      <c r="D257" s="2009"/>
      <c r="E257" s="2009"/>
      <c r="F257" s="2009"/>
      <c r="G257" s="2009"/>
      <c r="H257" s="2009"/>
      <c r="I257" s="2009"/>
      <c r="J257" s="2009"/>
      <c r="K257" s="2009"/>
      <c r="L257" s="2009"/>
      <c r="M257" s="2009"/>
      <c r="N257" s="2009"/>
      <c r="O257" s="2009"/>
      <c r="P257" s="2009"/>
      <c r="Q257" s="2010"/>
      <c r="R257" s="562" t="s">
        <v>1331</v>
      </c>
      <c r="S257" s="563"/>
      <c r="U257" s="162"/>
      <c r="V257" s="162"/>
      <c r="W257" s="162"/>
      <c r="X257" s="162"/>
      <c r="Y257" s="162"/>
      <c r="Z257" s="162"/>
      <c r="AA257" s="162"/>
      <c r="AB257" s="162"/>
      <c r="AC257" s="162"/>
      <c r="AD257" s="162"/>
      <c r="AE257" s="596"/>
    </row>
    <row r="258" spans="1:32" ht="10.9" customHeight="1">
      <c r="B258" s="163" t="s">
        <v>1995</v>
      </c>
      <c r="C258" s="164"/>
      <c r="D258" s="1177"/>
      <c r="E258" s="1177"/>
      <c r="F258" s="1177"/>
      <c r="G258" s="1177"/>
      <c r="H258" s="1177"/>
      <c r="I258" s="1177"/>
      <c r="J258" s="1177"/>
      <c r="K258" s="1177"/>
      <c r="L258" s="1177"/>
      <c r="M258" s="1177"/>
      <c r="N258" s="1177"/>
      <c r="O258" s="1177"/>
      <c r="P258" s="1177"/>
      <c r="Q258" s="1177"/>
    </row>
    <row r="259" spans="1:32" ht="13.15" customHeight="1">
      <c r="A259" s="2013"/>
      <c r="B259" s="2014"/>
      <c r="C259" s="2014"/>
      <c r="D259" s="2014"/>
      <c r="E259" s="2014"/>
      <c r="F259" s="2014"/>
      <c r="G259" s="2014"/>
      <c r="H259" s="2014"/>
      <c r="I259" s="2014"/>
      <c r="J259" s="2014"/>
      <c r="K259" s="2014"/>
      <c r="L259" s="2014"/>
      <c r="M259" s="2014"/>
      <c r="N259" s="2014"/>
      <c r="O259" s="2014"/>
      <c r="P259" s="2014"/>
      <c r="Q259" s="2015"/>
    </row>
    <row r="260" spans="1:32" ht="3" customHeight="1">
      <c r="A260" s="1172"/>
      <c r="B260" s="1192"/>
      <c r="C260" s="1177"/>
      <c r="D260" s="1177"/>
      <c r="E260" s="1177"/>
      <c r="F260" s="1177"/>
      <c r="G260" s="1177"/>
      <c r="H260" s="1177"/>
      <c r="I260" s="1177"/>
      <c r="J260" s="1177"/>
      <c r="K260" s="1177"/>
      <c r="L260" s="1177"/>
      <c r="M260" s="1177"/>
      <c r="Q260" s="1172"/>
    </row>
    <row r="261" spans="1:32" ht="13.9" customHeight="1">
      <c r="A261" s="1181">
        <v>16</v>
      </c>
      <c r="B261" s="5" t="s">
        <v>2860</v>
      </c>
      <c r="C261" s="5"/>
      <c r="D261" s="101"/>
      <c r="E261" s="101"/>
      <c r="F261" s="101"/>
      <c r="G261" s="101"/>
      <c r="H261" s="1177"/>
      <c r="I261" s="1177"/>
      <c r="J261" s="1177"/>
      <c r="K261" s="1177"/>
      <c r="L261" s="1177"/>
      <c r="M261" s="1177"/>
      <c r="O261" s="157" t="s">
        <v>1996</v>
      </c>
      <c r="P261" s="2016"/>
      <c r="Q261" s="2017"/>
    </row>
    <row r="262" spans="1:32" ht="3" customHeight="1"/>
    <row r="263" spans="1:32" s="509" customFormat="1" ht="23.25" customHeight="1">
      <c r="B263" s="168" t="s">
        <v>2117</v>
      </c>
      <c r="C263" s="2003" t="s">
        <v>3274</v>
      </c>
      <c r="D263" s="2003"/>
      <c r="E263" s="2003"/>
      <c r="F263" s="2003"/>
      <c r="G263" s="2003"/>
      <c r="H263" s="2003"/>
      <c r="I263" s="2003"/>
      <c r="J263" s="2003"/>
      <c r="K263" s="2003"/>
      <c r="L263" s="2003"/>
      <c r="M263" s="2003"/>
      <c r="N263" s="2003"/>
      <c r="O263" s="192" t="s">
        <v>2117</v>
      </c>
      <c r="P263" s="1092" t="s">
        <v>3698</v>
      </c>
      <c r="Q263" s="1387"/>
      <c r="AE263" s="599"/>
      <c r="AF263" s="599"/>
    </row>
    <row r="264" spans="1:32" s="175" customFormat="1" ht="11.45" customHeight="1">
      <c r="B264" s="55" t="s">
        <v>2120</v>
      </c>
      <c r="C264" s="62" t="s">
        <v>1494</v>
      </c>
      <c r="D264" s="62"/>
      <c r="E264" s="62"/>
      <c r="F264" s="62"/>
      <c r="G264" s="62"/>
      <c r="H264" s="62"/>
      <c r="I264" s="62"/>
      <c r="J264" s="62"/>
      <c r="K264" s="62"/>
      <c r="L264" s="62"/>
      <c r="M264" s="62"/>
      <c r="O264" s="594" t="s">
        <v>2120</v>
      </c>
      <c r="P264" s="1080" t="s">
        <v>3698</v>
      </c>
      <c r="Q264" s="1384"/>
      <c r="AE264" s="598"/>
      <c r="AF264" s="598"/>
    </row>
    <row r="265" spans="1:32" ht="11.25" customHeight="1">
      <c r="B265" s="167" t="s">
        <v>1994</v>
      </c>
      <c r="D265" s="167"/>
      <c r="E265" s="167"/>
      <c r="F265" s="167"/>
      <c r="G265" s="167"/>
      <c r="H265" s="48"/>
      <c r="I265" s="1192"/>
      <c r="J265" s="1192"/>
      <c r="K265" s="1192"/>
      <c r="L265" s="1172"/>
      <c r="M265" s="1172"/>
      <c r="N265" s="1172"/>
      <c r="O265" s="1172"/>
      <c r="P265" s="1172"/>
      <c r="Q265" s="60"/>
    </row>
    <row r="266" spans="1:32" ht="13.15" customHeight="1">
      <c r="A266" s="2008"/>
      <c r="B266" s="2009"/>
      <c r="C266" s="2009"/>
      <c r="D266" s="2009"/>
      <c r="E266" s="2009"/>
      <c r="F266" s="2009"/>
      <c r="G266" s="2009"/>
      <c r="H266" s="2009"/>
      <c r="I266" s="2009"/>
      <c r="J266" s="2009"/>
      <c r="K266" s="2009"/>
      <c r="L266" s="2009"/>
      <c r="M266" s="2009"/>
      <c r="N266" s="2009"/>
      <c r="O266" s="2009"/>
      <c r="P266" s="2009"/>
      <c r="Q266" s="2010"/>
      <c r="R266" s="562" t="s">
        <v>1331</v>
      </c>
      <c r="S266" s="563"/>
      <c r="U266" s="162"/>
      <c r="V266" s="162"/>
      <c r="W266" s="162"/>
      <c r="X266" s="162"/>
      <c r="Y266" s="162"/>
      <c r="Z266" s="162"/>
      <c r="AA266" s="162"/>
      <c r="AB266" s="162"/>
      <c r="AC266" s="162"/>
      <c r="AD266" s="162"/>
      <c r="AE266" s="596"/>
    </row>
    <row r="267" spans="1:32" ht="11.25" customHeight="1">
      <c r="B267" s="163" t="s">
        <v>1995</v>
      </c>
      <c r="C267" s="164"/>
      <c r="D267" s="1177"/>
      <c r="E267" s="1177"/>
      <c r="F267" s="1177"/>
      <c r="G267" s="1177"/>
      <c r="H267" s="1177"/>
      <c r="I267" s="1177"/>
      <c r="J267" s="1177"/>
      <c r="K267" s="1177"/>
      <c r="L267" s="1177"/>
      <c r="M267" s="1177"/>
      <c r="N267" s="1177"/>
      <c r="O267" s="1177"/>
      <c r="P267" s="1177"/>
      <c r="Q267" s="1177"/>
    </row>
    <row r="268" spans="1:32" ht="13.15" customHeight="1">
      <c r="A268" s="2013"/>
      <c r="B268" s="2014"/>
      <c r="C268" s="2014"/>
      <c r="D268" s="2014"/>
      <c r="E268" s="2014"/>
      <c r="F268" s="2014"/>
      <c r="G268" s="2014"/>
      <c r="H268" s="2014"/>
      <c r="I268" s="2014"/>
      <c r="J268" s="2014"/>
      <c r="K268" s="2014"/>
      <c r="L268" s="2014"/>
      <c r="M268" s="2014"/>
      <c r="N268" s="2014"/>
      <c r="O268" s="2014"/>
      <c r="P268" s="2014"/>
      <c r="Q268" s="2015"/>
    </row>
    <row r="269" spans="1:32" ht="3" customHeight="1">
      <c r="A269" s="1172"/>
      <c r="B269" s="1192"/>
      <c r="C269" s="1177"/>
      <c r="D269" s="1177"/>
      <c r="E269" s="1177"/>
      <c r="F269" s="1177"/>
      <c r="G269" s="1177"/>
      <c r="H269" s="1177"/>
      <c r="I269" s="1177"/>
      <c r="J269" s="1177"/>
      <c r="K269" s="1177"/>
      <c r="L269" s="1177"/>
      <c r="M269" s="1177"/>
      <c r="N269" s="1177"/>
      <c r="O269" s="1177"/>
      <c r="P269" s="157"/>
      <c r="Q269" s="60"/>
    </row>
    <row r="270" spans="1:32" ht="13.9" customHeight="1">
      <c r="A270" s="1181">
        <v>17</v>
      </c>
      <c r="B270" s="1181" t="s">
        <v>2861</v>
      </c>
      <c r="C270" s="1181"/>
      <c r="D270" s="1177"/>
      <c r="E270" s="1177"/>
      <c r="F270" s="1177"/>
      <c r="G270" s="1177"/>
      <c r="H270" s="1177"/>
      <c r="I270" s="1177"/>
      <c r="J270" s="1177"/>
      <c r="K270" s="1177"/>
      <c r="L270" s="1177"/>
      <c r="M270" s="1177"/>
      <c r="O270" s="157" t="s">
        <v>1996</v>
      </c>
      <c r="P270" s="2016"/>
      <c r="Q270" s="2017"/>
    </row>
    <row r="271" spans="1:32" ht="3" customHeight="1"/>
    <row r="272" spans="1:32" s="509" customFormat="1" ht="24" customHeight="1">
      <c r="B272" s="168" t="s">
        <v>2117</v>
      </c>
      <c r="C272" s="2042" t="s">
        <v>3275</v>
      </c>
      <c r="D272" s="1811"/>
      <c r="E272" s="1811"/>
      <c r="F272" s="1811"/>
      <c r="G272" s="1811"/>
      <c r="H272" s="1811"/>
      <c r="I272" s="1811"/>
      <c r="J272" s="1811"/>
      <c r="K272" s="1811"/>
      <c r="L272" s="1811"/>
      <c r="M272" s="1811"/>
      <c r="N272" s="1811"/>
      <c r="O272" s="192" t="s">
        <v>2117</v>
      </c>
      <c r="P272" s="1080" t="s">
        <v>3756</v>
      </c>
      <c r="Q272" s="1384"/>
      <c r="AE272" s="599"/>
      <c r="AF272" s="599"/>
    </row>
    <row r="273" spans="1:32" s="509" customFormat="1" ht="24" customHeight="1">
      <c r="B273" s="168" t="s">
        <v>2120</v>
      </c>
      <c r="C273" s="2042" t="s">
        <v>3276</v>
      </c>
      <c r="D273" s="1811"/>
      <c r="E273" s="1811"/>
      <c r="F273" s="1811"/>
      <c r="G273" s="1811"/>
      <c r="H273" s="1811"/>
      <c r="I273" s="1811"/>
      <c r="J273" s="1811"/>
      <c r="K273" s="1811"/>
      <c r="L273" s="1811"/>
      <c r="M273" s="1811"/>
      <c r="N273" s="1811"/>
      <c r="O273" s="192" t="s">
        <v>2120</v>
      </c>
      <c r="P273" s="1080" t="s">
        <v>3756</v>
      </c>
      <c r="Q273" s="1384"/>
      <c r="AE273" s="599"/>
      <c r="AF273" s="599"/>
    </row>
    <row r="274" spans="1:32" ht="11.25" customHeight="1">
      <c r="B274" s="167" t="s">
        <v>1994</v>
      </c>
      <c r="D274" s="167"/>
      <c r="E274" s="167"/>
      <c r="F274" s="167"/>
      <c r="G274" s="167"/>
      <c r="H274" s="48"/>
      <c r="I274" s="1192"/>
      <c r="J274" s="1192"/>
      <c r="K274" s="1192"/>
      <c r="L274" s="1172"/>
      <c r="M274" s="1172"/>
      <c r="N274" s="1172"/>
      <c r="O274" s="1172"/>
      <c r="P274" s="1172"/>
      <c r="Q274" s="60"/>
    </row>
    <row r="275" spans="1:32" ht="13.15" customHeight="1">
      <c r="A275" s="2008"/>
      <c r="B275" s="2009"/>
      <c r="C275" s="2009"/>
      <c r="D275" s="2009"/>
      <c r="E275" s="2009"/>
      <c r="F275" s="2009"/>
      <c r="G275" s="2009"/>
      <c r="H275" s="2009"/>
      <c r="I275" s="2009"/>
      <c r="J275" s="2009"/>
      <c r="K275" s="2009"/>
      <c r="L275" s="2009"/>
      <c r="M275" s="2009"/>
      <c r="N275" s="2009"/>
      <c r="O275" s="2009"/>
      <c r="P275" s="2009"/>
      <c r="Q275" s="2010"/>
      <c r="R275" s="562" t="s">
        <v>1331</v>
      </c>
      <c r="S275" s="563"/>
      <c r="U275" s="162"/>
      <c r="V275" s="162"/>
      <c r="W275" s="162"/>
      <c r="X275" s="162"/>
      <c r="Y275" s="162"/>
      <c r="Z275" s="162"/>
      <c r="AA275" s="162"/>
      <c r="AB275" s="162"/>
      <c r="AC275" s="162"/>
      <c r="AD275" s="162"/>
      <c r="AE275" s="596"/>
    </row>
    <row r="276" spans="1:32" ht="11.25" customHeight="1">
      <c r="B276" s="163" t="s">
        <v>1995</v>
      </c>
      <c r="C276" s="164"/>
      <c r="D276" s="1177"/>
      <c r="E276" s="1177"/>
      <c r="F276" s="1177"/>
      <c r="G276" s="1177"/>
      <c r="H276" s="1177"/>
      <c r="I276" s="1177"/>
      <c r="J276" s="1177"/>
      <c r="K276" s="1177"/>
      <c r="L276" s="1177"/>
      <c r="M276" s="1177"/>
      <c r="N276" s="1177"/>
      <c r="O276" s="1177"/>
      <c r="P276" s="1177"/>
      <c r="Q276" s="1177"/>
    </row>
    <row r="277" spans="1:32" ht="13.15" customHeight="1">
      <c r="A277" s="2013"/>
      <c r="B277" s="2014"/>
      <c r="C277" s="2014"/>
      <c r="D277" s="2014"/>
      <c r="E277" s="2014"/>
      <c r="F277" s="2014"/>
      <c r="G277" s="2014"/>
      <c r="H277" s="2014"/>
      <c r="I277" s="2014"/>
      <c r="J277" s="2014"/>
      <c r="K277" s="2014"/>
      <c r="L277" s="2014"/>
      <c r="M277" s="2014"/>
      <c r="N277" s="2014"/>
      <c r="O277" s="2014"/>
      <c r="P277" s="2014"/>
      <c r="Q277" s="2015"/>
    </row>
    <row r="278" spans="1:32" ht="5.45" customHeight="1">
      <c r="A278" s="1172"/>
      <c r="B278" s="1192"/>
      <c r="C278" s="1177"/>
      <c r="D278" s="1177"/>
      <c r="E278" s="1177"/>
      <c r="F278" s="1177"/>
      <c r="G278" s="1177"/>
      <c r="H278" s="1177"/>
      <c r="I278" s="1177"/>
      <c r="J278" s="1177"/>
      <c r="K278" s="1177"/>
      <c r="L278" s="1177"/>
      <c r="M278" s="1177"/>
      <c r="Q278" s="1172"/>
    </row>
    <row r="279" spans="1:32" ht="13.9" customHeight="1">
      <c r="A279" s="1181">
        <v>18</v>
      </c>
      <c r="B279" s="1181" t="s">
        <v>2862</v>
      </c>
      <c r="C279" s="176"/>
      <c r="D279" s="1180"/>
      <c r="E279" s="1177"/>
      <c r="F279" s="1177"/>
      <c r="G279" s="1177"/>
      <c r="H279" s="1177"/>
      <c r="I279" s="1177"/>
      <c r="J279" s="1177"/>
      <c r="K279" s="1177"/>
      <c r="L279" s="1177"/>
      <c r="M279" s="1177"/>
      <c r="O279" s="157" t="s">
        <v>1996</v>
      </c>
      <c r="P279" s="2016"/>
      <c r="Q279" s="2017"/>
    </row>
    <row r="280" spans="1:32" s="175" customFormat="1" ht="46.5" customHeight="1">
      <c r="B280" s="168" t="s">
        <v>2117</v>
      </c>
      <c r="C280" s="177" t="s">
        <v>1858</v>
      </c>
      <c r="D280" s="2042" t="s">
        <v>3277</v>
      </c>
      <c r="E280" s="2042"/>
      <c r="F280" s="2042"/>
      <c r="G280" s="2042"/>
      <c r="H280" s="2042"/>
      <c r="I280" s="2042"/>
      <c r="J280" s="2042"/>
      <c r="K280" s="2042"/>
      <c r="L280" s="2042"/>
      <c r="M280" s="2042"/>
      <c r="N280" s="2042"/>
      <c r="O280" s="192" t="s">
        <v>2982</v>
      </c>
      <c r="P280" s="1092" t="s">
        <v>3698</v>
      </c>
      <c r="Q280" s="1384"/>
      <c r="AE280" s="598"/>
      <c r="AF280" s="598"/>
    </row>
    <row r="281" spans="1:32" s="111" customFormat="1" ht="12.75" customHeight="1">
      <c r="B281" s="55"/>
      <c r="C281" s="78" t="s">
        <v>1859</v>
      </c>
      <c r="D281" s="2074" t="s">
        <v>3278</v>
      </c>
      <c r="E281" s="2074"/>
      <c r="F281" s="2074"/>
      <c r="G281" s="2074"/>
      <c r="H281" s="2074"/>
      <c r="I281" s="2074"/>
      <c r="J281" s="2074"/>
      <c r="K281" s="2074"/>
      <c r="L281" s="2074"/>
      <c r="M281" s="2074"/>
      <c r="N281" s="2074"/>
      <c r="O281" s="78" t="s">
        <v>1859</v>
      </c>
      <c r="P281" s="1080" t="s">
        <v>3698</v>
      </c>
      <c r="Q281" s="1384"/>
      <c r="AE281" s="600"/>
      <c r="AF281" s="600"/>
    </row>
    <row r="282" spans="1:32" s="111" customFormat="1" ht="22.5" customHeight="1">
      <c r="B282" s="168" t="s">
        <v>2120</v>
      </c>
      <c r="C282" s="177" t="s">
        <v>1858</v>
      </c>
      <c r="D282" s="2042" t="s">
        <v>2980</v>
      </c>
      <c r="E282" s="2042"/>
      <c r="F282" s="2042"/>
      <c r="G282" s="2042"/>
      <c r="H282" s="2042"/>
      <c r="I282" s="2042"/>
      <c r="J282" s="2042"/>
      <c r="K282" s="2042"/>
      <c r="L282" s="2042"/>
      <c r="M282" s="2042"/>
      <c r="N282" s="2042"/>
      <c r="O282" s="594" t="s">
        <v>2983</v>
      </c>
      <c r="P282" s="1080" t="s">
        <v>3698</v>
      </c>
      <c r="Q282" s="1384"/>
      <c r="AE282" s="600"/>
      <c r="AF282" s="600"/>
    </row>
    <row r="283" spans="1:32" s="111" customFormat="1" ht="12" customHeight="1">
      <c r="B283" s="168"/>
      <c r="C283" s="177" t="s">
        <v>1859</v>
      </c>
      <c r="D283" s="2042" t="s">
        <v>2981</v>
      </c>
      <c r="E283" s="2042"/>
      <c r="F283" s="2042"/>
      <c r="G283" s="2042"/>
      <c r="H283" s="2042"/>
      <c r="I283" s="2042"/>
      <c r="J283" s="2042"/>
      <c r="K283" s="2042"/>
      <c r="L283" s="2042"/>
      <c r="M283" s="2042"/>
      <c r="N283" s="2042"/>
      <c r="O283" s="594" t="s">
        <v>3279</v>
      </c>
      <c r="P283" s="1091" t="s">
        <v>3698</v>
      </c>
      <c r="Q283" s="1386"/>
      <c r="AE283" s="600"/>
      <c r="AF283" s="600"/>
    </row>
    <row r="284" spans="1:32" s="509" customFormat="1" ht="36" customHeight="1">
      <c r="B284" s="168" t="s">
        <v>798</v>
      </c>
      <c r="C284" s="177"/>
      <c r="D284" s="2042" t="s">
        <v>3393</v>
      </c>
      <c r="E284" s="2042"/>
      <c r="F284" s="2042"/>
      <c r="G284" s="2042"/>
      <c r="H284" s="2042"/>
      <c r="I284" s="2042"/>
      <c r="J284" s="2042"/>
      <c r="K284" s="2042"/>
      <c r="L284" s="2042"/>
      <c r="M284" s="2042"/>
      <c r="N284" s="2042"/>
      <c r="O284" s="192" t="s">
        <v>798</v>
      </c>
      <c r="P284" s="1092" t="s">
        <v>3698</v>
      </c>
      <c r="Q284" s="1387"/>
      <c r="AE284" s="599"/>
      <c r="AF284" s="599"/>
    </row>
    <row r="285" spans="1:32" ht="11.25" customHeight="1">
      <c r="B285" s="167" t="s">
        <v>1994</v>
      </c>
      <c r="D285" s="167"/>
      <c r="E285" s="167"/>
      <c r="F285" s="167"/>
      <c r="G285" s="167"/>
      <c r="H285" s="48"/>
      <c r="I285" s="1192"/>
      <c r="J285" s="1192"/>
      <c r="K285" s="1192"/>
      <c r="L285" s="1172"/>
      <c r="M285" s="1172"/>
      <c r="N285" s="1172"/>
      <c r="O285" s="1172"/>
      <c r="P285" s="1172"/>
      <c r="Q285" s="60"/>
    </row>
    <row r="286" spans="1:32" ht="11.45" customHeight="1">
      <c r="A286" s="2008"/>
      <c r="B286" s="2009"/>
      <c r="C286" s="2009"/>
      <c r="D286" s="2009"/>
      <c r="E286" s="2009"/>
      <c r="F286" s="2009"/>
      <c r="G286" s="2009"/>
      <c r="H286" s="2009"/>
      <c r="I286" s="2009"/>
      <c r="J286" s="2009"/>
      <c r="K286" s="2009"/>
      <c r="L286" s="2009"/>
      <c r="M286" s="2009"/>
      <c r="N286" s="2009"/>
      <c r="O286" s="2009"/>
      <c r="P286" s="2009"/>
      <c r="Q286" s="2010"/>
      <c r="R286" s="562" t="s">
        <v>1331</v>
      </c>
      <c r="S286" s="563"/>
      <c r="U286" s="162"/>
      <c r="V286" s="162"/>
      <c r="W286" s="162"/>
      <c r="X286" s="162"/>
      <c r="Y286" s="162"/>
      <c r="Z286" s="162"/>
      <c r="AA286" s="162"/>
      <c r="AB286" s="162"/>
      <c r="AC286" s="162"/>
      <c r="AD286" s="162"/>
      <c r="AE286" s="596"/>
    </row>
    <row r="287" spans="1:32" ht="11.25" customHeight="1">
      <c r="B287" s="163" t="s">
        <v>1995</v>
      </c>
      <c r="C287" s="164"/>
      <c r="D287" s="1177"/>
      <c r="E287" s="1177"/>
      <c r="F287" s="1177"/>
      <c r="G287" s="1177"/>
      <c r="H287" s="1177"/>
      <c r="I287" s="1177"/>
      <c r="J287" s="1177"/>
      <c r="K287" s="1177"/>
      <c r="L287" s="1177"/>
      <c r="M287" s="1177"/>
      <c r="N287" s="1177"/>
      <c r="O287" s="1177"/>
      <c r="P287" s="1177"/>
      <c r="Q287" s="1177"/>
    </row>
    <row r="288" spans="1:32" ht="11.45" customHeight="1">
      <c r="A288" s="2060"/>
      <c r="B288" s="2061"/>
      <c r="C288" s="2061"/>
      <c r="D288" s="2061"/>
      <c r="E288" s="2061"/>
      <c r="F288" s="2061"/>
      <c r="G288" s="2061"/>
      <c r="H288" s="2061"/>
      <c r="I288" s="2061"/>
      <c r="J288" s="2061"/>
      <c r="K288" s="2061"/>
      <c r="L288" s="2061"/>
      <c r="M288" s="2061"/>
      <c r="N288" s="2061"/>
      <c r="O288" s="2061"/>
      <c r="P288" s="2061"/>
      <c r="Q288" s="2062"/>
    </row>
    <row r="289" spans="1:256 1523:1523" ht="13.9" customHeight="1">
      <c r="A289" s="1181">
        <v>19</v>
      </c>
      <c r="B289" s="11" t="s">
        <v>2863</v>
      </c>
      <c r="C289" s="11"/>
      <c r="D289" s="11"/>
      <c r="E289" s="11"/>
      <c r="F289" s="11"/>
      <c r="G289" s="11"/>
      <c r="H289" s="1177"/>
      <c r="I289" s="1177"/>
      <c r="J289" s="1177"/>
      <c r="K289" s="1177"/>
      <c r="L289" s="1177"/>
      <c r="M289" s="1177"/>
      <c r="O289" s="157" t="s">
        <v>1996</v>
      </c>
      <c r="P289" s="2063"/>
      <c r="Q289" s="2064"/>
    </row>
    <row r="290" spans="1:256 1523:1523" ht="11.45" customHeight="1">
      <c r="B290" s="171" t="s">
        <v>2399</v>
      </c>
      <c r="P290" s="1080" t="s">
        <v>3698</v>
      </c>
      <c r="Q290" s="1384"/>
    </row>
    <row r="291" spans="1:256 1523:1523" ht="12" customHeight="1">
      <c r="B291" s="173" t="s">
        <v>2353</v>
      </c>
      <c r="C291" s="173"/>
      <c r="D291" s="173"/>
      <c r="E291" s="173"/>
      <c r="F291" s="173"/>
      <c r="G291" s="173"/>
      <c r="H291" s="173"/>
      <c r="I291" s="173"/>
      <c r="J291" s="173"/>
      <c r="K291" s="173"/>
      <c r="L291" s="173"/>
      <c r="P291" s="1080" t="s">
        <v>3698</v>
      </c>
      <c r="Q291" s="1384"/>
    </row>
    <row r="292" spans="1:256 1523:1523" ht="11.45" customHeight="1">
      <c r="B292" s="168" t="s">
        <v>2117</v>
      </c>
      <c r="C292" s="226" t="s">
        <v>483</v>
      </c>
      <c r="D292" s="38"/>
      <c r="E292" s="38"/>
      <c r="F292" s="38"/>
      <c r="G292" s="38"/>
      <c r="H292" s="38"/>
      <c r="I292" s="38"/>
      <c r="J292" s="38"/>
      <c r="K292" s="38"/>
      <c r="L292" s="38"/>
      <c r="M292" s="38"/>
      <c r="N292" s="192"/>
    </row>
    <row r="293" spans="1:256 1523:1523" ht="22.5" customHeight="1">
      <c r="A293" s="170"/>
      <c r="C293" s="2042" t="s">
        <v>3523</v>
      </c>
      <c r="D293" s="2042"/>
      <c r="E293" s="2042"/>
      <c r="F293" s="2042"/>
      <c r="G293" s="2042"/>
      <c r="H293" s="2042"/>
      <c r="I293" s="2042"/>
      <c r="J293" s="2042"/>
      <c r="K293" s="2042"/>
      <c r="L293" s="2042"/>
      <c r="M293" s="2042"/>
      <c r="N293" s="2042"/>
      <c r="O293" s="192" t="s">
        <v>2117</v>
      </c>
      <c r="P293" s="1092" t="s">
        <v>3698</v>
      </c>
      <c r="Q293" s="1387"/>
    </row>
    <row r="294" spans="1:256 1523:1523" ht="12.6" customHeight="1">
      <c r="B294" s="168" t="s">
        <v>2120</v>
      </c>
      <c r="C294" s="2021" t="s">
        <v>484</v>
      </c>
      <c r="D294" s="2021"/>
      <c r="E294" s="2021"/>
      <c r="F294" s="2021"/>
      <c r="G294" s="2021"/>
      <c r="H294" s="2021"/>
      <c r="I294" s="2021"/>
      <c r="J294" s="2021"/>
      <c r="K294" s="2021"/>
      <c r="L294" s="2021"/>
      <c r="M294" s="2021"/>
      <c r="O294" s="192" t="s">
        <v>2120</v>
      </c>
      <c r="P294" s="1172"/>
      <c r="Q294" s="60"/>
    </row>
    <row r="295" spans="1:256 1523:1523" ht="23.25" customHeight="1">
      <c r="A295" s="170"/>
      <c r="C295" s="259" t="s">
        <v>1858</v>
      </c>
      <c r="D295" s="260" t="s">
        <v>1196</v>
      </c>
      <c r="E295" s="158"/>
      <c r="F295" s="158"/>
      <c r="G295" s="2049" t="s">
        <v>1198</v>
      </c>
      <c r="H295" s="2050"/>
      <c r="I295" s="2050"/>
      <c r="J295" s="2050"/>
      <c r="K295" s="2050"/>
      <c r="L295" s="2050"/>
      <c r="M295" s="2050"/>
      <c r="N295" s="2051"/>
      <c r="O295" s="263" t="s">
        <v>1858</v>
      </c>
      <c r="P295" s="1092" t="s">
        <v>3698</v>
      </c>
      <c r="Q295" s="1387"/>
      <c r="BFO295" s="175" t="s">
        <v>2984</v>
      </c>
    </row>
    <row r="296" spans="1:256 1523:1523" ht="23.25" customHeight="1">
      <c r="A296" s="170"/>
      <c r="C296" s="259" t="s">
        <v>1859</v>
      </c>
      <c r="D296" s="2003" t="s">
        <v>1197</v>
      </c>
      <c r="E296" s="2025"/>
      <c r="F296" s="2026"/>
      <c r="G296" s="2022" t="s">
        <v>2846</v>
      </c>
      <c r="H296" s="2023"/>
      <c r="I296" s="2023"/>
      <c r="J296" s="2023"/>
      <c r="K296" s="2023"/>
      <c r="L296" s="2023"/>
      <c r="M296" s="2023"/>
      <c r="N296" s="2024"/>
      <c r="O296" s="263" t="s">
        <v>1859</v>
      </c>
      <c r="P296" s="1092" t="s">
        <v>3698</v>
      </c>
      <c r="Q296" s="1387"/>
    </row>
    <row r="297" spans="1:256 1523:1523" ht="3" customHeight="1">
      <c r="A297" s="1172"/>
      <c r="B297" s="1172"/>
      <c r="C297" s="1172"/>
      <c r="D297" s="1172"/>
      <c r="E297" s="1172"/>
      <c r="F297" s="1172"/>
      <c r="G297" s="1172"/>
      <c r="H297" s="1172"/>
      <c r="I297" s="1172"/>
      <c r="J297" s="1172"/>
      <c r="K297" s="1172"/>
      <c r="L297" s="1172"/>
      <c r="M297" s="1172"/>
      <c r="N297" s="1172"/>
      <c r="O297" s="1172"/>
      <c r="P297" s="1172"/>
      <c r="Q297" s="1172"/>
      <c r="R297" s="1172"/>
      <c r="S297" s="1172"/>
      <c r="T297" s="1172"/>
      <c r="U297" s="1172"/>
      <c r="V297" s="1172"/>
      <c r="W297" s="1172"/>
      <c r="X297" s="1172"/>
      <c r="Y297" s="1172"/>
      <c r="Z297" s="1172"/>
      <c r="AA297" s="1172"/>
      <c r="AB297" s="1172"/>
      <c r="AC297" s="1172"/>
      <c r="AD297" s="1172"/>
      <c r="AE297" s="60"/>
      <c r="AF297" s="60"/>
      <c r="AG297" s="1172"/>
      <c r="AH297" s="1172"/>
      <c r="AI297" s="1172"/>
      <c r="AJ297" s="1172"/>
      <c r="AK297" s="1172"/>
      <c r="AL297" s="1172"/>
      <c r="AM297" s="1172"/>
      <c r="AN297" s="1172"/>
      <c r="AO297" s="1172"/>
      <c r="AP297" s="1172"/>
      <c r="AQ297" s="1172"/>
      <c r="AR297" s="1172"/>
      <c r="AS297" s="1172"/>
      <c r="AT297" s="1172"/>
      <c r="AU297" s="1172"/>
      <c r="AV297" s="1172"/>
      <c r="AW297" s="1172"/>
      <c r="AX297" s="1172"/>
      <c r="AY297" s="1172"/>
      <c r="AZ297" s="1172"/>
      <c r="BA297" s="1172"/>
      <c r="BB297" s="1172"/>
      <c r="BC297" s="1172"/>
      <c r="BD297" s="1172"/>
      <c r="BE297" s="1172"/>
      <c r="BF297" s="1172"/>
      <c r="BG297" s="1172"/>
      <c r="BH297" s="1172"/>
      <c r="BI297" s="1172"/>
      <c r="BJ297" s="1172"/>
      <c r="BK297" s="1172"/>
      <c r="BL297" s="1172"/>
      <c r="BM297" s="1172"/>
      <c r="BN297" s="1172"/>
      <c r="BO297" s="1172"/>
      <c r="BP297" s="1172"/>
      <c r="BQ297" s="1172"/>
      <c r="BR297" s="1172"/>
      <c r="BS297" s="1172"/>
      <c r="BT297" s="1172"/>
      <c r="BU297" s="1172"/>
      <c r="BV297" s="1172"/>
      <c r="BW297" s="1172"/>
      <c r="BX297" s="1172"/>
      <c r="BY297" s="1172"/>
      <c r="BZ297" s="1172"/>
      <c r="CA297" s="1172"/>
      <c r="CB297" s="1172"/>
      <c r="CC297" s="1172"/>
      <c r="CD297" s="1172"/>
      <c r="CE297" s="1172"/>
      <c r="CF297" s="1172"/>
      <c r="CG297" s="1172"/>
      <c r="CH297" s="1172"/>
      <c r="CI297" s="1172"/>
      <c r="CJ297" s="1172"/>
      <c r="CK297" s="1172"/>
      <c r="CL297" s="1172"/>
      <c r="CM297" s="1172"/>
      <c r="CN297" s="1172"/>
      <c r="CO297" s="1172"/>
      <c r="CP297" s="1172"/>
      <c r="CQ297" s="1172"/>
      <c r="CR297" s="1172"/>
      <c r="CS297" s="1172"/>
      <c r="CT297" s="1172"/>
      <c r="CU297" s="1172"/>
      <c r="CV297" s="1172"/>
      <c r="CW297" s="1172"/>
      <c r="CX297" s="1172"/>
      <c r="CY297" s="1172"/>
      <c r="CZ297" s="1172"/>
      <c r="DA297" s="1172"/>
      <c r="DB297" s="1172"/>
      <c r="DC297" s="1172"/>
      <c r="DD297" s="1172"/>
      <c r="DE297" s="1172"/>
      <c r="DF297" s="1172"/>
      <c r="DG297" s="1172"/>
      <c r="DH297" s="1172"/>
      <c r="DI297" s="1172"/>
      <c r="DJ297" s="1172"/>
      <c r="DK297" s="1172"/>
      <c r="DL297" s="1172"/>
      <c r="DM297" s="1172"/>
      <c r="DN297" s="1172"/>
      <c r="DO297" s="1172"/>
      <c r="DP297" s="1172"/>
      <c r="DQ297" s="1172"/>
      <c r="DR297" s="1172"/>
      <c r="DS297" s="1172"/>
      <c r="DT297" s="1172"/>
      <c r="DU297" s="1172"/>
      <c r="DV297" s="1172"/>
      <c r="DW297" s="1172"/>
      <c r="DX297" s="1172"/>
      <c r="DY297" s="1172"/>
      <c r="DZ297" s="1172"/>
      <c r="EA297" s="1172"/>
      <c r="EB297" s="1172"/>
      <c r="EC297" s="1172"/>
      <c r="ED297" s="1172"/>
      <c r="EE297" s="1172"/>
      <c r="EF297" s="1172"/>
      <c r="EG297" s="1172"/>
      <c r="EH297" s="1172"/>
      <c r="EI297" s="1172"/>
      <c r="EJ297" s="1172"/>
      <c r="EK297" s="1172"/>
      <c r="EL297" s="1172"/>
      <c r="EM297" s="1172"/>
      <c r="EN297" s="1172"/>
      <c r="EO297" s="1172"/>
      <c r="EP297" s="1172"/>
      <c r="EQ297" s="1172"/>
      <c r="ER297" s="1172"/>
      <c r="ES297" s="1172"/>
      <c r="ET297" s="1172"/>
      <c r="EU297" s="1172"/>
      <c r="EV297" s="1172"/>
      <c r="EW297" s="1172"/>
      <c r="EX297" s="1172"/>
      <c r="EY297" s="1172"/>
      <c r="EZ297" s="1172"/>
      <c r="FA297" s="1172"/>
      <c r="FB297" s="1172"/>
      <c r="FC297" s="1172"/>
      <c r="FD297" s="1172"/>
      <c r="FE297" s="1172"/>
      <c r="FF297" s="1172"/>
      <c r="FG297" s="1172"/>
      <c r="FH297" s="1172"/>
      <c r="FI297" s="1172"/>
      <c r="FJ297" s="1172"/>
      <c r="FK297" s="1172"/>
      <c r="FL297" s="1172"/>
      <c r="FM297" s="1172"/>
      <c r="FN297" s="1172"/>
      <c r="FO297" s="1172"/>
      <c r="FP297" s="1172"/>
      <c r="FQ297" s="1172"/>
      <c r="FR297" s="1172"/>
      <c r="FS297" s="1172"/>
      <c r="FT297" s="1172"/>
      <c r="FU297" s="1172"/>
      <c r="FV297" s="1172"/>
      <c r="FW297" s="1172"/>
      <c r="FX297" s="1172"/>
      <c r="FY297" s="1172"/>
      <c r="FZ297" s="1172"/>
      <c r="GA297" s="1172"/>
      <c r="GB297" s="1172"/>
      <c r="GC297" s="1172"/>
      <c r="GD297" s="1172"/>
      <c r="GE297" s="1172"/>
      <c r="GF297" s="1172"/>
      <c r="GG297" s="1172"/>
      <c r="GH297" s="1172"/>
      <c r="GI297" s="1172"/>
      <c r="GJ297" s="1172"/>
      <c r="GK297" s="1172"/>
      <c r="GL297" s="1172"/>
      <c r="GM297" s="1172"/>
      <c r="GN297" s="1172"/>
      <c r="GO297" s="1172"/>
      <c r="GP297" s="1172"/>
      <c r="GQ297" s="1172"/>
      <c r="GR297" s="1172"/>
      <c r="GS297" s="1172"/>
      <c r="GT297" s="1172"/>
      <c r="GU297" s="1172"/>
      <c r="GV297" s="1172"/>
      <c r="GW297" s="1172"/>
      <c r="GX297" s="1172"/>
      <c r="GY297" s="1172"/>
      <c r="GZ297" s="1172"/>
      <c r="HA297" s="1172"/>
      <c r="HB297" s="1172"/>
      <c r="HC297" s="1172"/>
      <c r="HD297" s="1172"/>
      <c r="HE297" s="1172"/>
      <c r="HF297" s="1172"/>
      <c r="HG297" s="1172"/>
      <c r="HH297" s="1172"/>
      <c r="HI297" s="1172"/>
      <c r="HJ297" s="1172"/>
      <c r="HK297" s="1172"/>
      <c r="HL297" s="1172"/>
      <c r="HM297" s="1172"/>
      <c r="HN297" s="1172"/>
      <c r="HO297" s="1172"/>
      <c r="HP297" s="1172"/>
      <c r="HQ297" s="1172"/>
      <c r="HR297" s="1172"/>
      <c r="HS297" s="1172"/>
      <c r="HT297" s="1172"/>
      <c r="HU297" s="1172"/>
      <c r="HV297" s="1172"/>
      <c r="HW297" s="1172"/>
      <c r="HX297" s="1172"/>
      <c r="HY297" s="1172"/>
      <c r="HZ297" s="1172"/>
      <c r="IA297" s="1172"/>
      <c r="IB297" s="1172"/>
      <c r="IC297" s="1172"/>
      <c r="ID297" s="1172"/>
      <c r="IE297" s="1172"/>
      <c r="IF297" s="1172"/>
      <c r="IG297" s="1172"/>
      <c r="IH297" s="1172"/>
      <c r="II297" s="1172"/>
      <c r="IJ297" s="1172"/>
      <c r="IK297" s="1172"/>
      <c r="IL297" s="1172"/>
      <c r="IM297" s="1172"/>
      <c r="IN297" s="1172"/>
      <c r="IO297" s="1172"/>
      <c r="IP297" s="1172"/>
      <c r="IQ297" s="1172"/>
      <c r="IR297" s="1172"/>
      <c r="IS297" s="1172"/>
      <c r="IT297" s="1172"/>
      <c r="IU297" s="1172"/>
      <c r="IV297" s="1172"/>
    </row>
    <row r="298" spans="1:256 1523:1523" s="158" customFormat="1" ht="22.5" customHeight="1">
      <c r="B298" s="168" t="s">
        <v>798</v>
      </c>
      <c r="C298" s="2046" t="s">
        <v>2871</v>
      </c>
      <c r="D298" s="2046"/>
      <c r="E298" s="2046"/>
      <c r="F298" s="2046"/>
      <c r="G298" s="2046"/>
      <c r="H298" s="2046"/>
      <c r="I298" s="2046"/>
      <c r="J298" s="2046"/>
      <c r="K298" s="2046"/>
      <c r="L298" s="2046"/>
      <c r="M298" s="2046"/>
      <c r="N298" s="2046"/>
      <c r="O298" s="557" t="s">
        <v>798</v>
      </c>
      <c r="P298" s="1172"/>
      <c r="Q298" s="60"/>
      <c r="AE298" s="597"/>
      <c r="AF298" s="597"/>
    </row>
    <row r="299" spans="1:256 1523:1523" s="158" customFormat="1" ht="11.25" customHeight="1">
      <c r="A299" s="170"/>
      <c r="C299" s="259" t="s">
        <v>1858</v>
      </c>
      <c r="D299" s="2030" t="s">
        <v>1028</v>
      </c>
      <c r="E299" s="2031"/>
      <c r="F299" s="2031"/>
      <c r="G299" s="2031"/>
      <c r="H299" s="2031"/>
      <c r="I299" s="2031"/>
      <c r="J299" s="2031"/>
      <c r="K299" s="2031"/>
      <c r="L299" s="2031"/>
      <c r="M299" s="2031"/>
      <c r="N299" s="2032"/>
      <c r="O299" s="263" t="s">
        <v>1858</v>
      </c>
      <c r="P299" s="1092"/>
      <c r="Q299" s="1387"/>
      <c r="AE299" s="597"/>
      <c r="AF299" s="597"/>
    </row>
    <row r="300" spans="1:256 1523:1523" s="158" customFormat="1" ht="11.25" customHeight="1">
      <c r="A300" s="170"/>
      <c r="C300" s="259" t="s">
        <v>1859</v>
      </c>
      <c r="D300" s="2022" t="s">
        <v>1028</v>
      </c>
      <c r="E300" s="2047"/>
      <c r="F300" s="2047"/>
      <c r="G300" s="2047"/>
      <c r="H300" s="2047"/>
      <c r="I300" s="2047"/>
      <c r="J300" s="2047"/>
      <c r="K300" s="2047"/>
      <c r="L300" s="2047"/>
      <c r="M300" s="2047"/>
      <c r="N300" s="2048"/>
      <c r="O300" s="263" t="s">
        <v>1859</v>
      </c>
      <c r="P300" s="1092"/>
      <c r="Q300" s="1387"/>
      <c r="AE300" s="597"/>
      <c r="AF300" s="597"/>
    </row>
    <row r="301" spans="1:256 1523:1523" ht="3" customHeight="1">
      <c r="A301" s="1172"/>
      <c r="B301" s="1172"/>
      <c r="C301" s="1172"/>
      <c r="D301" s="1172"/>
      <c r="E301" s="1172"/>
      <c r="F301" s="1172"/>
      <c r="G301" s="1172"/>
      <c r="H301" s="1172"/>
      <c r="I301" s="1172"/>
      <c r="J301" s="1172"/>
      <c r="K301" s="1172"/>
      <c r="L301" s="1172"/>
      <c r="M301" s="1172"/>
      <c r="N301" s="1172"/>
      <c r="O301" s="1172"/>
      <c r="P301" s="1172"/>
      <c r="Q301" s="1172"/>
      <c r="R301" s="1172"/>
      <c r="S301" s="1172"/>
      <c r="T301" s="1172"/>
      <c r="U301" s="1172"/>
      <c r="V301" s="1172"/>
      <c r="W301" s="1172"/>
      <c r="X301" s="1172"/>
      <c r="Y301" s="1172"/>
      <c r="Z301" s="1172"/>
      <c r="AA301" s="1172"/>
      <c r="AB301" s="1172"/>
      <c r="AC301" s="1172"/>
      <c r="AD301" s="1172"/>
      <c r="AE301" s="60"/>
      <c r="AF301" s="60"/>
      <c r="AG301" s="1172"/>
      <c r="AH301" s="1172"/>
      <c r="AI301" s="1172"/>
      <c r="AJ301" s="1172"/>
      <c r="AK301" s="1172"/>
      <c r="AL301" s="1172"/>
      <c r="AM301" s="1172"/>
      <c r="AN301" s="1172"/>
      <c r="AO301" s="1172"/>
      <c r="AP301" s="1172"/>
      <c r="AQ301" s="1172"/>
      <c r="AR301" s="1172"/>
      <c r="AS301" s="1172"/>
      <c r="AT301" s="1172"/>
      <c r="AU301" s="1172"/>
      <c r="AV301" s="1172"/>
      <c r="AW301" s="1172"/>
      <c r="AX301" s="1172"/>
      <c r="AY301" s="1172"/>
      <c r="AZ301" s="1172"/>
      <c r="BA301" s="1172"/>
      <c r="BB301" s="1172"/>
      <c r="BC301" s="1172"/>
      <c r="BD301" s="1172"/>
      <c r="BE301" s="1172"/>
      <c r="BF301" s="1172"/>
      <c r="BG301" s="1172"/>
      <c r="BH301" s="1172"/>
      <c r="BI301" s="1172"/>
      <c r="BJ301" s="1172"/>
      <c r="BK301" s="1172"/>
      <c r="BL301" s="1172"/>
      <c r="BM301" s="1172"/>
      <c r="BN301" s="1172"/>
      <c r="BO301" s="1172"/>
      <c r="BP301" s="1172"/>
      <c r="BQ301" s="1172"/>
      <c r="BR301" s="1172"/>
      <c r="BS301" s="1172"/>
      <c r="BT301" s="1172"/>
      <c r="BU301" s="1172"/>
      <c r="BV301" s="1172"/>
      <c r="BW301" s="1172"/>
      <c r="BX301" s="1172"/>
      <c r="BY301" s="1172"/>
      <c r="BZ301" s="1172"/>
      <c r="CA301" s="1172"/>
      <c r="CB301" s="1172"/>
      <c r="CC301" s="1172"/>
      <c r="CD301" s="1172"/>
      <c r="CE301" s="1172"/>
      <c r="CF301" s="1172"/>
      <c r="CG301" s="1172"/>
      <c r="CH301" s="1172"/>
      <c r="CI301" s="1172"/>
      <c r="CJ301" s="1172"/>
      <c r="CK301" s="1172"/>
      <c r="CL301" s="1172"/>
      <c r="CM301" s="1172"/>
      <c r="CN301" s="1172"/>
      <c r="CO301" s="1172"/>
      <c r="CP301" s="1172"/>
      <c r="CQ301" s="1172"/>
      <c r="CR301" s="1172"/>
      <c r="CS301" s="1172"/>
      <c r="CT301" s="1172"/>
      <c r="CU301" s="1172"/>
      <c r="CV301" s="1172"/>
      <c r="CW301" s="1172"/>
      <c r="CX301" s="1172"/>
      <c r="CY301" s="1172"/>
      <c r="CZ301" s="1172"/>
      <c r="DA301" s="1172"/>
      <c r="DB301" s="1172"/>
      <c r="DC301" s="1172"/>
      <c r="DD301" s="1172"/>
      <c r="DE301" s="1172"/>
      <c r="DF301" s="1172"/>
      <c r="DG301" s="1172"/>
      <c r="DH301" s="1172"/>
      <c r="DI301" s="1172"/>
      <c r="DJ301" s="1172"/>
      <c r="DK301" s="1172"/>
      <c r="DL301" s="1172"/>
      <c r="DM301" s="1172"/>
      <c r="DN301" s="1172"/>
      <c r="DO301" s="1172"/>
      <c r="DP301" s="1172"/>
      <c r="DQ301" s="1172"/>
      <c r="DR301" s="1172"/>
      <c r="DS301" s="1172"/>
      <c r="DT301" s="1172"/>
      <c r="DU301" s="1172"/>
      <c r="DV301" s="1172"/>
      <c r="DW301" s="1172"/>
      <c r="DX301" s="1172"/>
      <c r="DY301" s="1172"/>
      <c r="DZ301" s="1172"/>
      <c r="EA301" s="1172"/>
      <c r="EB301" s="1172"/>
      <c r="EC301" s="1172"/>
      <c r="ED301" s="1172"/>
      <c r="EE301" s="1172"/>
      <c r="EF301" s="1172"/>
      <c r="EG301" s="1172"/>
      <c r="EH301" s="1172"/>
      <c r="EI301" s="1172"/>
      <c r="EJ301" s="1172"/>
      <c r="EK301" s="1172"/>
      <c r="EL301" s="1172"/>
      <c r="EM301" s="1172"/>
      <c r="EN301" s="1172"/>
      <c r="EO301" s="1172"/>
      <c r="EP301" s="1172"/>
      <c r="EQ301" s="1172"/>
      <c r="ER301" s="1172"/>
      <c r="ES301" s="1172"/>
      <c r="ET301" s="1172"/>
      <c r="EU301" s="1172"/>
      <c r="EV301" s="1172"/>
      <c r="EW301" s="1172"/>
      <c r="EX301" s="1172"/>
      <c r="EY301" s="1172"/>
      <c r="EZ301" s="1172"/>
      <c r="FA301" s="1172"/>
      <c r="FB301" s="1172"/>
      <c r="FC301" s="1172"/>
      <c r="FD301" s="1172"/>
      <c r="FE301" s="1172"/>
      <c r="FF301" s="1172"/>
      <c r="FG301" s="1172"/>
      <c r="FH301" s="1172"/>
      <c r="FI301" s="1172"/>
      <c r="FJ301" s="1172"/>
      <c r="FK301" s="1172"/>
      <c r="FL301" s="1172"/>
      <c r="FM301" s="1172"/>
      <c r="FN301" s="1172"/>
      <c r="FO301" s="1172"/>
      <c r="FP301" s="1172"/>
      <c r="FQ301" s="1172"/>
      <c r="FR301" s="1172"/>
      <c r="FS301" s="1172"/>
      <c r="FT301" s="1172"/>
      <c r="FU301" s="1172"/>
      <c r="FV301" s="1172"/>
      <c r="FW301" s="1172"/>
      <c r="FX301" s="1172"/>
      <c r="FY301" s="1172"/>
      <c r="FZ301" s="1172"/>
      <c r="GA301" s="1172"/>
      <c r="GB301" s="1172"/>
      <c r="GC301" s="1172"/>
      <c r="GD301" s="1172"/>
      <c r="GE301" s="1172"/>
      <c r="GF301" s="1172"/>
      <c r="GG301" s="1172"/>
      <c r="GH301" s="1172"/>
      <c r="GI301" s="1172"/>
      <c r="GJ301" s="1172"/>
      <c r="GK301" s="1172"/>
      <c r="GL301" s="1172"/>
      <c r="GM301" s="1172"/>
      <c r="GN301" s="1172"/>
      <c r="GO301" s="1172"/>
      <c r="GP301" s="1172"/>
      <c r="GQ301" s="1172"/>
      <c r="GR301" s="1172"/>
      <c r="GS301" s="1172"/>
      <c r="GT301" s="1172"/>
      <c r="GU301" s="1172"/>
      <c r="GV301" s="1172"/>
      <c r="GW301" s="1172"/>
      <c r="GX301" s="1172"/>
      <c r="GY301" s="1172"/>
      <c r="GZ301" s="1172"/>
      <c r="HA301" s="1172"/>
      <c r="HB301" s="1172"/>
      <c r="HC301" s="1172"/>
      <c r="HD301" s="1172"/>
      <c r="HE301" s="1172"/>
      <c r="HF301" s="1172"/>
      <c r="HG301" s="1172"/>
      <c r="HH301" s="1172"/>
      <c r="HI301" s="1172"/>
      <c r="HJ301" s="1172"/>
      <c r="HK301" s="1172"/>
      <c r="HL301" s="1172"/>
      <c r="HM301" s="1172"/>
      <c r="HN301" s="1172"/>
      <c r="HO301" s="1172"/>
      <c r="HP301" s="1172"/>
      <c r="HQ301" s="1172"/>
      <c r="HR301" s="1172"/>
      <c r="HS301" s="1172"/>
      <c r="HT301" s="1172"/>
      <c r="HU301" s="1172"/>
      <c r="HV301" s="1172"/>
      <c r="HW301" s="1172"/>
      <c r="HX301" s="1172"/>
      <c r="HY301" s="1172"/>
      <c r="HZ301" s="1172"/>
      <c r="IA301" s="1172"/>
      <c r="IB301" s="1172"/>
      <c r="IC301" s="1172"/>
      <c r="ID301" s="1172"/>
      <c r="IE301" s="1172"/>
      <c r="IF301" s="1172"/>
      <c r="IG301" s="1172"/>
      <c r="IH301" s="1172"/>
      <c r="II301" s="1172"/>
      <c r="IJ301" s="1172"/>
      <c r="IK301" s="1172"/>
      <c r="IL301" s="1172"/>
      <c r="IM301" s="1172"/>
      <c r="IN301" s="1172"/>
      <c r="IO301" s="1172"/>
      <c r="IP301" s="1172"/>
      <c r="IQ301" s="1172"/>
      <c r="IR301" s="1172"/>
      <c r="IS301" s="1172"/>
      <c r="IT301" s="1172"/>
      <c r="IU301" s="1172"/>
      <c r="IV301" s="1172"/>
    </row>
    <row r="302" spans="1:256 1523:1523" ht="11.25" customHeight="1">
      <c r="B302" s="167" t="s">
        <v>1994</v>
      </c>
      <c r="D302" s="167"/>
      <c r="E302" s="167"/>
      <c r="F302" s="167"/>
      <c r="G302" s="167"/>
      <c r="H302" s="48"/>
      <c r="I302" s="1192"/>
      <c r="J302" s="1192"/>
      <c r="K302" s="1192"/>
      <c r="L302" s="1172"/>
      <c r="M302" s="1172"/>
      <c r="N302" s="1172"/>
      <c r="O302" s="1172"/>
      <c r="P302" s="1172"/>
      <c r="Q302" s="60"/>
    </row>
    <row r="303" spans="1:256 1523:1523" ht="11.45" customHeight="1">
      <c r="A303" s="2008" t="s">
        <v>3771</v>
      </c>
      <c r="B303" s="2009"/>
      <c r="C303" s="2009"/>
      <c r="D303" s="2009"/>
      <c r="E303" s="2009"/>
      <c r="F303" s="2009"/>
      <c r="G303" s="2009"/>
      <c r="H303" s="2009"/>
      <c r="I303" s="2009"/>
      <c r="J303" s="2009"/>
      <c r="K303" s="2009"/>
      <c r="L303" s="2009"/>
      <c r="M303" s="2009"/>
      <c r="N303" s="2009"/>
      <c r="O303" s="2009"/>
      <c r="P303" s="2009"/>
      <c r="Q303" s="2010"/>
      <c r="R303" s="595" t="s">
        <v>1331</v>
      </c>
      <c r="S303" s="145"/>
      <c r="U303" s="162"/>
      <c r="V303" s="162"/>
      <c r="W303" s="162"/>
      <c r="X303" s="162"/>
      <c r="Y303" s="162"/>
      <c r="Z303" s="162"/>
      <c r="AA303" s="162"/>
      <c r="AB303" s="162"/>
      <c r="AC303" s="162"/>
      <c r="AD303" s="162"/>
      <c r="AE303" s="596"/>
    </row>
    <row r="304" spans="1:256 1523:1523" ht="11.25" customHeight="1">
      <c r="B304" s="163" t="s">
        <v>1995</v>
      </c>
      <c r="C304" s="164"/>
      <c r="D304" s="1177"/>
      <c r="E304" s="1177"/>
      <c r="F304" s="1177"/>
      <c r="G304" s="1177"/>
      <c r="H304" s="1177"/>
      <c r="I304" s="1177"/>
      <c r="J304" s="1177"/>
      <c r="K304" s="1177"/>
      <c r="L304" s="1177"/>
      <c r="M304" s="1177"/>
      <c r="N304" s="1177"/>
      <c r="O304" s="1177"/>
      <c r="P304" s="1177"/>
      <c r="Q304" s="1177"/>
    </row>
    <row r="305" spans="1:31" ht="11.45" customHeight="1">
      <c r="A305" s="2013"/>
      <c r="B305" s="2014"/>
      <c r="C305" s="2014"/>
      <c r="D305" s="2014"/>
      <c r="E305" s="2014"/>
      <c r="F305" s="2014"/>
      <c r="G305" s="2014"/>
      <c r="H305" s="2014"/>
      <c r="I305" s="2014"/>
      <c r="J305" s="2014"/>
      <c r="K305" s="2014"/>
      <c r="L305" s="2014"/>
      <c r="M305" s="2014"/>
      <c r="N305" s="2014"/>
      <c r="O305" s="2014"/>
      <c r="P305" s="2014"/>
      <c r="Q305" s="2015"/>
    </row>
    <row r="306" spans="1:31" ht="3" customHeight="1">
      <c r="A306" s="1172"/>
      <c r="B306" s="1192"/>
      <c r="C306" s="1177"/>
      <c r="D306" s="1177"/>
      <c r="E306" s="1177"/>
      <c r="F306" s="1177"/>
      <c r="G306" s="1177"/>
      <c r="H306" s="1177"/>
      <c r="I306" s="1177"/>
      <c r="J306" s="1177"/>
      <c r="K306" s="1177"/>
      <c r="L306" s="1177"/>
      <c r="M306" s="1177"/>
      <c r="N306" s="1177"/>
      <c r="O306" s="1177"/>
      <c r="P306" s="1177"/>
      <c r="Q306" s="1172"/>
    </row>
    <row r="307" spans="1:31" ht="13.9" customHeight="1">
      <c r="A307" s="1181">
        <v>20</v>
      </c>
      <c r="B307" s="1181" t="s">
        <v>3544</v>
      </c>
      <c r="C307" s="1181"/>
      <c r="D307" s="1177"/>
      <c r="E307" s="1177"/>
      <c r="F307" s="1177"/>
      <c r="G307" s="1177"/>
      <c r="H307" s="1177"/>
      <c r="O307" s="157" t="s">
        <v>1996</v>
      </c>
      <c r="P307" s="2016"/>
      <c r="Q307" s="2017"/>
    </row>
    <row r="308" spans="1:31" ht="11.45" customHeight="1">
      <c r="B308" s="65" t="s">
        <v>3545</v>
      </c>
      <c r="P308" s="1080" t="s">
        <v>3698</v>
      </c>
      <c r="Q308" s="1384"/>
    </row>
    <row r="309" spans="1:31" ht="11.45" customHeight="1">
      <c r="B309" s="171" t="s">
        <v>2500</v>
      </c>
      <c r="P309" s="1080" t="s">
        <v>3699</v>
      </c>
      <c r="Q309" s="1384"/>
    </row>
    <row r="310" spans="1:31" ht="11.45" customHeight="1">
      <c r="B310" s="65" t="s">
        <v>3546</v>
      </c>
      <c r="M310" s="2055" t="s">
        <v>3549</v>
      </c>
      <c r="N310" s="2056"/>
      <c r="O310" s="2057"/>
    </row>
    <row r="311" spans="1:31" ht="11.45" customHeight="1">
      <c r="B311" s="503" t="s">
        <v>2501</v>
      </c>
      <c r="M311" s="2027" t="s">
        <v>3548</v>
      </c>
      <c r="N311" s="2028"/>
      <c r="O311" s="2029"/>
    </row>
    <row r="312" spans="1:31" ht="11.25" customHeight="1">
      <c r="B312" s="167" t="s">
        <v>1994</v>
      </c>
      <c r="D312" s="167"/>
      <c r="E312" s="167"/>
      <c r="F312" s="167"/>
      <c r="G312" s="167"/>
      <c r="H312" s="48"/>
      <c r="I312" s="1192"/>
      <c r="J312" s="1192"/>
      <c r="K312" s="1192"/>
      <c r="L312" s="1172"/>
      <c r="M312" s="1172"/>
      <c r="N312" s="1172"/>
      <c r="O312" s="1172"/>
      <c r="P312" s="1172"/>
      <c r="Q312" s="60"/>
    </row>
    <row r="313" spans="1:31" ht="24.75" customHeight="1">
      <c r="A313" s="2008" t="s">
        <v>3854</v>
      </c>
      <c r="B313" s="2009"/>
      <c r="C313" s="2009"/>
      <c r="D313" s="2009"/>
      <c r="E313" s="2009"/>
      <c r="F313" s="2009"/>
      <c r="G313" s="2009"/>
      <c r="H313" s="2009"/>
      <c r="I313" s="2009"/>
      <c r="J313" s="2009"/>
      <c r="K313" s="2009"/>
      <c r="L313" s="2009"/>
      <c r="M313" s="2009"/>
      <c r="N313" s="2009"/>
      <c r="O313" s="2009"/>
      <c r="P313" s="2009"/>
      <c r="Q313" s="2010"/>
      <c r="R313" s="562" t="s">
        <v>1331</v>
      </c>
      <c r="S313" s="563"/>
      <c r="U313" s="162"/>
      <c r="V313" s="162"/>
      <c r="W313" s="162"/>
      <c r="X313" s="162"/>
      <c r="Y313" s="162"/>
      <c r="Z313" s="162"/>
      <c r="AA313" s="162"/>
      <c r="AB313" s="162"/>
      <c r="AC313" s="162"/>
      <c r="AD313" s="162"/>
      <c r="AE313" s="596"/>
    </row>
    <row r="314" spans="1:31" ht="11.25" customHeight="1">
      <c r="B314" s="163" t="s">
        <v>1995</v>
      </c>
      <c r="C314" s="164"/>
      <c r="D314" s="1177"/>
      <c r="E314" s="1177"/>
      <c r="F314" s="1177"/>
      <c r="G314" s="1177"/>
      <c r="H314" s="1177"/>
      <c r="I314" s="1177"/>
      <c r="J314" s="1177"/>
      <c r="K314" s="1177"/>
      <c r="L314" s="1177"/>
      <c r="M314" s="1177"/>
      <c r="N314" s="1177"/>
      <c r="O314" s="1177"/>
      <c r="P314" s="1177"/>
      <c r="Q314" s="1177"/>
    </row>
    <row r="315" spans="1:31" ht="13.15" customHeight="1">
      <c r="A315" s="2013"/>
      <c r="B315" s="2014"/>
      <c r="C315" s="2014"/>
      <c r="D315" s="2014"/>
      <c r="E315" s="2014"/>
      <c r="F315" s="2014"/>
      <c r="G315" s="2014"/>
      <c r="H315" s="2014"/>
      <c r="I315" s="2014"/>
      <c r="J315" s="2014"/>
      <c r="K315" s="2014"/>
      <c r="L315" s="2014"/>
      <c r="M315" s="2014"/>
      <c r="N315" s="2014"/>
      <c r="O315" s="2014"/>
      <c r="P315" s="2014"/>
      <c r="Q315" s="2015"/>
    </row>
    <row r="316" spans="1:31" ht="4.1500000000000004" customHeight="1">
      <c r="B316" s="1192"/>
      <c r="C316" s="1177"/>
      <c r="D316" s="1177"/>
      <c r="E316" s="1177"/>
      <c r="F316" s="1177"/>
      <c r="G316" s="1177"/>
      <c r="H316" s="1177"/>
      <c r="I316" s="1177"/>
      <c r="J316" s="1177"/>
      <c r="K316" s="1177"/>
      <c r="L316" s="1177"/>
      <c r="M316" s="1177"/>
      <c r="Q316" s="60"/>
    </row>
    <row r="317" spans="1:31" ht="13.9" customHeight="1">
      <c r="A317" s="1181">
        <v>21</v>
      </c>
      <c r="B317" s="5" t="s">
        <v>2864</v>
      </c>
      <c r="C317" s="5"/>
      <c r="D317" s="101"/>
      <c r="E317" s="1177"/>
      <c r="F317" s="1177"/>
      <c r="G317" s="1177"/>
      <c r="H317" s="1177"/>
      <c r="I317" s="1177"/>
      <c r="J317" s="1177"/>
      <c r="K317" s="1177"/>
      <c r="L317" s="1177"/>
      <c r="M317" s="1177"/>
      <c r="O317" s="157" t="s">
        <v>1996</v>
      </c>
      <c r="P317" s="2016"/>
      <c r="Q317" s="2017"/>
    </row>
    <row r="318" spans="1:31" ht="22.15" customHeight="1">
      <c r="B318" s="168" t="s">
        <v>2117</v>
      </c>
      <c r="C318" s="2003" t="s">
        <v>3547</v>
      </c>
      <c r="D318" s="2003"/>
      <c r="E318" s="2003"/>
      <c r="F318" s="2003"/>
      <c r="G318" s="2003"/>
      <c r="H318" s="2003"/>
      <c r="I318" s="2003"/>
      <c r="J318" s="2003"/>
      <c r="K318" s="2003"/>
      <c r="L318" s="2003"/>
      <c r="M318" s="2003"/>
      <c r="N318" s="2003"/>
      <c r="O318" s="192" t="s">
        <v>2117</v>
      </c>
      <c r="P318" s="1080" t="s">
        <v>3699</v>
      </c>
      <c r="Q318" s="1384"/>
    </row>
    <row r="319" spans="1:31" ht="12" customHeight="1">
      <c r="B319" s="168" t="s">
        <v>2120</v>
      </c>
      <c r="C319" s="2003" t="s">
        <v>3584</v>
      </c>
      <c r="D319" s="2003"/>
      <c r="E319" s="2003"/>
      <c r="F319" s="2003"/>
      <c r="G319" s="2003"/>
      <c r="H319" s="2003"/>
      <c r="I319" s="2003"/>
      <c r="J319" s="2003"/>
      <c r="K319" s="2003"/>
      <c r="L319" s="2003"/>
      <c r="M319" s="2003"/>
      <c r="N319" s="2003"/>
      <c r="O319" s="192" t="s">
        <v>2120</v>
      </c>
      <c r="P319" s="1080" t="s">
        <v>3699</v>
      </c>
      <c r="Q319" s="1384"/>
    </row>
    <row r="320" spans="1:31" ht="12" customHeight="1">
      <c r="B320" s="168" t="s">
        <v>798</v>
      </c>
      <c r="C320" s="173" t="s">
        <v>3280</v>
      </c>
      <c r="D320" s="173"/>
      <c r="E320" s="173"/>
      <c r="F320" s="173"/>
      <c r="G320" s="173"/>
      <c r="H320" s="173"/>
      <c r="I320" s="173"/>
      <c r="J320" s="173"/>
      <c r="K320" s="173"/>
      <c r="L320" s="173"/>
      <c r="M320" s="173"/>
      <c r="O320" s="192" t="s">
        <v>798</v>
      </c>
      <c r="P320" s="1080" t="s">
        <v>3698</v>
      </c>
      <c r="Q320" s="1384"/>
    </row>
    <row r="321" spans="1:32" ht="12" customHeight="1">
      <c r="B321" s="168" t="s">
        <v>2252</v>
      </c>
      <c r="C321" s="2003" t="s">
        <v>3151</v>
      </c>
      <c r="D321" s="2003"/>
      <c r="E321" s="2003"/>
      <c r="F321" s="2003"/>
      <c r="G321" s="2003"/>
      <c r="H321" s="2003"/>
      <c r="I321" s="2003"/>
      <c r="J321" s="2003"/>
      <c r="K321" s="2003"/>
      <c r="L321" s="2003"/>
      <c r="M321" s="2003"/>
      <c r="N321" s="2003"/>
      <c r="O321" s="192" t="s">
        <v>2252</v>
      </c>
      <c r="P321" s="1080" t="s">
        <v>3699</v>
      </c>
      <c r="Q321" s="1384"/>
    </row>
    <row r="322" spans="1:32" ht="12" customHeight="1">
      <c r="B322" s="168" t="s">
        <v>1856</v>
      </c>
      <c r="C322" s="2003" t="s">
        <v>3281</v>
      </c>
      <c r="D322" s="2003"/>
      <c r="E322" s="2003"/>
      <c r="F322" s="2003"/>
      <c r="G322" s="2003"/>
      <c r="H322" s="2003"/>
      <c r="I322" s="2003"/>
      <c r="J322" s="2003"/>
      <c r="K322" s="2003"/>
      <c r="L322" s="2003"/>
      <c r="M322" s="2003"/>
      <c r="N322" s="2003"/>
      <c r="O322" s="192" t="s">
        <v>1856</v>
      </c>
      <c r="P322" s="1080" t="s">
        <v>3699</v>
      </c>
      <c r="Q322" s="1384"/>
    </row>
    <row r="323" spans="1:32" ht="11.25" customHeight="1">
      <c r="B323" s="167" t="s">
        <v>1994</v>
      </c>
      <c r="D323" s="167"/>
      <c r="E323" s="167"/>
      <c r="F323" s="167"/>
      <c r="G323" s="167"/>
      <c r="H323" s="48"/>
      <c r="I323" s="1192"/>
      <c r="J323" s="1192"/>
      <c r="K323" s="1192"/>
      <c r="L323" s="1172"/>
      <c r="M323" s="1172"/>
      <c r="N323" s="1172"/>
      <c r="O323" s="1172"/>
      <c r="P323" s="1172"/>
      <c r="Q323" s="60"/>
    </row>
    <row r="324" spans="1:32" ht="22.5" customHeight="1">
      <c r="A324" s="2008" t="s">
        <v>3837</v>
      </c>
      <c r="B324" s="2009"/>
      <c r="C324" s="2009"/>
      <c r="D324" s="2009"/>
      <c r="E324" s="2009"/>
      <c r="F324" s="2009"/>
      <c r="G324" s="2009"/>
      <c r="H324" s="2009"/>
      <c r="I324" s="2009"/>
      <c r="J324" s="2009"/>
      <c r="K324" s="2009"/>
      <c r="L324" s="2009"/>
      <c r="M324" s="2009"/>
      <c r="N324" s="2009"/>
      <c r="O324" s="2009"/>
      <c r="P324" s="2009"/>
      <c r="Q324" s="2010"/>
      <c r="U324" s="162"/>
      <c r="V324" s="162"/>
      <c r="W324" s="162"/>
      <c r="X324" s="162"/>
      <c r="Y324" s="162"/>
      <c r="Z324" s="162"/>
      <c r="AA324" s="162"/>
      <c r="AB324" s="162"/>
      <c r="AC324" s="162"/>
      <c r="AD324" s="162"/>
      <c r="AE324" s="596"/>
    </row>
    <row r="325" spans="1:32" ht="11.25" customHeight="1">
      <c r="B325" s="163" t="s">
        <v>1995</v>
      </c>
      <c r="C325" s="164"/>
      <c r="D325" s="1177"/>
      <c r="E325" s="1177"/>
      <c r="F325" s="1177"/>
      <c r="G325" s="1177"/>
      <c r="H325" s="1177"/>
      <c r="I325" s="1177"/>
      <c r="J325" s="1177"/>
      <c r="K325" s="1177"/>
      <c r="L325" s="1177"/>
      <c r="M325" s="1177"/>
      <c r="N325" s="1177"/>
      <c r="O325" s="1177"/>
      <c r="P325" s="1177"/>
      <c r="Q325" s="1177"/>
    </row>
    <row r="326" spans="1:32" ht="11.45" customHeight="1">
      <c r="A326" s="2013"/>
      <c r="B326" s="2014"/>
      <c r="C326" s="2014"/>
      <c r="D326" s="2014"/>
      <c r="E326" s="2014"/>
      <c r="F326" s="2014"/>
      <c r="G326" s="2014"/>
      <c r="H326" s="2014"/>
      <c r="I326" s="2014"/>
      <c r="J326" s="2014"/>
      <c r="K326" s="2014"/>
      <c r="L326" s="2014"/>
      <c r="M326" s="2014"/>
      <c r="N326" s="2014"/>
      <c r="O326" s="2014"/>
      <c r="P326" s="2014"/>
      <c r="Q326" s="2015"/>
    </row>
    <row r="327" spans="1:32" ht="2.25" customHeight="1">
      <c r="A327" s="1172"/>
      <c r="B327" s="1192"/>
      <c r="C327" s="1177"/>
      <c r="D327" s="1177"/>
      <c r="E327" s="1177"/>
      <c r="F327" s="1177"/>
      <c r="G327" s="1177"/>
      <c r="H327" s="1177"/>
      <c r="I327" s="1177"/>
      <c r="J327" s="1177"/>
      <c r="K327" s="1177"/>
      <c r="L327" s="1177"/>
      <c r="M327" s="1177"/>
      <c r="N327" s="1177"/>
      <c r="O327" s="1177"/>
      <c r="P327" s="1177"/>
      <c r="Q327" s="60"/>
      <c r="R327" s="9"/>
      <c r="S327" s="9"/>
    </row>
    <row r="328" spans="1:32" ht="13.9" customHeight="1">
      <c r="A328" s="1181">
        <v>22</v>
      </c>
      <c r="B328" s="5" t="s">
        <v>2898</v>
      </c>
      <c r="C328" s="5"/>
      <c r="D328" s="5"/>
      <c r="E328" s="5"/>
      <c r="F328" s="5"/>
      <c r="G328" s="5"/>
      <c r="H328" s="1177"/>
      <c r="I328" s="1177"/>
      <c r="J328" s="1177"/>
      <c r="K328" s="1177"/>
      <c r="L328" s="1177"/>
      <c r="M328" s="1177"/>
      <c r="O328" s="157" t="s">
        <v>1996</v>
      </c>
      <c r="P328" s="2016"/>
      <c r="Q328" s="2017"/>
    </row>
    <row r="329" spans="1:32" ht="12" customHeight="1">
      <c r="B329" s="55" t="s">
        <v>2117</v>
      </c>
      <c r="C329" s="138" t="s">
        <v>2894</v>
      </c>
      <c r="D329" s="1187"/>
      <c r="E329" s="1187"/>
      <c r="F329" s="1187"/>
      <c r="G329" s="1187"/>
      <c r="H329" s="1187"/>
      <c r="I329" s="50"/>
      <c r="J329" s="594" t="s">
        <v>2117</v>
      </c>
      <c r="K329" s="2052"/>
      <c r="L329" s="2053"/>
      <c r="M329" s="2053"/>
      <c r="N329" s="2053"/>
      <c r="O329" s="2053"/>
      <c r="P329" s="2054"/>
      <c r="Q329" s="1384"/>
    </row>
    <row r="330" spans="1:32" ht="22.5" customHeight="1">
      <c r="B330" s="168" t="s">
        <v>2120</v>
      </c>
      <c r="C330" s="1983" t="s">
        <v>2893</v>
      </c>
      <c r="D330" s="1983"/>
      <c r="E330" s="1983"/>
      <c r="F330" s="1983"/>
      <c r="G330" s="1983"/>
      <c r="H330" s="1983"/>
      <c r="I330" s="1983"/>
      <c r="J330" s="1983"/>
      <c r="K330" s="1983"/>
      <c r="L330" s="1983"/>
      <c r="M330" s="1983"/>
      <c r="N330" s="1983"/>
      <c r="O330" s="192" t="s">
        <v>2120</v>
      </c>
      <c r="P330" s="1092"/>
      <c r="Q330" s="1384"/>
    </row>
    <row r="331" spans="1:32" ht="11.45" customHeight="1">
      <c r="B331" s="55" t="s">
        <v>798</v>
      </c>
      <c r="C331" s="62" t="s">
        <v>2895</v>
      </c>
      <c r="D331" s="62"/>
      <c r="E331" s="62"/>
      <c r="F331" s="62"/>
      <c r="G331" s="62"/>
      <c r="H331" s="62"/>
      <c r="I331" s="62"/>
      <c r="J331" s="62"/>
      <c r="K331" s="62"/>
      <c r="L331" s="38"/>
      <c r="M331" s="38"/>
      <c r="O331" s="594" t="s">
        <v>798</v>
      </c>
      <c r="P331" s="1080"/>
      <c r="Q331" s="1384"/>
    </row>
    <row r="332" spans="1:32" ht="11.45" customHeight="1">
      <c r="B332" s="55" t="s">
        <v>2252</v>
      </c>
      <c r="C332" s="62" t="s">
        <v>2896</v>
      </c>
      <c r="D332" s="62"/>
      <c r="E332" s="62"/>
      <c r="F332" s="62"/>
      <c r="G332" s="62"/>
      <c r="H332" s="62"/>
      <c r="I332" s="62"/>
      <c r="J332" s="62"/>
      <c r="K332" s="62"/>
      <c r="L332" s="62"/>
      <c r="M332" s="62"/>
      <c r="O332" s="594" t="s">
        <v>2252</v>
      </c>
      <c r="P332" s="1080"/>
      <c r="Q332" s="1384"/>
    </row>
    <row r="333" spans="1:32" s="158" customFormat="1" ht="11.45" customHeight="1">
      <c r="B333" s="168" t="s">
        <v>1856</v>
      </c>
      <c r="C333" s="2003" t="s">
        <v>2900</v>
      </c>
      <c r="D333" s="2003"/>
      <c r="E333" s="2003"/>
      <c r="F333" s="2003"/>
      <c r="G333" s="2003"/>
      <c r="H333" s="2003"/>
      <c r="I333" s="2003"/>
      <c r="J333" s="2003"/>
      <c r="K333" s="2003"/>
      <c r="L333" s="2003"/>
      <c r="M333" s="2003"/>
      <c r="N333" s="2003"/>
      <c r="O333" s="192" t="s">
        <v>1856</v>
      </c>
      <c r="P333" s="1092"/>
      <c r="Q333" s="1387"/>
      <c r="AE333" s="597"/>
      <c r="AF333" s="597"/>
    </row>
    <row r="334" spans="1:32" s="158" customFormat="1" ht="11.45" customHeight="1">
      <c r="B334" s="168" t="s">
        <v>1857</v>
      </c>
      <c r="C334" s="2003" t="s">
        <v>2903</v>
      </c>
      <c r="D334" s="2003"/>
      <c r="E334" s="2003"/>
      <c r="F334" s="2003"/>
      <c r="G334" s="2003"/>
      <c r="H334" s="2003"/>
      <c r="I334" s="2003"/>
      <c r="J334" s="2003"/>
      <c r="K334" s="2003"/>
      <c r="L334" s="2003"/>
      <c r="M334" s="2003"/>
      <c r="N334" s="2003"/>
      <c r="O334" s="192" t="s">
        <v>1857</v>
      </c>
      <c r="P334" s="1092"/>
      <c r="Q334" s="1387"/>
      <c r="AE334" s="597"/>
      <c r="AF334" s="597"/>
    </row>
    <row r="335" spans="1:32" ht="11.45" customHeight="1">
      <c r="B335" s="55" t="s">
        <v>2080</v>
      </c>
      <c r="C335" s="62" t="s">
        <v>2897</v>
      </c>
      <c r="D335" s="62"/>
      <c r="E335" s="62"/>
      <c r="F335" s="62"/>
      <c r="G335" s="62"/>
      <c r="H335" s="62"/>
      <c r="I335" s="62"/>
      <c r="J335" s="62"/>
      <c r="K335" s="62"/>
      <c r="L335" s="62"/>
      <c r="M335" s="62"/>
      <c r="O335" s="594" t="s">
        <v>2080</v>
      </c>
      <c r="P335" s="1080"/>
      <c r="Q335" s="1384"/>
    </row>
    <row r="336" spans="1:32" ht="11.25" customHeight="1">
      <c r="B336" s="167" t="s">
        <v>1994</v>
      </c>
      <c r="D336" s="167"/>
      <c r="E336" s="167"/>
      <c r="F336" s="167"/>
      <c r="G336" s="167"/>
      <c r="H336" s="48"/>
      <c r="I336" s="1192"/>
      <c r="J336" s="1192"/>
      <c r="K336" s="1192"/>
      <c r="L336" s="1172"/>
      <c r="M336" s="1172"/>
      <c r="N336" s="1172"/>
      <c r="O336" s="1172"/>
      <c r="P336" s="1172"/>
      <c r="Q336" s="60"/>
    </row>
    <row r="337" spans="1:32" ht="11.45" customHeight="1">
      <c r="A337" s="2008" t="s">
        <v>3792</v>
      </c>
      <c r="B337" s="2009"/>
      <c r="C337" s="2009"/>
      <c r="D337" s="2009"/>
      <c r="E337" s="2009"/>
      <c r="F337" s="2009"/>
      <c r="G337" s="2009"/>
      <c r="H337" s="2009"/>
      <c r="I337" s="2009"/>
      <c r="J337" s="2009"/>
      <c r="K337" s="2009"/>
      <c r="L337" s="2009"/>
      <c r="M337" s="2009"/>
      <c r="N337" s="2009"/>
      <c r="O337" s="2009"/>
      <c r="P337" s="2009"/>
      <c r="Q337" s="2010"/>
      <c r="U337" s="162"/>
      <c r="V337" s="162"/>
      <c r="W337" s="162"/>
      <c r="X337" s="162"/>
      <c r="Y337" s="162"/>
      <c r="Z337" s="162"/>
      <c r="AA337" s="162"/>
      <c r="AB337" s="162"/>
      <c r="AC337" s="162"/>
      <c r="AD337" s="162"/>
      <c r="AE337" s="596"/>
    </row>
    <row r="338" spans="1:32" ht="11.25" customHeight="1">
      <c r="B338" s="163" t="s">
        <v>1995</v>
      </c>
      <c r="C338" s="164"/>
      <c r="D338" s="1177"/>
      <c r="E338" s="1177"/>
      <c r="F338" s="1177"/>
      <c r="G338" s="1177"/>
      <c r="H338" s="1177"/>
      <c r="I338" s="1177"/>
      <c r="J338" s="1177"/>
      <c r="K338" s="1177"/>
      <c r="L338" s="1177"/>
      <c r="M338" s="1177"/>
      <c r="N338" s="1177"/>
      <c r="O338" s="1177"/>
      <c r="P338" s="1177"/>
      <c r="Q338" s="1177"/>
    </row>
    <row r="339" spans="1:32" ht="11.45" customHeight="1">
      <c r="A339" s="2013"/>
      <c r="B339" s="2014"/>
      <c r="C339" s="2014"/>
      <c r="D339" s="2014"/>
      <c r="E339" s="2014"/>
      <c r="F339" s="2014"/>
      <c r="G339" s="2014"/>
      <c r="H339" s="2014"/>
      <c r="I339" s="2014"/>
      <c r="J339" s="2014"/>
      <c r="K339" s="2014"/>
      <c r="L339" s="2014"/>
      <c r="M339" s="2014"/>
      <c r="N339" s="2014"/>
      <c r="O339" s="2014"/>
      <c r="P339" s="2014"/>
      <c r="Q339" s="2015"/>
    </row>
    <row r="340" spans="1:32" ht="3" customHeight="1">
      <c r="A340" s="1172"/>
      <c r="B340" s="1192"/>
      <c r="C340" s="1177"/>
      <c r="D340" s="1177"/>
      <c r="E340" s="1177"/>
      <c r="F340" s="1177"/>
      <c r="G340" s="1177"/>
      <c r="H340" s="1177"/>
      <c r="I340" s="1177"/>
      <c r="J340" s="1177"/>
      <c r="K340" s="1177"/>
      <c r="L340" s="1177"/>
      <c r="M340" s="1177"/>
      <c r="Q340" s="60"/>
    </row>
    <row r="341" spans="1:32" ht="13.9" customHeight="1">
      <c r="A341" s="1181">
        <v>23</v>
      </c>
      <c r="B341" s="5" t="s">
        <v>2904</v>
      </c>
      <c r="C341" s="5"/>
      <c r="D341" s="5"/>
      <c r="E341" s="5"/>
      <c r="F341" s="5"/>
      <c r="G341" s="5"/>
      <c r="H341" s="1177"/>
      <c r="I341" s="1177"/>
      <c r="J341" s="1177"/>
      <c r="O341" s="157" t="s">
        <v>1996</v>
      </c>
      <c r="P341" s="2016"/>
      <c r="Q341" s="2017"/>
    </row>
    <row r="342" spans="1:32" ht="11.45" customHeight="1">
      <c r="B342" s="55" t="s">
        <v>2117</v>
      </c>
      <c r="C342" s="138" t="s">
        <v>1095</v>
      </c>
      <c r="E342" s="2039"/>
      <c r="F342" s="2040"/>
      <c r="G342" s="2040"/>
      <c r="H342" s="2040"/>
      <c r="I342" s="2041"/>
      <c r="J342" s="2018" t="s">
        <v>2870</v>
      </c>
      <c r="K342" s="2019"/>
      <c r="L342" s="2020"/>
      <c r="M342" s="2039"/>
      <c r="N342" s="2040"/>
      <c r="O342" s="2040"/>
      <c r="P342" s="2040"/>
      <c r="Q342" s="2041"/>
    </row>
    <row r="343" spans="1:32" ht="11.45" customHeight="1">
      <c r="B343" s="55" t="s">
        <v>2120</v>
      </c>
      <c r="C343" s="62" t="s">
        <v>1861</v>
      </c>
      <c r="D343" s="62"/>
      <c r="E343" s="62"/>
      <c r="F343" s="62"/>
      <c r="G343" s="62"/>
      <c r="H343" s="62"/>
      <c r="I343" s="62"/>
      <c r="J343" s="62"/>
      <c r="K343" s="62"/>
      <c r="L343" s="38"/>
      <c r="M343" s="38"/>
      <c r="O343" s="594" t="s">
        <v>2120</v>
      </c>
      <c r="P343" s="1080"/>
      <c r="Q343" s="1384"/>
    </row>
    <row r="344" spans="1:32" ht="22.5" customHeight="1">
      <c r="B344" s="168" t="s">
        <v>798</v>
      </c>
      <c r="C344" s="1983" t="s">
        <v>2986</v>
      </c>
      <c r="D344" s="1983"/>
      <c r="E344" s="1983"/>
      <c r="F344" s="1983"/>
      <c r="G344" s="1983"/>
      <c r="H344" s="1983"/>
      <c r="I344" s="1983"/>
      <c r="J344" s="1983"/>
      <c r="K344" s="1983"/>
      <c r="L344" s="1983"/>
      <c r="M344" s="1983"/>
      <c r="N344" s="1983"/>
      <c r="O344" s="594" t="s">
        <v>798</v>
      </c>
      <c r="P344" s="1080"/>
      <c r="Q344" s="1384"/>
    </row>
    <row r="345" spans="1:32" ht="11.25" customHeight="1">
      <c r="B345" s="167" t="s">
        <v>1994</v>
      </c>
      <c r="D345" s="167"/>
      <c r="E345" s="167"/>
      <c r="F345" s="167"/>
      <c r="G345" s="167"/>
      <c r="H345" s="48"/>
      <c r="I345" s="1192"/>
      <c r="J345" s="1192"/>
      <c r="K345" s="1192"/>
      <c r="L345" s="1172"/>
      <c r="M345" s="1172"/>
      <c r="N345" s="1172"/>
      <c r="O345" s="1172"/>
      <c r="P345" s="1172"/>
      <c r="Q345" s="60"/>
    </row>
    <row r="346" spans="1:32" ht="11.45" customHeight="1">
      <c r="A346" s="2008" t="s">
        <v>3792</v>
      </c>
      <c r="B346" s="2009"/>
      <c r="C346" s="2009"/>
      <c r="D346" s="2009"/>
      <c r="E346" s="2009"/>
      <c r="F346" s="2009"/>
      <c r="G346" s="2009"/>
      <c r="H346" s="2009"/>
      <c r="I346" s="2009"/>
      <c r="J346" s="2009"/>
      <c r="K346" s="2009"/>
      <c r="L346" s="2009"/>
      <c r="M346" s="2009"/>
      <c r="N346" s="2009"/>
      <c r="O346" s="2009"/>
      <c r="P346" s="2009"/>
      <c r="Q346" s="2010"/>
      <c r="U346" s="162"/>
      <c r="V346" s="162"/>
      <c r="W346" s="162"/>
      <c r="X346" s="162"/>
      <c r="Y346" s="162"/>
      <c r="Z346" s="162"/>
      <c r="AA346" s="162"/>
      <c r="AB346" s="162"/>
      <c r="AC346" s="162"/>
      <c r="AD346" s="162"/>
      <c r="AE346" s="596"/>
    </row>
    <row r="347" spans="1:32" ht="11.25" customHeight="1">
      <c r="B347" s="163" t="s">
        <v>1995</v>
      </c>
      <c r="C347" s="164"/>
      <c r="D347" s="1177"/>
      <c r="E347" s="1177"/>
      <c r="F347" s="1177"/>
      <c r="G347" s="1177"/>
      <c r="H347" s="1177"/>
      <c r="I347" s="1177"/>
      <c r="J347" s="1177"/>
      <c r="K347" s="1177"/>
      <c r="L347" s="1177"/>
      <c r="M347" s="1177"/>
      <c r="N347" s="1177"/>
      <c r="O347" s="1177"/>
      <c r="P347" s="1177"/>
      <c r="Q347" s="1177"/>
    </row>
    <row r="348" spans="1:32" ht="11.45" customHeight="1">
      <c r="A348" s="2013"/>
      <c r="B348" s="2014"/>
      <c r="C348" s="2014"/>
      <c r="D348" s="2014"/>
      <c r="E348" s="2014"/>
      <c r="F348" s="2014"/>
      <c r="G348" s="2014"/>
      <c r="H348" s="2014"/>
      <c r="I348" s="2014"/>
      <c r="J348" s="2014"/>
      <c r="K348" s="2014"/>
      <c r="L348" s="2014"/>
      <c r="M348" s="2014"/>
      <c r="N348" s="2014"/>
      <c r="O348" s="2014"/>
      <c r="P348" s="2014"/>
      <c r="Q348" s="2015"/>
    </row>
    <row r="349" spans="1:32" ht="3.6" customHeight="1">
      <c r="A349" s="1172"/>
      <c r="B349" s="1192"/>
      <c r="C349" s="1177"/>
      <c r="D349" s="1177"/>
      <c r="E349" s="1177"/>
      <c r="F349" s="1177"/>
      <c r="G349" s="1177"/>
      <c r="H349" s="1177"/>
      <c r="I349" s="1177"/>
      <c r="J349" s="1177"/>
      <c r="K349" s="1177"/>
      <c r="L349" s="1177"/>
      <c r="M349" s="1177"/>
      <c r="Q349" s="60"/>
    </row>
    <row r="350" spans="1:32" ht="13.9" customHeight="1">
      <c r="A350" s="1181">
        <v>24</v>
      </c>
      <c r="B350" s="5" t="s">
        <v>2868</v>
      </c>
      <c r="C350" s="5"/>
      <c r="D350" s="101"/>
      <c r="E350" s="1177"/>
      <c r="F350" s="1177"/>
      <c r="G350" s="1177"/>
      <c r="H350" s="1177"/>
      <c r="I350" s="1177"/>
      <c r="J350" s="1177"/>
      <c r="K350" s="1177"/>
      <c r="L350" s="1177"/>
      <c r="M350" s="1177"/>
      <c r="O350" s="157" t="s">
        <v>1996</v>
      </c>
      <c r="P350" s="2016"/>
      <c r="Q350" s="2017"/>
    </row>
    <row r="351" spans="1:32" s="1" customFormat="1" ht="23.45" customHeight="1">
      <c r="B351" s="168" t="s">
        <v>2117</v>
      </c>
      <c r="C351" s="2003" t="s">
        <v>154</v>
      </c>
      <c r="D351" s="2003"/>
      <c r="E351" s="2003"/>
      <c r="F351" s="2003"/>
      <c r="G351" s="2003"/>
      <c r="H351" s="2003"/>
      <c r="I351" s="2003"/>
      <c r="J351" s="2003"/>
      <c r="K351" s="2003"/>
      <c r="L351" s="2003"/>
      <c r="M351" s="192" t="s">
        <v>2117</v>
      </c>
      <c r="N351" s="2091" t="s">
        <v>3793</v>
      </c>
      <c r="O351" s="2092"/>
      <c r="P351" s="2006" t="s">
        <v>1894</v>
      </c>
      <c r="Q351" s="2007"/>
      <c r="AE351" s="6"/>
      <c r="AF351" s="6"/>
    </row>
    <row r="352" spans="1:32" s="1" customFormat="1" ht="12" customHeight="1">
      <c r="B352" s="55" t="s">
        <v>2120</v>
      </c>
      <c r="C352" s="135" t="s">
        <v>1</v>
      </c>
      <c r="D352" s="1182"/>
      <c r="E352" s="1182"/>
      <c r="G352" s="594" t="s">
        <v>2120</v>
      </c>
      <c r="H352" s="2088" t="s">
        <v>3794</v>
      </c>
      <c r="I352" s="2089"/>
      <c r="J352" s="2089"/>
      <c r="K352" s="2089"/>
      <c r="L352" s="2089"/>
      <c r="M352" s="2089"/>
      <c r="N352" s="2089"/>
      <c r="O352" s="2089"/>
      <c r="P352" s="2090"/>
      <c r="Q352" s="1384"/>
      <c r="AE352" s="6"/>
      <c r="AF352" s="6"/>
    </row>
    <row r="353" spans="1:32" s="1" customFormat="1" ht="12" customHeight="1">
      <c r="B353" s="55" t="s">
        <v>798</v>
      </c>
      <c r="C353" s="38" t="s">
        <v>1506</v>
      </c>
      <c r="D353" s="12"/>
      <c r="E353" s="12"/>
      <c r="F353" s="12"/>
      <c r="G353" s="8"/>
      <c r="H353" s="8"/>
      <c r="I353" s="38"/>
      <c r="K353" s="8"/>
      <c r="L353" s="8"/>
      <c r="M353" s="8"/>
      <c r="O353" s="594" t="s">
        <v>798</v>
      </c>
      <c r="P353" s="1080" t="s">
        <v>3698</v>
      </c>
      <c r="Q353" s="1384"/>
      <c r="AE353" s="6"/>
      <c r="AF353" s="6"/>
    </row>
    <row r="354" spans="1:32" ht="11.25" customHeight="1">
      <c r="B354" s="167" t="s">
        <v>1994</v>
      </c>
      <c r="D354" s="167"/>
      <c r="E354" s="167"/>
      <c r="F354" s="167"/>
      <c r="G354" s="167"/>
      <c r="H354" s="48"/>
      <c r="I354" s="1192"/>
      <c r="J354" s="1192"/>
      <c r="K354" s="1192"/>
      <c r="L354" s="1172"/>
      <c r="M354" s="1172"/>
      <c r="N354" s="1172"/>
      <c r="O354" s="1172"/>
      <c r="P354" s="1172"/>
      <c r="Q354" s="60"/>
    </row>
    <row r="355" spans="1:32" ht="11.45" customHeight="1">
      <c r="A355" s="2008" t="s">
        <v>3820</v>
      </c>
      <c r="B355" s="2009"/>
      <c r="C355" s="2009"/>
      <c r="D355" s="2009"/>
      <c r="E355" s="2009"/>
      <c r="F355" s="2009"/>
      <c r="G355" s="2009"/>
      <c r="H355" s="2009"/>
      <c r="I355" s="2009"/>
      <c r="J355" s="2009"/>
      <c r="K355" s="2009"/>
      <c r="L355" s="2009"/>
      <c r="M355" s="2009"/>
      <c r="N355" s="2009"/>
      <c r="O355" s="2009"/>
      <c r="P355" s="2009"/>
      <c r="Q355" s="2010"/>
      <c r="R355" s="563" t="s">
        <v>1331</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1995</v>
      </c>
      <c r="C357" s="164"/>
      <c r="D357" s="1177"/>
      <c r="E357" s="1177"/>
      <c r="F357" s="1177"/>
      <c r="G357" s="1177"/>
      <c r="H357" s="1177"/>
      <c r="I357" s="1177"/>
      <c r="J357" s="1177"/>
      <c r="K357" s="1177"/>
      <c r="L357" s="1177"/>
      <c r="M357" s="1177"/>
      <c r="N357" s="1177"/>
      <c r="O357" s="1177"/>
      <c r="P357" s="1177"/>
      <c r="Q357" s="1177"/>
    </row>
    <row r="358" spans="1:32" ht="11.45" customHeight="1">
      <c r="A358" s="2013"/>
      <c r="B358" s="2014"/>
      <c r="C358" s="2014"/>
      <c r="D358" s="2014"/>
      <c r="E358" s="2014"/>
      <c r="F358" s="2014"/>
      <c r="G358" s="2014"/>
      <c r="H358" s="2014"/>
      <c r="I358" s="2014"/>
      <c r="J358" s="2014"/>
      <c r="K358" s="2014"/>
      <c r="L358" s="2014"/>
      <c r="M358" s="2014"/>
      <c r="N358" s="2014"/>
      <c r="O358" s="2014"/>
      <c r="P358" s="2014"/>
      <c r="Q358" s="2015"/>
    </row>
    <row r="359" spans="1:32" ht="3" customHeight="1">
      <c r="A359" s="1172"/>
      <c r="B359" s="1192"/>
      <c r="C359" s="1177"/>
      <c r="D359" s="1177"/>
      <c r="E359" s="1177"/>
      <c r="F359" s="1177"/>
      <c r="G359" s="1177"/>
      <c r="H359" s="1177"/>
      <c r="I359" s="1177"/>
      <c r="J359" s="1177"/>
      <c r="K359" s="1177"/>
      <c r="L359" s="1177"/>
      <c r="M359" s="1177"/>
      <c r="N359" s="1177"/>
      <c r="O359" s="1177"/>
      <c r="P359" s="1177"/>
      <c r="Q359" s="1172"/>
    </row>
    <row r="360" spans="1:32" ht="13.9" customHeight="1">
      <c r="A360" s="1181">
        <v>25</v>
      </c>
      <c r="B360" s="5" t="s">
        <v>2865</v>
      </c>
      <c r="C360" s="5"/>
      <c r="D360" s="5"/>
      <c r="E360" s="1177"/>
      <c r="G360" s="166" t="s">
        <v>748</v>
      </c>
      <c r="H360" s="1177"/>
      <c r="I360" s="1177"/>
      <c r="J360" s="1177"/>
      <c r="K360" s="1177"/>
      <c r="L360" s="1177"/>
      <c r="M360" s="1177"/>
      <c r="O360" s="157" t="s">
        <v>1996</v>
      </c>
      <c r="P360" s="2016"/>
      <c r="Q360" s="2036"/>
    </row>
    <row r="361" spans="1:32" ht="12" customHeight="1">
      <c r="A361" s="170"/>
      <c r="B361" s="55" t="s">
        <v>2117</v>
      </c>
      <c r="C361" s="62" t="s">
        <v>2872</v>
      </c>
      <c r="D361" s="556"/>
      <c r="E361" s="556"/>
      <c r="H361" s="166"/>
      <c r="O361" s="594" t="s">
        <v>2117</v>
      </c>
      <c r="P361" s="1080" t="s">
        <v>3698</v>
      </c>
      <c r="Q361" s="1384"/>
    </row>
    <row r="362" spans="1:32" ht="12" customHeight="1">
      <c r="A362" s="170"/>
      <c r="B362" s="55" t="s">
        <v>2120</v>
      </c>
      <c r="C362" s="62" t="s">
        <v>2873</v>
      </c>
      <c r="D362" s="556"/>
      <c r="E362" s="556"/>
      <c r="O362" s="594" t="s">
        <v>2120</v>
      </c>
      <c r="P362" s="1080" t="s">
        <v>3699</v>
      </c>
      <c r="Q362" s="1384"/>
    </row>
    <row r="363" spans="1:32" ht="12" customHeight="1">
      <c r="A363" s="170"/>
      <c r="B363" s="55" t="s">
        <v>798</v>
      </c>
      <c r="C363" s="62" t="s">
        <v>2905</v>
      </c>
      <c r="D363" s="556"/>
      <c r="E363" s="556"/>
      <c r="O363" s="594" t="s">
        <v>798</v>
      </c>
      <c r="P363" s="1080" t="s">
        <v>3699</v>
      </c>
      <c r="Q363" s="1384"/>
    </row>
    <row r="364" spans="1:32" ht="12" customHeight="1">
      <c r="A364" s="170"/>
      <c r="B364" s="55" t="s">
        <v>2252</v>
      </c>
      <c r="C364" s="62" t="s">
        <v>2869</v>
      </c>
      <c r="E364" s="166"/>
      <c r="O364" s="594" t="s">
        <v>2252</v>
      </c>
      <c r="P364" s="1080" t="s">
        <v>3699</v>
      </c>
      <c r="Q364" s="1384"/>
    </row>
    <row r="365" spans="1:32" ht="12" customHeight="1">
      <c r="B365" s="55" t="s">
        <v>1856</v>
      </c>
      <c r="C365" s="62" t="s">
        <v>2216</v>
      </c>
      <c r="E365" s="166"/>
      <c r="G365" s="594" t="s">
        <v>1856</v>
      </c>
      <c r="H365" s="2085"/>
      <c r="I365" s="2086"/>
      <c r="J365" s="2086"/>
      <c r="K365" s="2086"/>
      <c r="L365" s="2086"/>
      <c r="M365" s="2086"/>
      <c r="N365" s="2086"/>
      <c r="O365" s="2087"/>
      <c r="P365" s="1080"/>
      <c r="Q365" s="1384"/>
    </row>
    <row r="366" spans="1:32" ht="11.25" customHeight="1">
      <c r="B366" s="167" t="s">
        <v>1994</v>
      </c>
      <c r="D366" s="167"/>
      <c r="E366" s="167"/>
      <c r="F366" s="167"/>
      <c r="G366" s="167"/>
      <c r="H366" s="48"/>
      <c r="I366" s="1192"/>
      <c r="J366" s="1192"/>
      <c r="K366" s="1192"/>
      <c r="L366" s="1172"/>
      <c r="M366" s="1172"/>
      <c r="N366" s="1172"/>
      <c r="O366" s="1172"/>
      <c r="P366" s="1172"/>
      <c r="Q366" s="60"/>
    </row>
    <row r="367" spans="1:32" ht="11.45" customHeight="1">
      <c r="A367" s="2008" t="s">
        <v>3821</v>
      </c>
      <c r="B367" s="2009"/>
      <c r="C367" s="2009"/>
      <c r="D367" s="2009"/>
      <c r="E367" s="2009"/>
      <c r="F367" s="2009"/>
      <c r="G367" s="2009"/>
      <c r="H367" s="2009"/>
      <c r="I367" s="2009"/>
      <c r="J367" s="2009"/>
      <c r="K367" s="2009"/>
      <c r="L367" s="2009"/>
      <c r="M367" s="2009"/>
      <c r="N367" s="2009"/>
      <c r="O367" s="2009"/>
      <c r="P367" s="2009"/>
      <c r="Q367" s="2010"/>
      <c r="U367" s="162"/>
      <c r="V367" s="162"/>
      <c r="W367" s="162"/>
      <c r="X367" s="162"/>
      <c r="Y367" s="162"/>
      <c r="Z367" s="162"/>
      <c r="AA367" s="162"/>
      <c r="AB367" s="162"/>
      <c r="AC367" s="162"/>
      <c r="AD367" s="162"/>
      <c r="AE367" s="596"/>
    </row>
    <row r="368" spans="1:32" ht="11.25" customHeight="1">
      <c r="B368" s="163" t="s">
        <v>1995</v>
      </c>
      <c r="C368" s="164"/>
      <c r="D368" s="1177"/>
      <c r="E368" s="1177"/>
      <c r="F368" s="1177"/>
      <c r="G368" s="1177"/>
      <c r="H368" s="1177"/>
      <c r="I368" s="1177"/>
      <c r="J368" s="1177"/>
      <c r="K368" s="1177"/>
      <c r="L368" s="1177"/>
      <c r="M368" s="1177"/>
      <c r="N368" s="1177"/>
      <c r="O368" s="1177"/>
      <c r="P368" s="1177"/>
      <c r="Q368" s="1177"/>
    </row>
    <row r="369" spans="1:17" ht="11.45" customHeight="1">
      <c r="A369" s="2013"/>
      <c r="B369" s="2014"/>
      <c r="C369" s="2014"/>
      <c r="D369" s="2014"/>
      <c r="E369" s="2014"/>
      <c r="F369" s="2014"/>
      <c r="G369" s="2014"/>
      <c r="H369" s="2014"/>
      <c r="I369" s="2014"/>
      <c r="J369" s="2014"/>
      <c r="K369" s="2014"/>
      <c r="L369" s="2014"/>
      <c r="M369" s="2014"/>
      <c r="N369" s="2014"/>
      <c r="O369" s="2014"/>
      <c r="P369" s="2014"/>
      <c r="Q369" s="2015"/>
    </row>
    <row r="370" spans="1:17" ht="3" customHeight="1">
      <c r="A370" s="1172"/>
      <c r="B370" s="1192"/>
      <c r="C370" s="1177"/>
      <c r="D370" s="1177"/>
      <c r="E370" s="1177"/>
      <c r="F370" s="1177"/>
      <c r="G370" s="1177"/>
      <c r="H370" s="1177"/>
      <c r="I370" s="1177"/>
      <c r="J370" s="1177"/>
      <c r="K370" s="1177"/>
      <c r="L370" s="1177"/>
      <c r="M370" s="1177"/>
      <c r="N370" s="1177"/>
      <c r="O370" s="1177"/>
      <c r="P370" s="1177"/>
      <c r="Q370" s="1172"/>
    </row>
    <row r="371" spans="1:17" ht="13.9" customHeight="1">
      <c r="A371" s="1181">
        <v>26</v>
      </c>
      <c r="B371" s="5" t="s">
        <v>2866</v>
      </c>
      <c r="C371" s="5"/>
      <c r="D371" s="5"/>
      <c r="E371" s="5"/>
      <c r="F371" s="5"/>
      <c r="G371" s="5"/>
      <c r="H371" s="1177"/>
      <c r="I371" s="1177"/>
      <c r="J371" s="1177"/>
      <c r="K371" s="1177"/>
      <c r="L371" s="1177"/>
      <c r="M371" s="1177"/>
      <c r="O371" s="157" t="s">
        <v>1996</v>
      </c>
      <c r="P371" s="2016"/>
      <c r="Q371" s="2036"/>
    </row>
    <row r="372" spans="1:17" ht="12" customHeight="1">
      <c r="A372" s="50"/>
      <c r="B372" s="55" t="s">
        <v>2117</v>
      </c>
      <c r="C372" s="47" t="s">
        <v>801</v>
      </c>
      <c r="D372" s="50"/>
      <c r="E372" s="50"/>
      <c r="F372" s="50"/>
      <c r="G372" s="50"/>
      <c r="H372" s="50"/>
      <c r="I372" s="50"/>
      <c r="J372" s="50"/>
      <c r="K372" s="50"/>
      <c r="L372" s="50"/>
      <c r="M372" s="50"/>
      <c r="N372" s="50"/>
      <c r="O372" s="594" t="s">
        <v>2117</v>
      </c>
      <c r="P372" s="1080" t="s">
        <v>3698</v>
      </c>
      <c r="Q372" s="1384"/>
    </row>
    <row r="373" spans="1:17" ht="12" customHeight="1">
      <c r="A373" s="50"/>
      <c r="B373" s="55" t="s">
        <v>2120</v>
      </c>
      <c r="C373" s="47" t="s">
        <v>2342</v>
      </c>
      <c r="D373" s="50"/>
      <c r="E373" s="50"/>
      <c r="F373" s="50"/>
      <c r="G373" s="50"/>
      <c r="H373" s="50"/>
      <c r="I373" s="50"/>
      <c r="J373" s="50"/>
      <c r="K373" s="50"/>
      <c r="L373" s="50"/>
      <c r="M373" s="50"/>
      <c r="N373" s="50"/>
      <c r="O373" s="594" t="s">
        <v>1541</v>
      </c>
      <c r="P373" s="1080" t="s">
        <v>3699</v>
      </c>
      <c r="Q373" s="1384"/>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4" t="s">
        <v>1859</v>
      </c>
      <c r="P375" s="1080" t="s">
        <v>3699</v>
      </c>
      <c r="Q375" s="1384"/>
    </row>
    <row r="376" spans="1:17" ht="12" customHeight="1">
      <c r="A376" s="50"/>
      <c r="B376" s="55" t="s">
        <v>798</v>
      </c>
      <c r="C376" s="1983" t="s">
        <v>2341</v>
      </c>
      <c r="D376" s="1983"/>
      <c r="E376" s="1983"/>
      <c r="F376" s="1983"/>
      <c r="G376" s="1983"/>
      <c r="H376" s="1983"/>
      <c r="I376" s="1983"/>
      <c r="J376" s="1983"/>
      <c r="K376" s="1983"/>
      <c r="L376" s="1983"/>
      <c r="M376" s="1983"/>
      <c r="N376" s="1983"/>
      <c r="O376" s="594" t="s">
        <v>798</v>
      </c>
      <c r="P376" s="1080" t="s">
        <v>3698</v>
      </c>
      <c r="Q376" s="1384"/>
    </row>
    <row r="377" spans="1:17" ht="12" customHeight="1">
      <c r="A377" s="50"/>
      <c r="B377" s="55" t="s">
        <v>2252</v>
      </c>
      <c r="C377" s="38" t="s">
        <v>3282</v>
      </c>
      <c r="D377" s="38"/>
      <c r="E377" s="38"/>
      <c r="F377" s="38"/>
      <c r="G377" s="38"/>
      <c r="H377" s="38"/>
      <c r="I377" s="38"/>
      <c r="J377" s="38"/>
      <c r="K377" s="38"/>
      <c r="L377" s="38"/>
      <c r="M377" s="38"/>
      <c r="N377" s="50"/>
      <c r="O377" s="594"/>
      <c r="P377" s="50"/>
      <c r="Q377" s="50"/>
    </row>
    <row r="378" spans="1:17" ht="12" customHeight="1">
      <c r="A378" s="50"/>
      <c r="B378" s="55"/>
      <c r="C378" s="160" t="s">
        <v>2344</v>
      </c>
      <c r="D378" s="44"/>
      <c r="E378" s="50"/>
      <c r="F378" s="38"/>
      <c r="G378" s="1098">
        <v>12</v>
      </c>
      <c r="H378" s="1397" t="s">
        <v>256</v>
      </c>
      <c r="J378" s="160" t="s">
        <v>2347</v>
      </c>
      <c r="K378" s="38"/>
      <c r="N378" s="1098">
        <v>0</v>
      </c>
      <c r="O378" s="1397" t="s">
        <v>256</v>
      </c>
    </row>
    <row r="379" spans="1:17" ht="12" customHeight="1">
      <c r="A379" s="50"/>
      <c r="B379" s="55"/>
      <c r="C379" s="160" t="s">
        <v>2345</v>
      </c>
      <c r="D379" s="44"/>
      <c r="E379" s="50"/>
      <c r="F379" s="38"/>
      <c r="G379" s="1099">
        <v>63</v>
      </c>
      <c r="H379" s="1398"/>
      <c r="J379" s="160" t="s">
        <v>2348</v>
      </c>
      <c r="K379" s="38"/>
      <c r="N379" s="1100">
        <v>12</v>
      </c>
      <c r="O379" s="1399"/>
    </row>
    <row r="380" spans="1:17" ht="12" customHeight="1">
      <c r="A380" s="50"/>
      <c r="B380" s="55"/>
      <c r="C380" s="160" t="s">
        <v>2346</v>
      </c>
      <c r="D380" s="44"/>
      <c r="E380" s="50"/>
      <c r="F380" s="38"/>
      <c r="G380" s="1100">
        <v>15</v>
      </c>
      <c r="H380" s="1399" t="s">
        <v>256</v>
      </c>
      <c r="K380" s="38"/>
      <c r="L380" s="38"/>
      <c r="M380" s="38"/>
      <c r="N380" s="50"/>
      <c r="O380" s="594"/>
    </row>
    <row r="381" spans="1:17" ht="12" customHeight="1">
      <c r="A381" s="50"/>
      <c r="B381" s="55" t="s">
        <v>1856</v>
      </c>
      <c r="C381" s="38" t="s">
        <v>2540</v>
      </c>
      <c r="D381" s="38"/>
      <c r="E381" s="38"/>
      <c r="F381" s="38"/>
      <c r="G381" s="38"/>
      <c r="J381" s="50"/>
      <c r="K381" s="38"/>
      <c r="L381" s="38"/>
      <c r="M381" s="38"/>
      <c r="N381" s="50"/>
      <c r="O381" s="594"/>
      <c r="P381" s="594"/>
      <c r="Q381" s="594"/>
    </row>
    <row r="382" spans="1:17" ht="12" customHeight="1">
      <c r="A382" s="50"/>
      <c r="B382" s="55"/>
      <c r="C382" s="536" t="s">
        <v>2349</v>
      </c>
      <c r="D382" s="38"/>
      <c r="E382" s="38"/>
      <c r="F382" s="38"/>
      <c r="G382" s="1094" t="s">
        <v>3698</v>
      </c>
      <c r="H382" s="1390"/>
      <c r="J382" s="536" t="s">
        <v>1252</v>
      </c>
      <c r="K382" s="38"/>
      <c r="N382" s="1091" t="s">
        <v>3698</v>
      </c>
      <c r="O382" s="1386"/>
    </row>
    <row r="383" spans="1:17" ht="12" customHeight="1">
      <c r="A383" s="50"/>
      <c r="B383" s="55"/>
      <c r="C383" s="536" t="s">
        <v>1251</v>
      </c>
      <c r="D383" s="38"/>
      <c r="E383" s="38"/>
      <c r="F383" s="38"/>
      <c r="G383" s="1096" t="s">
        <v>3698</v>
      </c>
      <c r="H383" s="1392"/>
      <c r="J383" s="536" t="s">
        <v>2400</v>
      </c>
      <c r="N383" s="2043"/>
      <c r="O383" s="2044"/>
      <c r="P383" s="2044"/>
      <c r="Q383" s="2045"/>
    </row>
    <row r="384" spans="1:17" ht="12" customHeight="1">
      <c r="B384" s="167" t="s">
        <v>1994</v>
      </c>
      <c r="D384" s="167"/>
      <c r="E384" s="167"/>
      <c r="F384" s="167"/>
      <c r="G384" s="167"/>
      <c r="H384" s="48"/>
      <c r="I384" s="1192"/>
      <c r="J384" s="1192"/>
      <c r="K384" s="1192"/>
      <c r="P384" s="1172"/>
      <c r="Q384" s="60"/>
    </row>
    <row r="385" spans="1:32" ht="23.25" customHeight="1">
      <c r="A385" s="2008" t="s">
        <v>3848</v>
      </c>
      <c r="B385" s="2009"/>
      <c r="C385" s="2009"/>
      <c r="D385" s="2009"/>
      <c r="E385" s="2009"/>
      <c r="F385" s="2009"/>
      <c r="G385" s="2009"/>
      <c r="H385" s="2009"/>
      <c r="I385" s="2009"/>
      <c r="J385" s="2009"/>
      <c r="K385" s="2009"/>
      <c r="L385" s="2009"/>
      <c r="M385" s="2009"/>
      <c r="N385" s="2009"/>
      <c r="O385" s="2009"/>
      <c r="P385" s="2009"/>
      <c r="Q385" s="2010"/>
      <c r="U385" s="162"/>
      <c r="V385" s="162"/>
      <c r="W385" s="162"/>
      <c r="X385" s="162"/>
      <c r="Y385" s="162"/>
      <c r="Z385" s="162"/>
      <c r="AA385" s="162"/>
      <c r="AB385" s="162"/>
      <c r="AC385" s="162"/>
      <c r="AD385" s="162"/>
      <c r="AE385" s="596"/>
    </row>
    <row r="386" spans="1:32" ht="12" customHeight="1">
      <c r="B386" s="163" t="s">
        <v>1995</v>
      </c>
      <c r="C386" s="164"/>
      <c r="D386" s="1177"/>
      <c r="E386" s="1177"/>
      <c r="F386" s="1177"/>
      <c r="G386" s="1177"/>
      <c r="H386" s="1177"/>
      <c r="I386" s="1177"/>
      <c r="J386" s="1177"/>
      <c r="K386" s="1177"/>
      <c r="L386" s="1177"/>
      <c r="M386" s="1177"/>
      <c r="N386" s="1177"/>
      <c r="O386" s="1177"/>
      <c r="P386" s="1177"/>
      <c r="Q386" s="1177"/>
    </row>
    <row r="387" spans="1:32" ht="12" customHeight="1">
      <c r="A387" s="2013"/>
      <c r="B387" s="2014"/>
      <c r="C387" s="2014"/>
      <c r="D387" s="2014"/>
      <c r="E387" s="2014"/>
      <c r="F387" s="2014"/>
      <c r="G387" s="2014"/>
      <c r="H387" s="2014"/>
      <c r="I387" s="2014"/>
      <c r="J387" s="2014"/>
      <c r="K387" s="2014"/>
      <c r="L387" s="2014"/>
      <c r="M387" s="2014"/>
      <c r="N387" s="2014"/>
      <c r="O387" s="2014"/>
      <c r="P387" s="2014"/>
      <c r="Q387" s="2015"/>
    </row>
    <row r="388" spans="1:32" ht="3" customHeight="1">
      <c r="A388" s="1172"/>
      <c r="B388" s="1192"/>
      <c r="C388" s="1177"/>
      <c r="D388" s="1177"/>
      <c r="E388" s="1177"/>
      <c r="F388" s="1177"/>
      <c r="G388" s="1177"/>
      <c r="H388" s="1177"/>
      <c r="I388" s="1177"/>
      <c r="J388" s="1177"/>
      <c r="K388" s="1177"/>
      <c r="L388" s="1177"/>
      <c r="M388" s="1177"/>
      <c r="Q388" s="60"/>
    </row>
    <row r="389" spans="1:32" ht="13.9" customHeight="1">
      <c r="A389" s="1181">
        <v>27</v>
      </c>
      <c r="B389" s="5" t="s">
        <v>3283</v>
      </c>
      <c r="C389" s="5"/>
      <c r="D389" s="101"/>
      <c r="E389" s="1177"/>
      <c r="F389" s="1177"/>
      <c r="G389" s="1177"/>
      <c r="H389" s="1177"/>
      <c r="O389" s="157" t="s">
        <v>1996</v>
      </c>
      <c r="P389" s="2016"/>
      <c r="Q389" s="2017"/>
    </row>
    <row r="390" spans="1:32" s="158" customFormat="1" ht="21.75" customHeight="1">
      <c r="B390" s="168" t="s">
        <v>2117</v>
      </c>
      <c r="C390" s="2004" t="s">
        <v>3284</v>
      </c>
      <c r="D390" s="2004"/>
      <c r="E390" s="2004"/>
      <c r="F390" s="2004"/>
      <c r="G390" s="2004"/>
      <c r="H390" s="2004"/>
      <c r="I390" s="2004"/>
      <c r="J390" s="2004"/>
      <c r="K390" s="2004"/>
      <c r="L390" s="2004"/>
      <c r="M390" s="2004"/>
      <c r="N390" s="2004"/>
      <c r="O390" s="192" t="s">
        <v>2117</v>
      </c>
      <c r="P390" s="1092" t="s">
        <v>3756</v>
      </c>
      <c r="Q390" s="1387"/>
      <c r="AE390" s="597"/>
      <c r="AF390" s="597"/>
    </row>
    <row r="391" spans="1:32" s="158" customFormat="1" ht="21.75" customHeight="1">
      <c r="B391" s="168" t="s">
        <v>2120</v>
      </c>
      <c r="C391" s="2004" t="s">
        <v>3285</v>
      </c>
      <c r="D391" s="2004"/>
      <c r="E391" s="2004"/>
      <c r="F391" s="2004"/>
      <c r="G391" s="2004"/>
      <c r="H391" s="2004"/>
      <c r="I391" s="2004"/>
      <c r="J391" s="2004"/>
      <c r="K391" s="2004"/>
      <c r="L391" s="2004"/>
      <c r="M391" s="2004"/>
      <c r="N391" s="2004"/>
      <c r="O391" s="192" t="s">
        <v>2120</v>
      </c>
      <c r="P391" s="1092" t="s">
        <v>3756</v>
      </c>
      <c r="Q391" s="1387"/>
      <c r="AE391" s="597"/>
      <c r="AF391" s="597"/>
    </row>
    <row r="392" spans="1:32" s="158" customFormat="1" ht="21.75" customHeight="1">
      <c r="B392" s="168" t="s">
        <v>798</v>
      </c>
      <c r="C392" s="2004" t="s">
        <v>3286</v>
      </c>
      <c r="D392" s="2004"/>
      <c r="E392" s="2004"/>
      <c r="F392" s="2004"/>
      <c r="G392" s="2004"/>
      <c r="H392" s="2004"/>
      <c r="I392" s="2004"/>
      <c r="J392" s="2004"/>
      <c r="K392" s="2004"/>
      <c r="L392" s="2004"/>
      <c r="M392" s="2004"/>
      <c r="N392" s="2004"/>
      <c r="O392" s="192" t="s">
        <v>798</v>
      </c>
      <c r="P392" s="1092" t="s">
        <v>3756</v>
      </c>
      <c r="Q392" s="1387"/>
      <c r="AE392" s="597"/>
      <c r="AF392" s="597"/>
    </row>
    <row r="393" spans="1:32" s="158" customFormat="1" ht="33.75" customHeight="1">
      <c r="B393" s="168" t="s">
        <v>2252</v>
      </c>
      <c r="C393" s="2004" t="s">
        <v>3287</v>
      </c>
      <c r="D393" s="2004"/>
      <c r="E393" s="2004"/>
      <c r="F393" s="2004"/>
      <c r="G393" s="2004"/>
      <c r="H393" s="2004"/>
      <c r="I393" s="2004"/>
      <c r="J393" s="2004"/>
      <c r="K393" s="2004"/>
      <c r="L393" s="2004"/>
      <c r="M393" s="2004"/>
      <c r="N393" s="2004"/>
      <c r="O393" s="192" t="s">
        <v>2252</v>
      </c>
      <c r="P393" s="1092" t="s">
        <v>3756</v>
      </c>
      <c r="Q393" s="1387"/>
      <c r="AE393" s="597"/>
      <c r="AF393" s="597"/>
    </row>
    <row r="394" spans="1:32" s="158" customFormat="1" ht="21.75" customHeight="1">
      <c r="B394" s="168" t="s">
        <v>1856</v>
      </c>
      <c r="C394" s="2004" t="s">
        <v>3288</v>
      </c>
      <c r="D394" s="2004"/>
      <c r="E394" s="2004"/>
      <c r="F394" s="2004"/>
      <c r="G394" s="2004"/>
      <c r="H394" s="2004"/>
      <c r="I394" s="2004"/>
      <c r="J394" s="2004"/>
      <c r="K394" s="2004"/>
      <c r="L394" s="2004"/>
      <c r="M394" s="2004"/>
      <c r="N394" s="2004"/>
      <c r="O394" s="192" t="s">
        <v>1856</v>
      </c>
      <c r="P394" s="1092" t="s">
        <v>3756</v>
      </c>
      <c r="Q394" s="1387"/>
      <c r="AE394" s="597"/>
      <c r="AF394" s="597"/>
    </row>
    <row r="395" spans="1:32" s="158" customFormat="1" ht="21.75" customHeight="1">
      <c r="B395" s="168" t="s">
        <v>1857</v>
      </c>
      <c r="C395" s="2004" t="s">
        <v>3289</v>
      </c>
      <c r="D395" s="2004"/>
      <c r="E395" s="2004"/>
      <c r="F395" s="2004"/>
      <c r="G395" s="2004"/>
      <c r="H395" s="2004"/>
      <c r="I395" s="2004"/>
      <c r="J395" s="2004"/>
      <c r="K395" s="2004"/>
      <c r="L395" s="2004"/>
      <c r="M395" s="2004"/>
      <c r="N395" s="2004"/>
      <c r="O395" s="192" t="s">
        <v>1857</v>
      </c>
      <c r="P395" s="1092" t="s">
        <v>3756</v>
      </c>
      <c r="Q395" s="1387"/>
      <c r="AE395" s="597"/>
      <c r="AF395" s="597"/>
    </row>
    <row r="396" spans="1:32" s="158" customFormat="1" ht="21.75" customHeight="1">
      <c r="B396" s="168" t="s">
        <v>2080</v>
      </c>
      <c r="C396" s="2004" t="s">
        <v>2901</v>
      </c>
      <c r="D396" s="2004"/>
      <c r="E396" s="2004"/>
      <c r="F396" s="2004"/>
      <c r="G396" s="2004"/>
      <c r="H396" s="2004"/>
      <c r="I396" s="2004"/>
      <c r="J396" s="2004"/>
      <c r="K396" s="2004"/>
      <c r="L396" s="2004"/>
      <c r="M396" s="2004"/>
      <c r="N396" s="2004"/>
      <c r="O396" s="192" t="s">
        <v>2080</v>
      </c>
      <c r="P396" s="1092" t="s">
        <v>3756</v>
      </c>
      <c r="Q396" s="1387"/>
      <c r="AE396" s="597"/>
      <c r="AF396" s="597"/>
    </row>
    <row r="397" spans="1:32" ht="11.25" customHeight="1">
      <c r="B397" s="167" t="s">
        <v>1994</v>
      </c>
      <c r="D397" s="167"/>
      <c r="E397" s="167"/>
      <c r="F397" s="167"/>
      <c r="G397" s="167"/>
      <c r="H397" s="48"/>
      <c r="I397" s="1192"/>
      <c r="J397" s="1192"/>
      <c r="K397" s="1192"/>
      <c r="L397" s="1172"/>
      <c r="M397" s="1172"/>
      <c r="N397" s="1172"/>
      <c r="O397" s="1172"/>
      <c r="P397" s="1172"/>
      <c r="Q397" s="60"/>
    </row>
    <row r="398" spans="1:32" ht="11.45" customHeight="1">
      <c r="A398" s="2008"/>
      <c r="B398" s="2009"/>
      <c r="C398" s="2009"/>
      <c r="D398" s="2009"/>
      <c r="E398" s="2009"/>
      <c r="F398" s="2009"/>
      <c r="G398" s="2009"/>
      <c r="H398" s="2009"/>
      <c r="I398" s="2009"/>
      <c r="J398" s="2009"/>
      <c r="K398" s="2009"/>
      <c r="L398" s="2009"/>
      <c r="M398" s="2009"/>
      <c r="N398" s="2009"/>
      <c r="O398" s="2009"/>
      <c r="P398" s="2009"/>
      <c r="Q398" s="2010"/>
      <c r="R398" s="562" t="s">
        <v>1331</v>
      </c>
      <c r="S398" s="563"/>
      <c r="U398" s="162"/>
      <c r="V398" s="162"/>
      <c r="W398" s="162"/>
      <c r="X398" s="162"/>
      <c r="Y398" s="162"/>
      <c r="Z398" s="162"/>
      <c r="AA398" s="162"/>
      <c r="AB398" s="162"/>
      <c r="AC398" s="162"/>
      <c r="AD398" s="162"/>
      <c r="AE398" s="596"/>
    </row>
    <row r="399" spans="1:32" ht="11.25" customHeight="1">
      <c r="B399" s="163" t="s">
        <v>1995</v>
      </c>
      <c r="C399" s="164"/>
      <c r="D399" s="1177"/>
      <c r="E399" s="1177"/>
      <c r="F399" s="1177"/>
      <c r="G399" s="1177"/>
      <c r="H399" s="1177"/>
      <c r="I399" s="1177"/>
      <c r="J399" s="1177"/>
      <c r="K399" s="1177"/>
      <c r="L399" s="1177"/>
      <c r="M399" s="1177"/>
      <c r="N399" s="1177"/>
      <c r="O399" s="1177"/>
      <c r="P399" s="1177"/>
      <c r="Q399" s="1177"/>
    </row>
    <row r="400" spans="1:32" ht="11.45" customHeight="1">
      <c r="A400" s="2013"/>
      <c r="B400" s="2014"/>
      <c r="C400" s="2014"/>
      <c r="D400" s="2014"/>
      <c r="E400" s="2014"/>
      <c r="F400" s="2014"/>
      <c r="G400" s="2014"/>
      <c r="H400" s="2014"/>
      <c r="I400" s="2014"/>
      <c r="J400" s="2014"/>
      <c r="K400" s="2014"/>
      <c r="L400" s="2014"/>
      <c r="M400" s="2014"/>
      <c r="N400" s="2014"/>
      <c r="O400" s="2014"/>
      <c r="P400" s="2014"/>
      <c r="Q400" s="2015"/>
    </row>
    <row r="401" spans="1:32" ht="3" customHeight="1">
      <c r="A401" s="1172"/>
      <c r="B401" s="1192"/>
      <c r="C401" s="1177"/>
      <c r="D401" s="1177"/>
      <c r="E401" s="1177"/>
      <c r="F401" s="1177"/>
      <c r="G401" s="1177"/>
      <c r="H401" s="1177"/>
      <c r="I401" s="1177"/>
      <c r="J401" s="1177"/>
      <c r="K401" s="1177"/>
      <c r="L401" s="1177"/>
      <c r="M401" s="1177"/>
      <c r="Q401" s="60"/>
    </row>
    <row r="402" spans="1:32" ht="13.9" customHeight="1">
      <c r="A402" s="1181">
        <v>28</v>
      </c>
      <c r="B402" s="5" t="s">
        <v>2867</v>
      </c>
      <c r="C402" s="5"/>
      <c r="D402" s="101"/>
      <c r="E402" s="1177"/>
      <c r="F402" s="1177"/>
      <c r="G402" s="1177"/>
      <c r="H402" s="1177"/>
      <c r="I402" s="1177"/>
      <c r="J402" s="1177"/>
      <c r="K402" s="1177"/>
      <c r="L402" s="1177"/>
      <c r="M402" s="1177"/>
      <c r="O402" s="157" t="s">
        <v>1996</v>
      </c>
      <c r="P402" s="2016"/>
      <c r="Q402" s="2017"/>
    </row>
    <row r="403" spans="1:32" ht="11.25" customHeight="1">
      <c r="A403" s="1181"/>
      <c r="B403" s="167" t="s">
        <v>1994</v>
      </c>
      <c r="D403" s="167"/>
      <c r="E403" s="167"/>
      <c r="F403" s="167"/>
      <c r="G403" s="167"/>
      <c r="H403" s="48"/>
      <c r="I403" s="1192"/>
      <c r="J403" s="1192"/>
      <c r="K403" s="1192"/>
      <c r="L403" s="1172"/>
      <c r="M403" s="1172"/>
      <c r="N403" s="1172"/>
      <c r="O403" s="1172"/>
      <c r="P403" s="1172"/>
      <c r="Q403" s="60"/>
    </row>
    <row r="404" spans="1:32" ht="11.45" customHeight="1">
      <c r="A404" s="2008"/>
      <c r="B404" s="2009"/>
      <c r="C404" s="2009"/>
      <c r="D404" s="2009"/>
      <c r="E404" s="2009"/>
      <c r="F404" s="2009"/>
      <c r="G404" s="2009"/>
      <c r="H404" s="2009"/>
      <c r="I404" s="2009"/>
      <c r="J404" s="2009"/>
      <c r="K404" s="2009"/>
      <c r="L404" s="2009"/>
      <c r="M404" s="2009"/>
      <c r="N404" s="2009"/>
      <c r="O404" s="2009"/>
      <c r="P404" s="2009"/>
      <c r="Q404" s="2010"/>
      <c r="R404" s="562" t="s">
        <v>1331</v>
      </c>
      <c r="S404" s="563"/>
      <c r="U404" s="162"/>
      <c r="V404" s="162"/>
      <c r="W404" s="162"/>
      <c r="X404" s="162"/>
      <c r="Y404" s="162"/>
      <c r="Z404" s="162"/>
      <c r="AA404" s="162"/>
      <c r="AB404" s="162"/>
      <c r="AC404" s="162"/>
      <c r="AD404" s="162"/>
      <c r="AE404" s="596"/>
    </row>
    <row r="405" spans="1:32" ht="11.25" customHeight="1">
      <c r="B405" s="163" t="s">
        <v>1995</v>
      </c>
      <c r="C405" s="164"/>
      <c r="D405" s="1177"/>
      <c r="E405" s="1177"/>
      <c r="F405" s="1177"/>
      <c r="G405" s="1177"/>
      <c r="H405" s="1177"/>
      <c r="I405" s="1177"/>
      <c r="J405" s="1177"/>
      <c r="K405" s="1177"/>
      <c r="L405" s="1177"/>
      <c r="M405" s="1177"/>
      <c r="N405" s="1177"/>
      <c r="O405" s="1177"/>
      <c r="P405" s="1177"/>
      <c r="Q405" s="1177"/>
    </row>
    <row r="406" spans="1:32" ht="12" customHeight="1">
      <c r="A406" s="2013"/>
      <c r="B406" s="2014"/>
      <c r="C406" s="2014"/>
      <c r="D406" s="2014"/>
      <c r="E406" s="2014"/>
      <c r="F406" s="2014"/>
      <c r="G406" s="2014"/>
      <c r="H406" s="2014"/>
      <c r="I406" s="2014"/>
      <c r="J406" s="2014"/>
      <c r="K406" s="2014"/>
      <c r="L406" s="2014"/>
      <c r="M406" s="2014"/>
      <c r="N406" s="2014"/>
      <c r="O406" s="2014"/>
      <c r="P406" s="2014"/>
      <c r="Q406" s="2015"/>
    </row>
    <row r="407" spans="1:32" ht="3" customHeight="1">
      <c r="A407" s="1172"/>
      <c r="B407" s="1192"/>
      <c r="C407" s="1177"/>
      <c r="D407" s="1177"/>
      <c r="E407" s="1177"/>
      <c r="F407" s="1177"/>
      <c r="G407" s="1177"/>
      <c r="H407" s="1177"/>
      <c r="I407" s="1177"/>
      <c r="J407" s="1177"/>
      <c r="K407" s="1177"/>
      <c r="L407" s="1177"/>
      <c r="M407" s="1177"/>
      <c r="N407" s="1177"/>
      <c r="O407" s="1177"/>
      <c r="P407" s="1177"/>
      <c r="Q407" s="1172"/>
    </row>
    <row r="408" spans="1:32" s="175" customFormat="1" ht="8.4499999999999993" customHeight="1">
      <c r="A408" s="1172"/>
      <c r="B408" s="1192"/>
      <c r="C408" s="1177"/>
      <c r="D408" s="1177"/>
      <c r="E408" s="1177"/>
      <c r="F408" s="1177"/>
      <c r="G408" s="1177"/>
      <c r="H408" s="1177"/>
      <c r="I408" s="1177"/>
      <c r="J408" s="1177"/>
      <c r="K408" s="1177"/>
      <c r="L408" s="1177"/>
      <c r="M408" s="1177"/>
      <c r="AE408" s="598"/>
      <c r="AF408" s="598"/>
    </row>
    <row r="409" spans="1:32" s="175" customFormat="1" ht="3" customHeight="1">
      <c r="A409" s="1172"/>
      <c r="B409" s="1192"/>
      <c r="C409" s="1177"/>
      <c r="D409" s="1177"/>
      <c r="E409" s="1177"/>
      <c r="F409" s="1177"/>
      <c r="G409" s="1177"/>
      <c r="H409" s="1177"/>
      <c r="I409" s="1177"/>
      <c r="J409" s="1177"/>
      <c r="K409" s="1177"/>
      <c r="L409" s="1177"/>
      <c r="M409" s="1177"/>
      <c r="N409" s="1177"/>
      <c r="O409" s="1177"/>
      <c r="P409" s="1177"/>
      <c r="Q409" s="1172"/>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8"/>
      <c r="P426" s="1168"/>
      <c r="AE426" s="601"/>
      <c r="AF426" s="601"/>
    </row>
    <row r="427" spans="1:32" s="536" customFormat="1" ht="15">
      <c r="A427" s="626"/>
      <c r="B427" s="626"/>
      <c r="C427" s="627" t="s">
        <v>1761</v>
      </c>
      <c r="D427" s="627"/>
      <c r="E427" s="627"/>
      <c r="F427" s="627"/>
      <c r="G427" s="627"/>
      <c r="H427" s="627"/>
      <c r="I427" s="627"/>
      <c r="J427" s="627" t="s">
        <v>1073</v>
      </c>
      <c r="K427" s="627"/>
      <c r="L427" s="626"/>
      <c r="M427" s="626"/>
      <c r="N427" s="542"/>
      <c r="O427" s="1103" t="s">
        <v>3548</v>
      </c>
      <c r="P427" s="558"/>
      <c r="AE427" s="551"/>
      <c r="AF427" s="551"/>
    </row>
    <row r="428" spans="1:32" s="536" customFormat="1" ht="15">
      <c r="A428" s="626"/>
      <c r="B428" s="626"/>
      <c r="C428" s="626" t="s">
        <v>2226</v>
      </c>
      <c r="D428" s="626"/>
      <c r="E428" s="626"/>
      <c r="F428" s="626"/>
      <c r="G428" s="626"/>
      <c r="H428" s="626"/>
      <c r="I428" s="626"/>
      <c r="J428" s="626" t="s">
        <v>1894</v>
      </c>
      <c r="K428" s="626"/>
      <c r="L428" s="626"/>
      <c r="M428" s="626"/>
      <c r="N428" s="542"/>
      <c r="O428" s="1103" t="s">
        <v>3549</v>
      </c>
      <c r="P428" s="558"/>
      <c r="AE428" s="551"/>
      <c r="AF428" s="551"/>
    </row>
    <row r="429" spans="1:32" s="536" customFormat="1" ht="15">
      <c r="A429" s="626"/>
      <c r="B429" s="626"/>
      <c r="C429" s="627" t="s">
        <v>2725</v>
      </c>
      <c r="D429" s="627"/>
      <c r="E429" s="627"/>
      <c r="F429" s="627"/>
      <c r="G429" s="627"/>
      <c r="H429" s="627"/>
      <c r="I429" s="627"/>
      <c r="J429" s="628" t="s">
        <v>1844</v>
      </c>
      <c r="K429" s="627"/>
      <c r="L429" s="626"/>
      <c r="M429" s="626"/>
      <c r="N429" s="542"/>
      <c r="O429" s="1103" t="s">
        <v>3550</v>
      </c>
      <c r="P429" s="558"/>
      <c r="AE429" s="551"/>
      <c r="AF429" s="551"/>
    </row>
    <row r="430" spans="1:32" s="536" customFormat="1" ht="15">
      <c r="A430" s="626"/>
      <c r="B430" s="626"/>
      <c r="C430" s="627" t="s">
        <v>2227</v>
      </c>
      <c r="D430" s="627"/>
      <c r="E430" s="627"/>
      <c r="F430" s="627"/>
      <c r="G430" s="627"/>
      <c r="H430" s="627"/>
      <c r="I430" s="627"/>
      <c r="J430" s="628" t="s">
        <v>241</v>
      </c>
      <c r="K430" s="627"/>
      <c r="L430" s="626"/>
      <c r="M430" s="626"/>
      <c r="N430" s="542"/>
      <c r="O430" s="1103" t="s">
        <v>3551</v>
      </c>
      <c r="P430" s="558"/>
      <c r="AE430" s="551"/>
      <c r="AF430" s="551"/>
    </row>
    <row r="431" spans="1:32" s="536" customFormat="1" ht="15">
      <c r="A431" s="626"/>
      <c r="B431" s="626"/>
      <c r="C431" s="627" t="s">
        <v>2228</v>
      </c>
      <c r="D431" s="627"/>
      <c r="E431" s="627"/>
      <c r="F431" s="627"/>
      <c r="G431" s="627"/>
      <c r="H431" s="627"/>
      <c r="I431" s="627"/>
      <c r="J431" s="626" t="s">
        <v>1256</v>
      </c>
      <c r="K431" s="627"/>
      <c r="L431" s="626"/>
      <c r="M431" s="626"/>
      <c r="N431" s="542"/>
      <c r="O431" s="1103" t="s">
        <v>3552</v>
      </c>
      <c r="P431" s="558"/>
      <c r="AE431" s="551"/>
      <c r="AF431" s="551"/>
    </row>
    <row r="432" spans="1:32" s="536" customFormat="1" ht="15">
      <c r="A432" s="626"/>
      <c r="B432" s="626"/>
      <c r="C432" s="629" t="s">
        <v>2229</v>
      </c>
      <c r="D432" s="627"/>
      <c r="E432" s="627"/>
      <c r="F432" s="627"/>
      <c r="G432" s="627"/>
      <c r="H432" s="627"/>
      <c r="I432" s="627"/>
      <c r="J432" s="630" t="s">
        <v>2241</v>
      </c>
      <c r="K432" s="627"/>
      <c r="L432" s="626"/>
      <c r="M432" s="626"/>
      <c r="N432" s="542"/>
      <c r="O432" s="1103" t="s">
        <v>3553</v>
      </c>
      <c r="P432" s="558"/>
      <c r="AE432" s="551"/>
      <c r="AF432" s="551"/>
    </row>
    <row r="433" spans="1:32" s="536" customFormat="1" ht="15">
      <c r="A433" s="626"/>
      <c r="B433" s="626"/>
      <c r="C433" s="629" t="s">
        <v>2230</v>
      </c>
      <c r="D433" s="627"/>
      <c r="E433" s="627"/>
      <c r="F433" s="627"/>
      <c r="G433" s="627"/>
      <c r="H433" s="627"/>
      <c r="I433" s="627"/>
      <c r="J433" s="628" t="s">
        <v>1773</v>
      </c>
      <c r="K433" s="627"/>
      <c r="L433" s="626"/>
      <c r="M433" s="626"/>
      <c r="N433" s="542"/>
      <c r="O433" s="1103" t="s">
        <v>3554</v>
      </c>
      <c r="P433" s="558"/>
      <c r="AE433" s="551"/>
      <c r="AF433" s="551"/>
    </row>
    <row r="434" spans="1:32" s="536" customFormat="1" ht="15">
      <c r="A434" s="626"/>
      <c r="B434" s="626"/>
      <c r="C434" s="629"/>
      <c r="D434" s="627"/>
      <c r="E434" s="627"/>
      <c r="F434" s="627"/>
      <c r="G434" s="627"/>
      <c r="H434" s="627"/>
      <c r="I434" s="627"/>
      <c r="J434" s="628" t="s">
        <v>1264</v>
      </c>
      <c r="K434" s="627"/>
      <c r="L434" s="626"/>
      <c r="M434" s="626"/>
      <c r="N434" s="542"/>
      <c r="O434" s="1103" t="s">
        <v>3555</v>
      </c>
      <c r="P434" s="558"/>
      <c r="AE434" s="551"/>
      <c r="AF434" s="551"/>
    </row>
    <row r="435" spans="1:32" s="536" customFormat="1" ht="15">
      <c r="A435" s="626"/>
      <c r="B435" s="626"/>
      <c r="C435" s="626" t="s">
        <v>1894</v>
      </c>
      <c r="D435" s="627"/>
      <c r="E435" s="627"/>
      <c r="F435" s="627"/>
      <c r="G435" s="627"/>
      <c r="H435" s="627"/>
      <c r="I435" s="627"/>
      <c r="J435" s="628" t="s">
        <v>1770</v>
      </c>
      <c r="K435" s="627"/>
      <c r="L435" s="626"/>
      <c r="M435" s="626"/>
      <c r="N435" s="542"/>
      <c r="O435" s="1103" t="s">
        <v>3556</v>
      </c>
      <c r="P435" s="558"/>
      <c r="AE435" s="551"/>
      <c r="AF435" s="551"/>
    </row>
    <row r="436" spans="1:32" s="536" customFormat="1" ht="11.25">
      <c r="A436" s="626"/>
      <c r="B436" s="626"/>
      <c r="C436" s="631" t="s">
        <v>1479</v>
      </c>
      <c r="D436" s="627"/>
      <c r="E436" s="627"/>
      <c r="F436" s="627"/>
      <c r="G436" s="627"/>
      <c r="H436" s="627"/>
      <c r="I436" s="627"/>
      <c r="J436" s="628" t="s">
        <v>2242</v>
      </c>
      <c r="K436" s="627"/>
      <c r="L436" s="626"/>
      <c r="M436" s="626"/>
      <c r="N436" s="542"/>
      <c r="O436" s="558"/>
      <c r="P436" s="558"/>
      <c r="AE436" s="551"/>
      <c r="AF436" s="551"/>
    </row>
    <row r="437" spans="1:32" s="536" customFormat="1" ht="11.25">
      <c r="A437" s="626"/>
      <c r="B437" s="626"/>
      <c r="C437" s="631" t="s">
        <v>1480</v>
      </c>
      <c r="D437" s="627"/>
      <c r="E437" s="627"/>
      <c r="F437" s="627"/>
      <c r="G437" s="627"/>
      <c r="H437" s="627"/>
      <c r="I437" s="627"/>
      <c r="J437" s="628" t="s">
        <v>1763</v>
      </c>
      <c r="K437" s="627"/>
      <c r="L437" s="626"/>
      <c r="M437" s="626"/>
      <c r="N437" s="542"/>
      <c r="O437" s="558"/>
      <c r="P437" s="558"/>
      <c r="AE437" s="551"/>
      <c r="AF437" s="551"/>
    </row>
    <row r="438" spans="1:32" s="536" customFormat="1" ht="11.25">
      <c r="A438" s="626"/>
      <c r="B438" s="626"/>
      <c r="C438" s="632" t="s">
        <v>2270</v>
      </c>
      <c r="D438" s="627"/>
      <c r="E438" s="627"/>
      <c r="F438" s="627"/>
      <c r="G438" s="627"/>
      <c r="H438" s="627"/>
      <c r="I438" s="627"/>
      <c r="J438" s="628" t="s">
        <v>1265</v>
      </c>
      <c r="K438" s="627"/>
      <c r="L438" s="626"/>
      <c r="M438" s="626"/>
      <c r="N438" s="542"/>
      <c r="O438" s="558"/>
      <c r="P438" s="558"/>
      <c r="AE438" s="551"/>
      <c r="AF438" s="551"/>
    </row>
    <row r="439" spans="1:32" s="536" customFormat="1" ht="11.25">
      <c r="A439" s="626"/>
      <c r="B439" s="626"/>
      <c r="C439" s="632" t="s">
        <v>1476</v>
      </c>
      <c r="D439" s="627"/>
      <c r="E439" s="627"/>
      <c r="F439" s="627"/>
      <c r="G439" s="627"/>
      <c r="H439" s="627"/>
      <c r="I439" s="627"/>
      <c r="J439" s="628" t="s">
        <v>628</v>
      </c>
      <c r="K439" s="627"/>
      <c r="L439" s="626"/>
      <c r="M439" s="626"/>
      <c r="N439" s="542"/>
      <c r="O439" s="558"/>
      <c r="P439" s="558"/>
      <c r="AE439" s="551"/>
      <c r="AF439" s="551"/>
    </row>
    <row r="440" spans="1:32" s="536" customFormat="1" ht="11.25">
      <c r="A440" s="626"/>
      <c r="B440" s="626"/>
      <c r="C440" s="632" t="s">
        <v>1477</v>
      </c>
      <c r="D440" s="627"/>
      <c r="E440" s="627"/>
      <c r="F440" s="627"/>
      <c r="G440" s="627"/>
      <c r="H440" s="627"/>
      <c r="I440" s="627"/>
      <c r="J440" s="628" t="s">
        <v>1769</v>
      </c>
      <c r="K440" s="627"/>
      <c r="L440" s="626"/>
      <c r="M440" s="626"/>
      <c r="N440" s="542"/>
      <c r="O440" s="558"/>
      <c r="P440" s="558"/>
      <c r="AE440" s="551"/>
      <c r="AF440" s="551"/>
    </row>
    <row r="441" spans="1:32" s="536" customFormat="1" ht="11.25">
      <c r="A441" s="626"/>
      <c r="B441" s="626"/>
      <c r="C441" s="631" t="s">
        <v>2265</v>
      </c>
      <c r="D441" s="627"/>
      <c r="E441" s="627"/>
      <c r="F441" s="627"/>
      <c r="G441" s="627"/>
      <c r="H441" s="627"/>
      <c r="I441" s="627"/>
      <c r="J441" s="628" t="s">
        <v>1258</v>
      </c>
      <c r="K441" s="627"/>
      <c r="L441" s="626"/>
      <c r="M441" s="626"/>
      <c r="N441" s="542"/>
      <c r="O441" s="558"/>
      <c r="P441" s="558"/>
      <c r="AE441" s="551"/>
      <c r="AF441" s="551"/>
    </row>
    <row r="442" spans="1:32" s="536" customFormat="1" ht="11.25">
      <c r="A442" s="626"/>
      <c r="B442" s="626"/>
      <c r="C442" s="631" t="s">
        <v>2266</v>
      </c>
      <c r="D442" s="627"/>
      <c r="E442" s="627"/>
      <c r="F442" s="627"/>
      <c r="G442" s="627"/>
      <c r="H442" s="627"/>
      <c r="I442" s="627"/>
      <c r="J442" s="628" t="s">
        <v>1257</v>
      </c>
      <c r="K442" s="626"/>
      <c r="L442" s="626"/>
      <c r="M442" s="626"/>
      <c r="N442" s="542"/>
      <c r="O442" s="558"/>
      <c r="P442" s="558"/>
      <c r="AE442" s="551"/>
      <c r="AF442" s="551"/>
    </row>
    <row r="443" spans="1:32" s="536" customFormat="1" ht="11.25">
      <c r="A443" s="626"/>
      <c r="B443" s="626"/>
      <c r="C443" s="631" t="s">
        <v>2267</v>
      </c>
      <c r="D443" s="626"/>
      <c r="E443" s="626"/>
      <c r="F443" s="626"/>
      <c r="G443" s="626"/>
      <c r="H443" s="626"/>
      <c r="I443" s="626"/>
      <c r="J443" s="628" t="s">
        <v>1845</v>
      </c>
      <c r="K443" s="626"/>
      <c r="L443" s="626"/>
      <c r="M443" s="626"/>
      <c r="N443" s="542"/>
      <c r="O443" s="558"/>
      <c r="P443" s="558"/>
      <c r="AE443" s="551"/>
      <c r="AF443" s="551"/>
    </row>
    <row r="444" spans="1:32" s="536" customFormat="1" ht="11.25">
      <c r="A444" s="626"/>
      <c r="B444" s="626"/>
      <c r="C444" s="631" t="s">
        <v>2268</v>
      </c>
      <c r="D444" s="626"/>
      <c r="E444" s="626"/>
      <c r="F444" s="626"/>
      <c r="G444" s="626"/>
      <c r="H444" s="626"/>
      <c r="I444" s="626"/>
      <c r="J444" s="628" t="s">
        <v>1772</v>
      </c>
      <c r="K444" s="626"/>
      <c r="L444" s="626"/>
      <c r="M444" s="626"/>
      <c r="N444" s="542"/>
      <c r="O444" s="558"/>
      <c r="P444" s="558"/>
      <c r="AE444" s="551"/>
      <c r="AF444" s="551"/>
    </row>
    <row r="445" spans="1:32" s="536" customFormat="1" ht="11.25">
      <c r="A445" s="626"/>
      <c r="B445" s="626"/>
      <c r="C445" s="631" t="s">
        <v>2269</v>
      </c>
      <c r="D445" s="626"/>
      <c r="E445" s="626"/>
      <c r="F445" s="626"/>
      <c r="G445" s="626"/>
      <c r="H445" s="626"/>
      <c r="I445" s="626"/>
      <c r="J445" s="628" t="s">
        <v>1764</v>
      </c>
      <c r="K445" s="626"/>
      <c r="L445" s="626"/>
      <c r="M445" s="626"/>
      <c r="N445" s="542"/>
      <c r="O445" s="558"/>
      <c r="P445" s="558"/>
      <c r="AE445" s="551"/>
      <c r="AF445" s="551"/>
    </row>
    <row r="446" spans="1:32" s="536" customFormat="1" ht="11.25">
      <c r="A446" s="626"/>
      <c r="B446" s="626"/>
      <c r="C446" s="631" t="s">
        <v>1478</v>
      </c>
      <c r="D446" s="626"/>
      <c r="E446" s="626"/>
      <c r="F446" s="626"/>
      <c r="G446" s="626"/>
      <c r="H446" s="626"/>
      <c r="I446" s="626"/>
      <c r="J446" s="628" t="s">
        <v>2240</v>
      </c>
      <c r="K446" s="626"/>
      <c r="L446" s="626"/>
      <c r="M446" s="626"/>
      <c r="N446" s="542"/>
      <c r="O446" s="558"/>
      <c r="P446" s="558"/>
      <c r="AE446" s="551"/>
      <c r="AF446" s="551"/>
    </row>
    <row r="447" spans="1:32" s="536" customFormat="1" ht="11.25">
      <c r="A447" s="626"/>
      <c r="B447" s="626"/>
      <c r="C447" s="631" t="s">
        <v>2429</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1696</v>
      </c>
      <c r="D449" s="627"/>
      <c r="E449" s="627"/>
      <c r="F449" s="627"/>
      <c r="G449" s="627"/>
      <c r="H449" s="627"/>
      <c r="I449" s="627"/>
      <c r="J449" s="627"/>
      <c r="K449" s="627"/>
      <c r="L449" s="627"/>
      <c r="M449" s="627"/>
      <c r="AE449" s="510"/>
      <c r="AF449" s="510"/>
    </row>
    <row r="450" spans="1:32" s="65" customFormat="1" ht="11.25">
      <c r="A450" s="627"/>
      <c r="B450" s="627"/>
      <c r="C450" s="627" t="s">
        <v>1894</v>
      </c>
      <c r="D450" s="627"/>
      <c r="E450" s="627"/>
      <c r="F450" s="627"/>
      <c r="G450" s="627"/>
      <c r="H450" s="627"/>
      <c r="I450" s="627"/>
      <c r="J450" s="627"/>
      <c r="K450" s="627"/>
      <c r="L450" s="627"/>
      <c r="M450" s="627"/>
      <c r="AE450" s="510"/>
      <c r="AF450" s="510"/>
    </row>
    <row r="451" spans="1:32" s="65" customFormat="1" ht="11.25">
      <c r="A451" s="627"/>
      <c r="B451" s="627"/>
      <c r="C451" s="627" t="s">
        <v>2226</v>
      </c>
      <c r="D451" s="627"/>
      <c r="E451" s="626"/>
      <c r="F451" s="626"/>
      <c r="G451" s="626"/>
      <c r="H451" s="626"/>
      <c r="I451" s="626"/>
      <c r="J451" s="626"/>
      <c r="K451" s="626"/>
      <c r="L451" s="626"/>
      <c r="M451" s="626"/>
      <c r="AE451" s="510"/>
      <c r="AF451" s="510"/>
    </row>
    <row r="452" spans="1:32" s="65" customFormat="1" ht="11.25">
      <c r="A452" s="627"/>
      <c r="B452" s="627"/>
      <c r="C452" s="627" t="s">
        <v>2725</v>
      </c>
      <c r="D452" s="626"/>
      <c r="E452" s="626"/>
      <c r="F452" s="626"/>
      <c r="G452" s="626"/>
      <c r="H452" s="627"/>
      <c r="I452" s="626"/>
      <c r="J452" s="626"/>
      <c r="K452" s="626"/>
      <c r="L452" s="626"/>
      <c r="M452" s="626"/>
      <c r="AE452" s="510"/>
      <c r="AF452" s="510"/>
    </row>
    <row r="453" spans="1:32" s="65" customFormat="1" ht="11.25">
      <c r="A453" s="627"/>
      <c r="B453" s="627"/>
      <c r="C453" s="627" t="s">
        <v>2227</v>
      </c>
      <c r="D453" s="626"/>
      <c r="E453" s="626"/>
      <c r="F453" s="626"/>
      <c r="G453" s="626"/>
      <c r="H453" s="626"/>
      <c r="I453" s="626"/>
      <c r="J453" s="626"/>
      <c r="K453" s="626"/>
      <c r="L453" s="626"/>
      <c r="M453" s="626"/>
      <c r="AE453" s="510"/>
      <c r="AF453" s="510"/>
    </row>
    <row r="454" spans="1:32" s="65" customFormat="1" ht="11.25">
      <c r="A454" s="627"/>
      <c r="B454" s="627"/>
      <c r="C454" s="627" t="s">
        <v>1762</v>
      </c>
      <c r="D454" s="626"/>
      <c r="E454" s="626"/>
      <c r="F454" s="626"/>
      <c r="G454" s="626"/>
      <c r="H454" s="627"/>
      <c r="I454" s="626"/>
      <c r="J454" s="626"/>
      <c r="K454" s="626"/>
      <c r="L454" s="626"/>
      <c r="M454" s="626"/>
      <c r="AE454" s="510"/>
      <c r="AF454" s="510"/>
    </row>
    <row r="455" spans="1:32" s="65" customFormat="1" ht="11.25">
      <c r="A455" s="627"/>
      <c r="B455" s="627"/>
      <c r="C455" s="629" t="s">
        <v>2146</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1763</v>
      </c>
      <c r="D457" s="626"/>
      <c r="E457" s="626"/>
      <c r="F457" s="626"/>
      <c r="G457" s="626"/>
      <c r="H457" s="627"/>
      <c r="I457" s="626"/>
      <c r="J457" s="627"/>
      <c r="K457" s="626"/>
      <c r="L457" s="626"/>
      <c r="M457" s="626"/>
      <c r="AE457" s="510"/>
      <c r="AF457" s="510"/>
    </row>
    <row r="458" spans="1:32" s="65" customFormat="1" ht="11.25">
      <c r="A458" s="627"/>
      <c r="B458" s="627"/>
      <c r="C458" s="627" t="s">
        <v>1764</v>
      </c>
      <c r="D458" s="626"/>
      <c r="E458" s="626"/>
      <c r="F458" s="626"/>
      <c r="G458" s="626"/>
      <c r="H458" s="627"/>
      <c r="I458" s="626"/>
      <c r="J458" s="627"/>
      <c r="K458" s="626"/>
      <c r="L458" s="626"/>
      <c r="M458" s="626"/>
      <c r="AE458" s="510"/>
      <c r="AF458" s="510"/>
    </row>
    <row r="459" spans="1:32" s="65" customFormat="1" ht="11.25">
      <c r="A459" s="627"/>
      <c r="B459" s="627"/>
      <c r="C459" s="627" t="s">
        <v>2672</v>
      </c>
      <c r="D459" s="626"/>
      <c r="E459" s="626"/>
      <c r="F459" s="626"/>
      <c r="G459" s="626"/>
      <c r="H459" s="626"/>
      <c r="I459" s="626"/>
      <c r="J459" s="626"/>
      <c r="K459" s="626"/>
      <c r="L459" s="626"/>
      <c r="M459" s="626"/>
      <c r="AE459" s="510"/>
      <c r="AF459" s="510"/>
    </row>
    <row r="460" spans="1:32" s="65" customFormat="1" ht="11.25">
      <c r="A460" s="627"/>
      <c r="B460" s="627"/>
      <c r="C460" s="627" t="s">
        <v>1697</v>
      </c>
      <c r="D460" s="626"/>
      <c r="E460" s="626"/>
      <c r="F460" s="626"/>
      <c r="G460" s="626"/>
      <c r="H460" s="626"/>
      <c r="I460" s="626"/>
      <c r="J460" s="626"/>
      <c r="K460" s="626"/>
      <c r="L460" s="626"/>
      <c r="M460" s="626"/>
      <c r="AE460" s="510"/>
      <c r="AF460" s="510"/>
    </row>
    <row r="461" spans="1:32" s="65" customFormat="1" ht="11.25">
      <c r="A461" s="627"/>
      <c r="B461" s="627"/>
      <c r="C461" s="627" t="s">
        <v>1766</v>
      </c>
      <c r="D461" s="626"/>
      <c r="E461" s="626"/>
      <c r="F461" s="626"/>
      <c r="G461" s="626"/>
      <c r="H461" s="626"/>
      <c r="I461" s="626"/>
      <c r="J461" s="626"/>
      <c r="K461" s="626"/>
      <c r="L461" s="626"/>
      <c r="M461" s="626"/>
      <c r="AE461" s="510"/>
      <c r="AF461" s="510"/>
    </row>
    <row r="462" spans="1:32" s="65" customFormat="1" ht="11.25">
      <c r="A462" s="627"/>
      <c r="B462" s="627"/>
      <c r="C462" s="627" t="s">
        <v>2675</v>
      </c>
      <c r="D462" s="626"/>
      <c r="E462" s="626"/>
      <c r="F462" s="626"/>
      <c r="G462" s="626"/>
      <c r="H462" s="626"/>
      <c r="I462" s="626"/>
      <c r="J462" s="626"/>
      <c r="K462" s="626"/>
      <c r="L462" s="626"/>
      <c r="M462" s="626"/>
      <c r="AE462" s="510"/>
      <c r="AF462" s="510"/>
    </row>
    <row r="463" spans="1:32" s="65" customFormat="1" ht="11.25">
      <c r="A463" s="627"/>
      <c r="B463" s="627"/>
      <c r="C463" s="627" t="s">
        <v>1768</v>
      </c>
      <c r="D463" s="626"/>
      <c r="E463" s="626"/>
      <c r="F463" s="626"/>
      <c r="G463" s="626"/>
      <c r="H463" s="626"/>
      <c r="I463" s="626"/>
      <c r="J463" s="626"/>
      <c r="K463" s="626"/>
      <c r="L463" s="626"/>
      <c r="M463" s="626"/>
      <c r="N463" s="65" t="s">
        <v>2673</v>
      </c>
      <c r="AE463" s="510"/>
      <c r="AF463" s="510"/>
    </row>
    <row r="464" spans="1:32" s="65" customFormat="1" ht="11.25">
      <c r="A464" s="627"/>
      <c r="B464" s="627"/>
      <c r="C464" s="627" t="s">
        <v>1769</v>
      </c>
      <c r="D464" s="626"/>
      <c r="E464" s="626"/>
      <c r="F464" s="626"/>
      <c r="G464" s="626"/>
      <c r="H464" s="626"/>
      <c r="I464" s="626"/>
      <c r="J464" s="626"/>
      <c r="K464" s="626"/>
      <c r="L464" s="626"/>
      <c r="M464" s="626"/>
      <c r="AE464" s="510"/>
      <c r="AF464" s="510"/>
    </row>
    <row r="465" spans="1:32" s="65" customFormat="1" ht="11.25">
      <c r="A465" s="627"/>
      <c r="B465" s="627"/>
      <c r="C465" s="627" t="s">
        <v>1770</v>
      </c>
      <c r="D465" s="626"/>
      <c r="E465" s="626"/>
      <c r="F465" s="626"/>
      <c r="G465" s="626"/>
      <c r="H465" s="626"/>
      <c r="I465" s="626"/>
      <c r="J465" s="626"/>
      <c r="K465" s="626"/>
      <c r="L465" s="626"/>
      <c r="M465" s="626"/>
      <c r="AE465" s="510"/>
      <c r="AF465" s="510"/>
    </row>
    <row r="466" spans="1:32" s="65" customFormat="1" ht="11.25">
      <c r="A466" s="627"/>
      <c r="B466" s="627"/>
      <c r="C466" s="627" t="s">
        <v>628</v>
      </c>
      <c r="D466" s="626"/>
      <c r="E466" s="626"/>
      <c r="F466" s="626"/>
      <c r="G466" s="626"/>
      <c r="H466" s="626"/>
      <c r="I466" s="626"/>
      <c r="J466" s="626"/>
      <c r="K466" s="626"/>
      <c r="L466" s="626"/>
      <c r="M466" s="626"/>
      <c r="AE466" s="510"/>
      <c r="AF466" s="510"/>
    </row>
    <row r="467" spans="1:32" s="65" customFormat="1" ht="11.25">
      <c r="A467" s="627"/>
      <c r="B467" s="627"/>
      <c r="C467" s="627" t="s">
        <v>1771</v>
      </c>
      <c r="D467" s="626"/>
      <c r="E467" s="626"/>
      <c r="F467" s="626"/>
      <c r="G467" s="626"/>
      <c r="H467" s="626"/>
      <c r="I467" s="626"/>
      <c r="J467" s="626"/>
      <c r="K467" s="626"/>
      <c r="L467" s="626"/>
      <c r="M467" s="626"/>
      <c r="AE467" s="510"/>
      <c r="AF467" s="510"/>
    </row>
    <row r="468" spans="1:32" s="65" customFormat="1" ht="11.25">
      <c r="A468" s="627"/>
      <c r="B468" s="627"/>
      <c r="C468" s="627" t="s">
        <v>2007</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1912</v>
      </c>
      <c r="D471" s="627"/>
      <c r="E471" s="627"/>
      <c r="F471" s="627"/>
      <c r="G471" s="627"/>
      <c r="H471" s="627"/>
      <c r="I471" s="627"/>
      <c r="J471" s="627"/>
      <c r="K471" s="627"/>
      <c r="L471" s="627"/>
      <c r="M471" s="627"/>
      <c r="AE471" s="510"/>
      <c r="AF471" s="510"/>
    </row>
    <row r="472" spans="1:32" s="65" customFormat="1" ht="11.25">
      <c r="A472" s="627"/>
      <c r="B472" s="627"/>
      <c r="C472" s="627" t="s">
        <v>982</v>
      </c>
      <c r="D472" s="627"/>
      <c r="E472" s="627"/>
      <c r="F472" s="627"/>
      <c r="G472" s="627"/>
      <c r="H472" s="627"/>
      <c r="I472" s="627"/>
      <c r="J472" s="627"/>
      <c r="K472" s="627"/>
      <c r="L472" s="627"/>
      <c r="M472" s="627"/>
      <c r="AE472" s="510"/>
      <c r="AF472" s="510"/>
    </row>
    <row r="473" spans="1:32" s="65" customFormat="1" ht="11.25">
      <c r="A473" s="627"/>
      <c r="B473" s="627"/>
      <c r="C473" s="631" t="s">
        <v>1739</v>
      </c>
      <c r="D473" s="627"/>
      <c r="E473" s="627"/>
      <c r="F473" s="627"/>
      <c r="G473" s="627"/>
      <c r="H473" s="627"/>
      <c r="I473" s="627"/>
      <c r="J473" s="627"/>
      <c r="K473" s="627"/>
      <c r="L473" s="627"/>
      <c r="M473" s="627"/>
      <c r="AE473" s="510"/>
      <c r="AF473" s="510"/>
    </row>
    <row r="474" spans="1:32" s="65" customFormat="1" ht="11.25">
      <c r="A474" s="627"/>
      <c r="B474" s="627"/>
      <c r="C474" s="631" t="s">
        <v>768</v>
      </c>
      <c r="D474" s="627"/>
      <c r="E474" s="627"/>
      <c r="F474" s="627"/>
      <c r="G474" s="627"/>
      <c r="H474" s="627"/>
      <c r="I474" s="627"/>
      <c r="J474" s="627"/>
      <c r="K474" s="627"/>
      <c r="L474" s="631"/>
      <c r="M474" s="627"/>
      <c r="AE474" s="510"/>
      <c r="AF474" s="510"/>
    </row>
    <row r="475" spans="1:32" s="65" customFormat="1" ht="11.25">
      <c r="A475" s="627"/>
      <c r="B475" s="627"/>
      <c r="C475" s="631" t="s">
        <v>769</v>
      </c>
      <c r="D475" s="627"/>
      <c r="E475" s="627"/>
      <c r="F475" s="627"/>
      <c r="G475" s="627"/>
      <c r="H475" s="627"/>
      <c r="I475" s="627"/>
      <c r="J475" s="627"/>
      <c r="K475" s="627"/>
      <c r="L475" s="631"/>
      <c r="M475" s="627"/>
      <c r="AE475" s="510"/>
      <c r="AF475" s="510"/>
    </row>
    <row r="476" spans="1:32" s="65" customFormat="1" ht="11.25">
      <c r="A476" s="627"/>
      <c r="B476" s="627"/>
      <c r="C476" s="631" t="s">
        <v>2293</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2012</v>
      </c>
      <c r="D479" s="627"/>
      <c r="E479" s="627"/>
      <c r="F479" s="627"/>
      <c r="G479" s="627"/>
      <c r="H479" s="627"/>
      <c r="I479" s="627"/>
      <c r="J479" s="627"/>
      <c r="K479" s="627"/>
      <c r="L479" s="627"/>
      <c r="M479" s="627"/>
      <c r="AE479" s="510"/>
      <c r="AF479" s="510"/>
    </row>
    <row r="480" spans="1:32" s="65" customFormat="1" ht="11.25">
      <c r="A480" s="627"/>
      <c r="B480" s="627"/>
      <c r="C480" s="631" t="s">
        <v>1002</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2874</v>
      </c>
      <c r="D484" s="627"/>
      <c r="E484" s="627"/>
      <c r="F484" s="627"/>
      <c r="G484" s="627"/>
      <c r="H484" s="627"/>
      <c r="I484" s="627"/>
      <c r="J484" s="627"/>
      <c r="K484" s="627"/>
      <c r="L484" s="627"/>
      <c r="M484" s="627"/>
      <c r="AE484" s="510"/>
      <c r="AF484" s="510"/>
    </row>
    <row r="485" spans="1:32" s="65" customFormat="1" ht="11.25">
      <c r="A485" s="627"/>
      <c r="B485" s="627"/>
      <c r="C485" s="631" t="s">
        <v>2145</v>
      </c>
      <c r="D485" s="627"/>
      <c r="E485" s="627"/>
      <c r="F485" s="627"/>
      <c r="G485" s="627"/>
      <c r="H485" s="627"/>
      <c r="I485" s="627"/>
      <c r="J485" s="627"/>
      <c r="K485" s="627"/>
      <c r="L485" s="631"/>
      <c r="M485" s="627"/>
      <c r="AE485" s="510"/>
      <c r="AF485" s="510"/>
    </row>
    <row r="486" spans="1:32" s="65" customFormat="1" ht="11.25">
      <c r="A486" s="627"/>
      <c r="B486" s="627"/>
      <c r="C486" s="566" t="s">
        <v>2875</v>
      </c>
      <c r="D486" s="627"/>
      <c r="E486" s="627"/>
      <c r="F486" s="627"/>
      <c r="G486" s="627"/>
      <c r="H486" s="627"/>
      <c r="I486" s="627"/>
      <c r="J486" s="627"/>
      <c r="K486" s="627"/>
      <c r="L486" s="631"/>
      <c r="M486" s="627"/>
      <c r="AE486" s="510"/>
      <c r="AF486" s="510"/>
    </row>
    <row r="487" spans="1:32" s="65" customFormat="1" ht="11.25">
      <c r="A487" s="627"/>
      <c r="B487" s="627"/>
      <c r="C487" s="566" t="s">
        <v>1469</v>
      </c>
      <c r="D487" s="627"/>
      <c r="E487" s="627"/>
      <c r="F487" s="627"/>
      <c r="G487" s="627"/>
      <c r="H487" s="627"/>
      <c r="I487" s="627"/>
      <c r="J487" s="627"/>
      <c r="K487" s="627"/>
      <c r="L487" s="631"/>
      <c r="M487" s="627"/>
      <c r="AE487" s="510"/>
      <c r="AF487" s="510"/>
    </row>
    <row r="488" spans="1:32" s="65" customFormat="1" ht="11.25">
      <c r="A488" s="627"/>
      <c r="B488" s="627"/>
      <c r="C488" s="566" t="s">
        <v>1695</v>
      </c>
      <c r="D488" s="627"/>
      <c r="E488" s="627"/>
      <c r="F488" s="627"/>
      <c r="G488" s="627"/>
      <c r="H488" s="627"/>
      <c r="I488" s="627"/>
      <c r="J488" s="627"/>
      <c r="K488" s="634" t="s">
        <v>485</v>
      </c>
      <c r="L488" s="631"/>
      <c r="M488" s="627"/>
      <c r="AE488" s="510"/>
      <c r="AF488" s="510"/>
    </row>
    <row r="489" spans="1:32" s="65" customFormat="1" ht="11.25">
      <c r="A489" s="627"/>
      <c r="B489" s="627"/>
      <c r="C489" s="566" t="s">
        <v>2876</v>
      </c>
      <c r="D489" s="627"/>
      <c r="E489" s="627"/>
      <c r="F489" s="627"/>
      <c r="G489" s="627"/>
      <c r="H489" s="627"/>
      <c r="I489" s="627"/>
      <c r="J489" s="627"/>
      <c r="K489" s="627" t="s">
        <v>1147</v>
      </c>
      <c r="L489" s="631"/>
      <c r="M489" s="627"/>
      <c r="AE489" s="510"/>
      <c r="AF489" s="510"/>
    </row>
    <row r="490" spans="1:32" s="65" customFormat="1" ht="11.25">
      <c r="A490" s="627"/>
      <c r="B490" s="627"/>
      <c r="C490" s="566" t="s">
        <v>2877</v>
      </c>
      <c r="D490" s="627"/>
      <c r="E490" s="627"/>
      <c r="F490" s="627"/>
      <c r="G490" s="627"/>
      <c r="H490" s="627"/>
      <c r="I490" s="627"/>
      <c r="J490" s="627"/>
      <c r="K490" s="627" t="s">
        <v>2845</v>
      </c>
      <c r="L490" s="627"/>
      <c r="M490" s="627"/>
      <c r="AE490" s="510"/>
      <c r="AF490" s="510"/>
    </row>
    <row r="491" spans="1:32" s="65" customFormat="1" ht="11.25">
      <c r="A491" s="627"/>
      <c r="B491" s="627"/>
      <c r="C491" s="631" t="s">
        <v>1280</v>
      </c>
      <c r="D491" s="627"/>
      <c r="E491" s="627"/>
      <c r="F491" s="627"/>
      <c r="G491" s="627"/>
      <c r="H491" s="627"/>
      <c r="I491" s="627"/>
      <c r="J491" s="627"/>
      <c r="K491" s="627" t="s">
        <v>2846</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2388</v>
      </c>
      <c r="L493" s="627"/>
      <c r="M493" s="627"/>
      <c r="AE493" s="510"/>
      <c r="AF493" s="510"/>
    </row>
    <row r="494" spans="1:32" s="65" customFormat="1" ht="11.25">
      <c r="A494" s="627"/>
      <c r="B494" s="627"/>
      <c r="C494" s="627" t="s">
        <v>1148</v>
      </c>
      <c r="D494" s="627"/>
      <c r="E494" s="627"/>
      <c r="F494" s="627"/>
      <c r="G494" s="627"/>
      <c r="H494" s="627"/>
      <c r="I494" s="627"/>
      <c r="J494" s="627"/>
      <c r="K494" s="627" t="s">
        <v>2475</v>
      </c>
      <c r="L494" s="627"/>
      <c r="M494" s="627"/>
      <c r="AE494" s="510"/>
      <c r="AF494" s="510"/>
    </row>
    <row r="495" spans="1:32" s="65" customFormat="1" ht="11.25">
      <c r="A495" s="627"/>
      <c r="B495" s="627"/>
      <c r="C495" s="627" t="s">
        <v>177</v>
      </c>
      <c r="D495" s="627"/>
      <c r="E495" s="627"/>
      <c r="F495" s="627"/>
      <c r="G495" s="627"/>
      <c r="H495" s="627"/>
      <c r="I495" s="627"/>
      <c r="J495" s="627"/>
      <c r="K495" s="627" t="s">
        <v>1538</v>
      </c>
      <c r="L495" s="627"/>
      <c r="M495" s="627"/>
      <c r="AE495" s="510"/>
      <c r="AF495" s="510"/>
    </row>
    <row r="496" spans="1:32" s="65" customFormat="1" ht="11.25">
      <c r="A496" s="627"/>
      <c r="B496" s="627"/>
      <c r="C496" s="627" t="s">
        <v>1631</v>
      </c>
      <c r="D496" s="627"/>
      <c r="E496" s="627"/>
      <c r="F496" s="627"/>
      <c r="G496" s="627"/>
      <c r="H496" s="627"/>
      <c r="I496" s="627"/>
      <c r="J496" s="627"/>
      <c r="K496" s="627" t="s">
        <v>1199</v>
      </c>
      <c r="L496" s="627"/>
      <c r="M496" s="627"/>
      <c r="AE496" s="510"/>
      <c r="AF496" s="510"/>
    </row>
    <row r="497" spans="1:32" s="65" customFormat="1" ht="11.25">
      <c r="A497" s="627"/>
      <c r="B497" s="627"/>
      <c r="C497" s="627" t="s">
        <v>2255</v>
      </c>
      <c r="D497" s="627"/>
      <c r="E497" s="627"/>
      <c r="F497" s="627"/>
      <c r="G497" s="627"/>
      <c r="H497" s="627"/>
      <c r="I497" s="627"/>
      <c r="J497" s="627"/>
      <c r="K497" s="627" t="s">
        <v>1198</v>
      </c>
      <c r="L497" s="627"/>
      <c r="M497" s="627"/>
      <c r="AE497" s="510"/>
      <c r="AF497" s="510"/>
    </row>
    <row r="498" spans="1:32" s="65" customFormat="1" ht="11.25">
      <c r="A498" s="627"/>
      <c r="B498" s="627"/>
      <c r="C498" s="627" t="s">
        <v>176</v>
      </c>
      <c r="D498" s="627"/>
      <c r="E498" s="627"/>
      <c r="F498" s="627"/>
      <c r="G498" s="627"/>
      <c r="H498" s="627"/>
      <c r="I498" s="627"/>
      <c r="J498" s="627"/>
      <c r="K498" s="627" t="s">
        <v>2985</v>
      </c>
      <c r="L498" s="627"/>
      <c r="M498" s="627"/>
      <c r="AE498" s="510"/>
      <c r="AF498" s="510"/>
    </row>
    <row r="499" spans="1:32" s="65" customFormat="1" ht="11.25">
      <c r="A499" s="627"/>
      <c r="B499" s="627"/>
      <c r="C499" s="627"/>
      <c r="D499" s="627"/>
      <c r="E499" s="627"/>
      <c r="F499" s="627"/>
      <c r="G499" s="627"/>
      <c r="H499" s="627"/>
      <c r="I499" s="627"/>
      <c r="J499" s="627"/>
      <c r="K499" s="634" t="s">
        <v>2081</v>
      </c>
      <c r="L499" s="627"/>
      <c r="M499" s="627"/>
      <c r="AE499" s="510"/>
      <c r="AF499" s="510"/>
    </row>
    <row r="500" spans="1:32" s="65" customFormat="1" ht="11.25">
      <c r="A500" s="627"/>
      <c r="B500" s="627"/>
      <c r="C500" s="627"/>
      <c r="D500" s="627"/>
      <c r="E500" s="627"/>
      <c r="F500" s="627"/>
      <c r="G500" s="627"/>
      <c r="H500" s="627"/>
      <c r="I500" s="627"/>
      <c r="J500" s="627"/>
      <c r="K500" s="627" t="s">
        <v>1146</v>
      </c>
      <c r="L500" s="627"/>
      <c r="M500" s="627"/>
      <c r="AE500" s="510"/>
      <c r="AF500" s="510"/>
    </row>
    <row r="501" spans="1:32" s="65" customFormat="1" ht="11.25">
      <c r="A501" s="627"/>
      <c r="B501" s="627"/>
      <c r="C501" s="627"/>
      <c r="D501" s="627"/>
      <c r="E501" s="627"/>
      <c r="F501" s="627"/>
      <c r="G501" s="627"/>
      <c r="H501" s="627"/>
      <c r="I501" s="627"/>
      <c r="J501" s="627"/>
      <c r="K501" s="627" t="s">
        <v>1873</v>
      </c>
      <c r="L501" s="627"/>
      <c r="M501" s="627"/>
      <c r="AE501" s="510"/>
      <c r="AF501" s="510"/>
    </row>
    <row r="502" spans="1:32" s="65" customFormat="1" ht="11.25">
      <c r="A502" s="627"/>
      <c r="B502" s="627"/>
      <c r="C502" s="627"/>
      <c r="D502" s="627"/>
      <c r="E502" s="627"/>
      <c r="F502" s="627"/>
      <c r="G502" s="627"/>
      <c r="H502" s="627"/>
      <c r="I502" s="627"/>
      <c r="J502" s="627"/>
      <c r="K502" s="627" t="s">
        <v>1200</v>
      </c>
      <c r="L502" s="627"/>
      <c r="M502" s="627"/>
      <c r="AE502" s="510"/>
      <c r="AF502" s="510"/>
    </row>
    <row r="503" spans="1:32" s="65" customFormat="1" ht="11.25">
      <c r="A503" s="627"/>
      <c r="B503" s="627"/>
      <c r="C503" s="627"/>
      <c r="D503" s="627"/>
      <c r="E503" s="627"/>
      <c r="F503" s="627"/>
      <c r="G503" s="627"/>
      <c r="H503" s="627"/>
      <c r="I503" s="627"/>
      <c r="J503" s="627"/>
      <c r="K503" s="627" t="s">
        <v>1874</v>
      </c>
      <c r="L503" s="627"/>
      <c r="M503" s="627"/>
      <c r="AE503" s="510"/>
      <c r="AF503" s="510"/>
    </row>
    <row r="504" spans="1:32" s="65" customFormat="1" ht="11.25">
      <c r="A504" s="627"/>
      <c r="B504" s="627"/>
      <c r="C504" s="627"/>
      <c r="D504" s="627"/>
      <c r="E504" s="627"/>
      <c r="F504" s="627"/>
      <c r="G504" s="627"/>
      <c r="H504" s="627"/>
      <c r="I504" s="627"/>
      <c r="J504" s="627"/>
      <c r="K504" s="627" t="s">
        <v>2521</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1074</v>
      </c>
      <c r="D506" s="627"/>
      <c r="E506" s="627"/>
      <c r="F506" s="627"/>
      <c r="G506" s="627"/>
      <c r="H506" s="627"/>
      <c r="I506" s="627"/>
      <c r="J506" s="627"/>
      <c r="K506" s="633" t="s">
        <v>1075</v>
      </c>
      <c r="L506" s="627"/>
      <c r="M506" s="627"/>
      <c r="AE506" s="510"/>
      <c r="AF506" s="510"/>
    </row>
    <row r="507" spans="1:32" s="65" customFormat="1" ht="11.25">
      <c r="A507" s="627"/>
      <c r="B507" s="627"/>
      <c r="C507" s="627" t="s">
        <v>1073</v>
      </c>
      <c r="D507" s="627"/>
      <c r="E507" s="627"/>
      <c r="F507" s="627"/>
      <c r="G507" s="627"/>
      <c r="H507" s="627"/>
      <c r="I507" s="627"/>
      <c r="J507" s="627"/>
      <c r="K507" s="627" t="s">
        <v>1073</v>
      </c>
      <c r="L507" s="627"/>
      <c r="M507" s="627"/>
      <c r="AE507" s="510"/>
      <c r="AF507" s="510"/>
    </row>
    <row r="508" spans="1:32" s="65" customFormat="1" ht="11.25">
      <c r="A508" s="627"/>
      <c r="B508" s="627"/>
      <c r="C508" s="627" t="s">
        <v>2226</v>
      </c>
      <c r="D508" s="627"/>
      <c r="E508" s="627"/>
      <c r="F508" s="627"/>
      <c r="G508" s="627"/>
      <c r="H508" s="627"/>
      <c r="I508" s="627"/>
      <c r="J508" s="627"/>
      <c r="K508" s="627" t="s">
        <v>241</v>
      </c>
      <c r="L508" s="627"/>
      <c r="M508" s="627"/>
      <c r="AE508" s="510"/>
      <c r="AF508" s="510"/>
    </row>
    <row r="509" spans="1:32" s="65" customFormat="1" ht="11.25">
      <c r="A509" s="627"/>
      <c r="B509" s="627"/>
      <c r="C509" s="627" t="s">
        <v>2725</v>
      </c>
      <c r="D509" s="627"/>
      <c r="E509" s="627"/>
      <c r="F509" s="627"/>
      <c r="G509" s="627"/>
      <c r="H509" s="627"/>
      <c r="I509" s="627"/>
      <c r="J509" s="627"/>
      <c r="K509" s="627" t="s">
        <v>513</v>
      </c>
      <c r="L509" s="627"/>
      <c r="M509" s="627"/>
      <c r="AE509" s="510"/>
      <c r="AF509" s="510"/>
    </row>
    <row r="510" spans="1:32" s="65" customFormat="1" ht="11.25">
      <c r="A510" s="627"/>
      <c r="B510" s="627"/>
      <c r="C510" s="627" t="s">
        <v>2227</v>
      </c>
      <c r="D510" s="627"/>
      <c r="E510" s="627"/>
      <c r="F510" s="627"/>
      <c r="G510" s="627"/>
      <c r="H510" s="627"/>
      <c r="I510" s="627"/>
      <c r="J510" s="627"/>
      <c r="K510" s="627" t="s">
        <v>2672</v>
      </c>
      <c r="L510" s="627"/>
      <c r="M510" s="627"/>
      <c r="AE510" s="510"/>
      <c r="AF510" s="510"/>
    </row>
    <row r="511" spans="1:32" s="65" customFormat="1" ht="11.25">
      <c r="A511" s="627"/>
      <c r="B511" s="627"/>
      <c r="C511" s="627" t="s">
        <v>2082</v>
      </c>
      <c r="D511" s="627"/>
      <c r="E511" s="627"/>
      <c r="F511" s="627"/>
      <c r="G511" s="627"/>
      <c r="H511" s="627"/>
      <c r="I511" s="627"/>
      <c r="J511" s="627"/>
      <c r="K511" s="627" t="s">
        <v>2091</v>
      </c>
      <c r="L511" s="627"/>
      <c r="M511" s="627"/>
      <c r="AE511" s="510"/>
      <c r="AF511" s="510"/>
    </row>
    <row r="512" spans="1:32" s="65" customFormat="1" ht="11.25">
      <c r="A512" s="627"/>
      <c r="B512" s="627"/>
      <c r="C512" s="627" t="s">
        <v>627</v>
      </c>
      <c r="D512" s="627"/>
      <c r="E512" s="627"/>
      <c r="F512" s="627"/>
      <c r="G512" s="627"/>
      <c r="H512" s="627"/>
      <c r="I512" s="627"/>
      <c r="J512" s="627"/>
      <c r="K512" s="627" t="s">
        <v>2674</v>
      </c>
      <c r="L512" s="627"/>
      <c r="M512" s="627"/>
      <c r="AE512" s="510"/>
      <c r="AF512" s="510"/>
    </row>
    <row r="513" spans="1:32" s="65" customFormat="1" ht="11.25">
      <c r="A513" s="627"/>
      <c r="B513" s="627"/>
      <c r="C513" s="627" t="s">
        <v>2334</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1947</v>
      </c>
      <c r="L514" s="627"/>
      <c r="M514" s="627"/>
      <c r="AE514" s="510"/>
      <c r="AF514" s="510"/>
    </row>
    <row r="515" spans="1:32" s="65" customFormat="1" ht="11.25">
      <c r="A515" s="627"/>
      <c r="B515" s="627"/>
      <c r="C515" s="627"/>
      <c r="D515" s="627"/>
      <c r="E515" s="627"/>
      <c r="F515" s="627"/>
      <c r="G515" s="627"/>
      <c r="H515" s="627"/>
      <c r="I515" s="627"/>
      <c r="J515" s="627"/>
      <c r="K515" s="627" t="s">
        <v>2675</v>
      </c>
      <c r="L515" s="627"/>
      <c r="M515" s="627"/>
      <c r="AE515" s="510"/>
      <c r="AF515" s="510"/>
    </row>
    <row r="516" spans="1:32" s="65" customFormat="1" ht="11.25">
      <c r="A516" s="627"/>
      <c r="B516" s="627"/>
      <c r="C516" s="627"/>
      <c r="D516" s="627"/>
      <c r="E516" s="627"/>
      <c r="F516" s="627"/>
      <c r="G516" s="627"/>
      <c r="H516" s="627"/>
      <c r="I516" s="627"/>
      <c r="J516" s="627"/>
      <c r="K516" s="627" t="s">
        <v>1232</v>
      </c>
      <c r="L516" s="627"/>
      <c r="M516" s="627"/>
      <c r="AE516" s="510"/>
      <c r="AF516" s="510"/>
    </row>
    <row r="517" spans="1:32" s="65" customFormat="1" ht="11.25">
      <c r="A517" s="627"/>
      <c r="B517" s="627"/>
      <c r="C517" s="627"/>
      <c r="D517" s="627"/>
      <c r="E517" s="627"/>
      <c r="F517" s="627"/>
      <c r="G517" s="627"/>
      <c r="H517" s="627"/>
      <c r="I517" s="627"/>
      <c r="J517" s="627"/>
      <c r="K517" s="627" t="s">
        <v>2006</v>
      </c>
      <c r="L517" s="627"/>
      <c r="M517" s="627"/>
      <c r="AE517" s="510"/>
      <c r="AF517" s="510"/>
    </row>
    <row r="518" spans="1:32" s="65" customFormat="1" ht="11.25">
      <c r="A518" s="627"/>
      <c r="B518" s="627"/>
      <c r="C518" s="627"/>
      <c r="D518" s="627"/>
      <c r="E518" s="627"/>
      <c r="F518" s="627"/>
      <c r="G518" s="627"/>
      <c r="H518" s="627"/>
      <c r="I518" s="627"/>
      <c r="J518" s="627"/>
      <c r="K518" s="627" t="s">
        <v>626</v>
      </c>
      <c r="L518" s="627"/>
      <c r="M518" s="627"/>
      <c r="AE518" s="510"/>
      <c r="AF518" s="510"/>
    </row>
    <row r="519" spans="1:32" s="65" customFormat="1" ht="11.25">
      <c r="A519" s="627"/>
      <c r="B519" s="627"/>
      <c r="C519" s="627"/>
      <c r="D519" s="627"/>
      <c r="E519" s="627"/>
      <c r="F519" s="627"/>
      <c r="G519" s="627"/>
      <c r="H519" s="627"/>
      <c r="I519" s="627"/>
      <c r="J519" s="627"/>
      <c r="K519" s="627" t="s">
        <v>2007</v>
      </c>
      <c r="L519" s="627"/>
      <c r="M519" s="627"/>
      <c r="AE519" s="510"/>
      <c r="AF519" s="510"/>
    </row>
    <row r="520" spans="1:32" s="65" customFormat="1" ht="11.25">
      <c r="A520" s="627"/>
      <c r="B520" s="627"/>
      <c r="C520" s="627"/>
      <c r="D520" s="627"/>
      <c r="E520" s="627"/>
      <c r="F520" s="627"/>
      <c r="G520" s="627"/>
      <c r="H520" s="627"/>
      <c r="I520" s="627"/>
      <c r="J520" s="627"/>
      <c r="K520" s="627" t="s">
        <v>628</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2173</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7"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3">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8" customWidth="1"/>
    <col min="17" max="17" width="6" style="31" customWidth="1"/>
    <col min="18" max="21" width="9.140625" style="31" customWidth="1"/>
    <col min="22" max="22" width="8.85546875" style="31" customWidth="1"/>
    <col min="23" max="16384" width="9.140625" style="31"/>
  </cols>
  <sheetData>
    <row r="1" spans="1:19" s="43" customFormat="1" ht="13.9" customHeight="1">
      <c r="A1" s="1798" t="str">
        <f>CONCATENATE("PART NINE - SCORING CRITERIA","  -  ",'Part I-Project Information'!$O$4," ",'Part I-Project Information'!$F$23,", ",'Part I-Project Information'!F27,", ",'Part I-Project Information'!J28," County")</f>
        <v>PART NINE - SCORING CRITERIA  -  2014-006 North Grove Apartments, Athens, Clarke County</v>
      </c>
      <c r="B1" s="1799"/>
      <c r="C1" s="1799"/>
      <c r="D1" s="1799"/>
      <c r="E1" s="1799"/>
      <c r="F1" s="1799"/>
      <c r="G1" s="1799"/>
      <c r="H1" s="1799"/>
      <c r="I1" s="1799"/>
      <c r="J1" s="1799"/>
      <c r="K1" s="1799"/>
      <c r="L1" s="1799"/>
      <c r="M1" s="1799"/>
      <c r="N1" s="1799"/>
      <c r="O1" s="1799"/>
      <c r="P1" s="180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4" t="s">
        <v>270</v>
      </c>
    </row>
    <row r="4" spans="1:19" s="52" customFormat="1" ht="12.6" customHeight="1">
      <c r="A4" s="50"/>
      <c r="B4" s="50"/>
      <c r="C4" s="50"/>
      <c r="D4" s="50"/>
      <c r="E4" s="50"/>
      <c r="F4" s="50"/>
      <c r="G4" s="50"/>
      <c r="H4" s="50"/>
      <c r="I4" s="50"/>
      <c r="J4" s="50"/>
      <c r="K4" s="50"/>
      <c r="M4" s="216" t="s">
        <v>96</v>
      </c>
      <c r="N4" s="99"/>
      <c r="O4" s="215" t="s">
        <v>2362</v>
      </c>
      <c r="P4" s="98" t="s">
        <v>2362</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1302</v>
      </c>
      <c r="M6" s="328">
        <f>M352</f>
        <v>87</v>
      </c>
      <c r="N6" s="10"/>
      <c r="O6" s="76">
        <f>O352</f>
        <v>52</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2121</v>
      </c>
      <c r="B8" s="123" t="s">
        <v>3236</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2117</v>
      </c>
      <c r="B10" s="205" t="s">
        <v>1997</v>
      </c>
      <c r="D10" s="56"/>
      <c r="E10" s="56"/>
      <c r="F10" s="1183" t="s">
        <v>2764</v>
      </c>
      <c r="G10" s="38">
        <f>F16</f>
        <v>0</v>
      </c>
      <c r="H10" s="213" t="s">
        <v>3524</v>
      </c>
      <c r="M10" s="7"/>
      <c r="N10" s="77" t="s">
        <v>2117</v>
      </c>
      <c r="O10" s="1104"/>
      <c r="P10" s="1400"/>
    </row>
    <row r="11" spans="1:19" s="51" customFormat="1" ht="11.25" customHeight="1">
      <c r="A11" s="222"/>
      <c r="B11" s="127" t="s">
        <v>2250</v>
      </c>
      <c r="D11" s="56"/>
      <c r="E11" s="56"/>
      <c r="F11" s="1183" t="s">
        <v>2764</v>
      </c>
      <c r="G11" s="38">
        <f>P16</f>
        <v>0</v>
      </c>
      <c r="H11" s="213" t="s">
        <v>3156</v>
      </c>
      <c r="J11" s="57"/>
      <c r="M11" s="7">
        <v>1</v>
      </c>
      <c r="N11" s="77"/>
      <c r="O11" s="1105"/>
      <c r="P11" s="1401"/>
    </row>
    <row r="12" spans="1:19" s="50" customFormat="1" ht="11.25" customHeight="1">
      <c r="A12" s="222" t="s">
        <v>2120</v>
      </c>
      <c r="B12" s="205" t="s">
        <v>775</v>
      </c>
      <c r="D12" s="56"/>
      <c r="E12" s="56"/>
      <c r="F12" s="1183" t="s">
        <v>2764</v>
      </c>
      <c r="G12" s="38">
        <f>K16</f>
        <v>0</v>
      </c>
      <c r="H12" s="213" t="s">
        <v>2987</v>
      </c>
      <c r="J12" s="57"/>
      <c r="M12" s="7"/>
      <c r="N12" s="77" t="s">
        <v>2120</v>
      </c>
      <c r="O12" s="1106"/>
      <c r="P12" s="1402"/>
      <c r="Q12" s="126"/>
    </row>
    <row r="13" spans="1:19" s="50" customFormat="1" ht="11.25" customHeight="1">
      <c r="A13" s="57" t="s">
        <v>269</v>
      </c>
      <c r="D13" s="56"/>
      <c r="E13" s="56"/>
      <c r="F13" s="56"/>
      <c r="G13" s="56"/>
      <c r="H13" s="44"/>
      <c r="I13" s="44"/>
      <c r="J13" s="44"/>
      <c r="K13" s="44"/>
      <c r="L13" s="51"/>
      <c r="M13" s="54"/>
      <c r="N13" s="73"/>
      <c r="O13" s="4"/>
      <c r="P13" s="1176"/>
    </row>
    <row r="14" spans="1:19" s="50" customFormat="1" ht="12.6" customHeight="1">
      <c r="A14" s="2008"/>
      <c r="B14" s="2009"/>
      <c r="C14" s="2009"/>
      <c r="D14" s="2009"/>
      <c r="E14" s="2009"/>
      <c r="F14" s="2009"/>
      <c r="G14" s="2009"/>
      <c r="H14" s="2009"/>
      <c r="I14" s="2009"/>
      <c r="J14" s="2009"/>
      <c r="K14" s="2009"/>
      <c r="L14" s="2009"/>
      <c r="M14" s="2009"/>
      <c r="N14" s="2009"/>
      <c r="O14" s="2009"/>
      <c r="P14" s="2010"/>
      <c r="Q14" s="562" t="s">
        <v>1331</v>
      </c>
      <c r="R14" s="563"/>
    </row>
    <row r="15" spans="1:19" s="50" customFormat="1" ht="10.9" customHeight="1">
      <c r="A15" s="79" t="s">
        <v>1995</v>
      </c>
      <c r="C15" s="111"/>
      <c r="D15" s="111"/>
      <c r="F15" s="1192" t="s">
        <v>1834</v>
      </c>
      <c r="K15" s="1192" t="s">
        <v>1834</v>
      </c>
      <c r="P15" s="594" t="s">
        <v>1834</v>
      </c>
      <c r="R15" s="564"/>
      <c r="S15" s="188"/>
    </row>
    <row r="16" spans="1:19" s="50" customFormat="1" ht="12" customHeight="1">
      <c r="A16" s="2273" t="s">
        <v>2562</v>
      </c>
      <c r="B16" s="2273"/>
      <c r="C16" s="2273"/>
      <c r="D16" s="2273"/>
      <c r="E16" s="78" t="s">
        <v>540</v>
      </c>
      <c r="F16" s="89">
        <f>SUM(F17:F28)</f>
        <v>0</v>
      </c>
      <c r="G16" s="2274" t="s">
        <v>2563</v>
      </c>
      <c r="H16" s="2273"/>
      <c r="I16" s="2273"/>
      <c r="J16" s="78" t="s">
        <v>540</v>
      </c>
      <c r="K16" s="89">
        <f>SUM(K17:K28)</f>
        <v>0</v>
      </c>
      <c r="L16" s="1188" t="s">
        <v>3155</v>
      </c>
      <c r="M16" s="111"/>
      <c r="N16" s="110"/>
      <c r="O16" s="78"/>
      <c r="P16" s="89">
        <f>SUM(P17:P28)</f>
        <v>0</v>
      </c>
      <c r="R16" s="564"/>
      <c r="S16" s="188"/>
    </row>
    <row r="17" spans="1:19" s="50" customFormat="1" ht="23.25" customHeight="1">
      <c r="A17" s="2270">
        <v>1</v>
      </c>
      <c r="B17" s="2271"/>
      <c r="C17" s="2271"/>
      <c r="D17" s="2271"/>
      <c r="E17" s="2272"/>
      <c r="F17" s="1403"/>
      <c r="G17" s="2245">
        <v>1</v>
      </c>
      <c r="H17" s="2246"/>
      <c r="I17" s="2246"/>
      <c r="J17" s="2246"/>
      <c r="K17" s="1107" t="s">
        <v>1854</v>
      </c>
      <c r="L17" s="2245">
        <v>1</v>
      </c>
      <c r="M17" s="2246"/>
      <c r="N17" s="2246"/>
      <c r="O17" s="2246"/>
      <c r="P17" s="1403"/>
      <c r="Q17" s="562" t="s">
        <v>1331</v>
      </c>
      <c r="R17" s="563"/>
      <c r="S17" s="188"/>
    </row>
    <row r="18" spans="1:19" s="50" customFormat="1" ht="23.25" customHeight="1">
      <c r="A18" s="2247">
        <v>2</v>
      </c>
      <c r="B18" s="2248"/>
      <c r="C18" s="2248"/>
      <c r="D18" s="2248"/>
      <c r="E18" s="2249"/>
      <c r="F18" s="1404"/>
      <c r="G18" s="2243">
        <v>2</v>
      </c>
      <c r="H18" s="2244"/>
      <c r="I18" s="2244"/>
      <c r="J18" s="2244"/>
      <c r="K18" s="1404"/>
      <c r="L18" s="2243">
        <v>2</v>
      </c>
      <c r="M18" s="2244"/>
      <c r="N18" s="2244"/>
      <c r="O18" s="2244"/>
      <c r="P18" s="1404"/>
      <c r="Q18" s="562"/>
      <c r="R18" s="563"/>
      <c r="S18" s="188"/>
    </row>
    <row r="19" spans="1:19" s="50" customFormat="1" ht="23.25" customHeight="1">
      <c r="A19" s="2247">
        <v>3</v>
      </c>
      <c r="B19" s="2248"/>
      <c r="C19" s="2248"/>
      <c r="D19" s="2248"/>
      <c r="E19" s="2249"/>
      <c r="F19" s="1404"/>
      <c r="G19" s="2243">
        <v>3</v>
      </c>
      <c r="H19" s="2244"/>
      <c r="I19" s="2244"/>
      <c r="J19" s="2244"/>
      <c r="K19" s="1108" t="s">
        <v>3595</v>
      </c>
      <c r="L19" s="2243">
        <v>3</v>
      </c>
      <c r="M19" s="2244"/>
      <c r="N19" s="2244"/>
      <c r="O19" s="2244"/>
      <c r="P19" s="1404"/>
      <c r="Q19" s="562"/>
      <c r="R19" s="563"/>
      <c r="S19" s="188"/>
    </row>
    <row r="20" spans="1:19" s="50" customFormat="1" ht="23.25" customHeight="1">
      <c r="A20" s="2247">
        <v>4</v>
      </c>
      <c r="B20" s="2248"/>
      <c r="C20" s="2248"/>
      <c r="D20" s="2248"/>
      <c r="E20" s="2249"/>
      <c r="F20" s="1404"/>
      <c r="G20" s="2243">
        <v>4</v>
      </c>
      <c r="H20" s="2244"/>
      <c r="I20" s="2244"/>
      <c r="J20" s="2244"/>
      <c r="K20" s="1108" t="s">
        <v>3595</v>
      </c>
      <c r="L20" s="2243">
        <v>4</v>
      </c>
      <c r="M20" s="2244"/>
      <c r="N20" s="2244"/>
      <c r="O20" s="2244"/>
      <c r="P20" s="1404"/>
      <c r="Q20" s="562"/>
      <c r="R20" s="563"/>
      <c r="S20" s="188"/>
    </row>
    <row r="21" spans="1:19" s="50" customFormat="1" ht="23.25" customHeight="1">
      <c r="A21" s="2247">
        <v>5</v>
      </c>
      <c r="B21" s="2248"/>
      <c r="C21" s="2248"/>
      <c r="D21" s="2248"/>
      <c r="E21" s="2249"/>
      <c r="F21" s="1404"/>
      <c r="G21" s="2243">
        <v>5</v>
      </c>
      <c r="H21" s="2244"/>
      <c r="I21" s="2244"/>
      <c r="J21" s="2244"/>
      <c r="K21" s="1404"/>
      <c r="L21" s="2243">
        <v>5</v>
      </c>
      <c r="M21" s="2244"/>
      <c r="N21" s="2244"/>
      <c r="O21" s="2244"/>
      <c r="P21" s="1404"/>
      <c r="R21" s="188"/>
      <c r="S21" s="188"/>
    </row>
    <row r="22" spans="1:19" s="50" customFormat="1" ht="23.25" customHeight="1">
      <c r="A22" s="2247">
        <v>6</v>
      </c>
      <c r="B22" s="2248"/>
      <c r="C22" s="2248"/>
      <c r="D22" s="2248"/>
      <c r="E22" s="2249"/>
      <c r="F22" s="1404"/>
      <c r="G22" s="2243">
        <v>6</v>
      </c>
      <c r="H22" s="2244"/>
      <c r="I22" s="2244"/>
      <c r="J22" s="2244"/>
      <c r="K22" s="1404"/>
      <c r="L22" s="2243">
        <v>6</v>
      </c>
      <c r="M22" s="2244"/>
      <c r="N22" s="2244"/>
      <c r="O22" s="2244"/>
      <c r="P22" s="1404"/>
      <c r="R22" s="188"/>
      <c r="S22" s="188"/>
    </row>
    <row r="23" spans="1:19" s="50" customFormat="1" ht="23.25" customHeight="1">
      <c r="A23" s="2247">
        <v>7</v>
      </c>
      <c r="B23" s="2248"/>
      <c r="C23" s="2248"/>
      <c r="D23" s="2248"/>
      <c r="E23" s="2249"/>
      <c r="F23" s="1404"/>
      <c r="G23" s="2243">
        <v>7</v>
      </c>
      <c r="H23" s="2244"/>
      <c r="I23" s="2244"/>
      <c r="J23" s="2244"/>
      <c r="K23" s="1404"/>
      <c r="L23" s="2243">
        <v>7</v>
      </c>
      <c r="M23" s="2244"/>
      <c r="N23" s="2244"/>
      <c r="O23" s="2244"/>
      <c r="P23" s="1404"/>
      <c r="R23" s="188"/>
      <c r="S23" s="188"/>
    </row>
    <row r="24" spans="1:19" s="50" customFormat="1" ht="23.25" customHeight="1">
      <c r="A24" s="2247">
        <v>8</v>
      </c>
      <c r="B24" s="2248"/>
      <c r="C24" s="2248"/>
      <c r="D24" s="2248"/>
      <c r="E24" s="2249"/>
      <c r="F24" s="1404"/>
      <c r="G24" s="2243">
        <v>8</v>
      </c>
      <c r="H24" s="2244"/>
      <c r="I24" s="2244"/>
      <c r="J24" s="2244"/>
      <c r="K24" s="1404"/>
      <c r="L24" s="2243">
        <v>8</v>
      </c>
      <c r="M24" s="2244"/>
      <c r="N24" s="2244"/>
      <c r="O24" s="2244"/>
      <c r="P24" s="1404"/>
      <c r="R24" s="188"/>
      <c r="S24" s="188"/>
    </row>
    <row r="25" spans="1:19" s="50" customFormat="1" ht="23.25" customHeight="1">
      <c r="A25" s="2247">
        <v>9</v>
      </c>
      <c r="B25" s="2248"/>
      <c r="C25" s="2248"/>
      <c r="D25" s="2248"/>
      <c r="E25" s="2249"/>
      <c r="F25" s="1404"/>
      <c r="G25" s="2243">
        <v>9</v>
      </c>
      <c r="H25" s="2244"/>
      <c r="I25" s="2244"/>
      <c r="J25" s="2244"/>
      <c r="K25" s="1404"/>
      <c r="L25" s="2243">
        <v>9</v>
      </c>
      <c r="M25" s="2244"/>
      <c r="N25" s="2244"/>
      <c r="O25" s="2244"/>
      <c r="P25" s="1404"/>
      <c r="R25" s="188"/>
      <c r="S25" s="188"/>
    </row>
    <row r="26" spans="1:19" s="50" customFormat="1" ht="23.25" customHeight="1">
      <c r="A26" s="2247">
        <v>10</v>
      </c>
      <c r="B26" s="2248"/>
      <c r="C26" s="2248"/>
      <c r="D26" s="2248"/>
      <c r="E26" s="2249"/>
      <c r="F26" s="1404"/>
      <c r="G26" s="2243">
        <v>10</v>
      </c>
      <c r="H26" s="2244"/>
      <c r="I26" s="2244"/>
      <c r="J26" s="2244"/>
      <c r="K26" s="1404"/>
      <c r="L26" s="2243">
        <v>10</v>
      </c>
      <c r="M26" s="2244"/>
      <c r="N26" s="2244"/>
      <c r="O26" s="2244"/>
      <c r="P26" s="1404"/>
      <c r="R26" s="188"/>
      <c r="S26" s="188"/>
    </row>
    <row r="27" spans="1:19" s="50" customFormat="1" ht="23.25" customHeight="1">
      <c r="A27" s="2247">
        <v>11</v>
      </c>
      <c r="B27" s="2248"/>
      <c r="C27" s="2248"/>
      <c r="D27" s="2248"/>
      <c r="E27" s="2249"/>
      <c r="F27" s="1404"/>
      <c r="G27" s="2243">
        <v>11</v>
      </c>
      <c r="H27" s="2244"/>
      <c r="I27" s="2244"/>
      <c r="J27" s="2244"/>
      <c r="K27" s="1404"/>
      <c r="L27" s="2243">
        <v>11</v>
      </c>
      <c r="M27" s="2244"/>
      <c r="N27" s="2244"/>
      <c r="O27" s="2244"/>
      <c r="P27" s="1404"/>
      <c r="R27" s="188"/>
      <c r="S27" s="188"/>
    </row>
    <row r="28" spans="1:19" s="50" customFormat="1" ht="23.25" customHeight="1">
      <c r="A28" s="2267">
        <v>12</v>
      </c>
      <c r="B28" s="2268"/>
      <c r="C28" s="2268"/>
      <c r="D28" s="2268"/>
      <c r="E28" s="2269"/>
      <c r="F28" s="1405"/>
      <c r="G28" s="2264">
        <v>12</v>
      </c>
      <c r="H28" s="2265"/>
      <c r="I28" s="2265"/>
      <c r="J28" s="2265"/>
      <c r="K28" s="1405"/>
      <c r="L28" s="2264">
        <v>12</v>
      </c>
      <c r="M28" s="2265"/>
      <c r="N28" s="2265"/>
      <c r="O28" s="2265"/>
      <c r="P28" s="1405"/>
    </row>
    <row r="29" spans="1:19" s="51" customFormat="1" ht="4.9000000000000004" customHeight="1">
      <c r="D29" s="47"/>
      <c r="E29" s="44"/>
      <c r="F29" s="612"/>
      <c r="G29" s="612"/>
      <c r="H29" s="612"/>
      <c r="I29" s="612"/>
      <c r="J29" s="38"/>
      <c r="K29" s="38"/>
      <c r="L29" s="38"/>
      <c r="M29" s="71"/>
      <c r="N29" s="612"/>
      <c r="O29" s="1176"/>
      <c r="P29" s="4"/>
    </row>
    <row r="30" spans="1:19" s="51" customFormat="1" ht="12.6" customHeight="1">
      <c r="A30" s="554" t="s">
        <v>2123</v>
      </c>
      <c r="B30" s="130" t="s">
        <v>1076</v>
      </c>
      <c r="E30" s="68"/>
      <c r="G30" s="102"/>
      <c r="H30" s="62"/>
      <c r="J30" s="529"/>
      <c r="K30" s="2266" t="s">
        <v>2887</v>
      </c>
      <c r="L30" s="2266"/>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2117</v>
      </c>
      <c r="B31" s="133" t="s">
        <v>2807</v>
      </c>
      <c r="E31" s="530"/>
      <c r="H31" s="508" t="s">
        <v>2885</v>
      </c>
      <c r="I31" s="1109">
        <v>20</v>
      </c>
      <c r="J31" s="1406"/>
      <c r="K31" s="728">
        <f>IF(OR('Part VI-Revenues &amp; Expenses'!$M$60="", 'Part VI-Revenues &amp; Expenses'!$M$60=0),0,I31/'Part VI-Revenues &amp; Expenses'!$M$60)</f>
        <v>0.15748031496062992</v>
      </c>
      <c r="L31" s="728">
        <f>IF(OR('Part VI-Revenues &amp; Expenses'!$M$60="", 'Part VI-Revenues &amp; Expenses'!$M$60=0),0,J31/'Part VI-Revenues &amp; Expenses'!$M$60)</f>
        <v>0</v>
      </c>
      <c r="M31" s="535">
        <v>3</v>
      </c>
      <c r="N31" s="531"/>
      <c r="O31" s="2259" t="s">
        <v>2909</v>
      </c>
      <c r="P31" s="561">
        <v>0.15</v>
      </c>
    </row>
    <row r="32" spans="1:19" s="529" customFormat="1" ht="11.25" customHeight="1">
      <c r="A32" s="528" t="s">
        <v>2120</v>
      </c>
      <c r="B32" s="133" t="s">
        <v>2808</v>
      </c>
      <c r="E32" s="530"/>
      <c r="H32" s="508" t="s">
        <v>2809</v>
      </c>
      <c r="I32" s="1110"/>
      <c r="J32" s="1407"/>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60"/>
      <c r="P32" s="561">
        <v>0.15</v>
      </c>
    </row>
    <row r="33" spans="1:18" s="51" customFormat="1" ht="11.25" customHeight="1">
      <c r="A33" s="50"/>
      <c r="B33" s="57" t="s">
        <v>269</v>
      </c>
      <c r="C33" s="50"/>
      <c r="D33" s="56"/>
      <c r="E33" s="56"/>
      <c r="F33" s="56"/>
      <c r="G33" s="56"/>
      <c r="H33" s="44"/>
      <c r="I33" s="44"/>
      <c r="J33" s="44"/>
      <c r="K33" s="44"/>
      <c r="M33" s="54"/>
      <c r="N33" s="73"/>
      <c r="O33" s="4"/>
      <c r="P33" s="1176"/>
    </row>
    <row r="34" spans="1:18" s="51" customFormat="1" ht="12.6" customHeight="1">
      <c r="A34" s="2008" t="s">
        <v>3774</v>
      </c>
      <c r="B34" s="2009"/>
      <c r="C34" s="2009"/>
      <c r="D34" s="2009"/>
      <c r="E34" s="2009"/>
      <c r="F34" s="2009"/>
      <c r="G34" s="2009"/>
      <c r="H34" s="2009"/>
      <c r="I34" s="2009"/>
      <c r="J34" s="2009"/>
      <c r="K34" s="2009"/>
      <c r="L34" s="2009"/>
      <c r="M34" s="2009"/>
      <c r="N34" s="2009"/>
      <c r="O34" s="2009"/>
      <c r="P34" s="2010"/>
      <c r="Q34" s="562" t="s">
        <v>1331</v>
      </c>
    </row>
    <row r="35" spans="1:18" s="51" customFormat="1" ht="11.45" customHeight="1">
      <c r="A35" s="50"/>
      <c r="B35" s="114" t="s">
        <v>1995</v>
      </c>
      <c r="C35" s="50"/>
      <c r="D35" s="100"/>
      <c r="E35" s="1177"/>
      <c r="F35" s="1177"/>
      <c r="G35" s="1177"/>
      <c r="H35" s="1177"/>
      <c r="I35" s="1177"/>
      <c r="J35" s="1177"/>
      <c r="K35" s="1177"/>
      <c r="L35" s="1177"/>
      <c r="M35" s="1177"/>
      <c r="N35" s="87"/>
      <c r="O35" s="83"/>
      <c r="P35" s="2"/>
      <c r="Q35" s="529"/>
    </row>
    <row r="36" spans="1:18" s="51" customFormat="1" ht="12.6" customHeight="1">
      <c r="A36" s="2013"/>
      <c r="B36" s="2014"/>
      <c r="C36" s="2014"/>
      <c r="D36" s="2014"/>
      <c r="E36" s="2014"/>
      <c r="F36" s="2014"/>
      <c r="G36" s="2014"/>
      <c r="H36" s="2014"/>
      <c r="I36" s="2014"/>
      <c r="J36" s="2014"/>
      <c r="K36" s="2014"/>
      <c r="L36" s="2014"/>
      <c r="M36" s="2014"/>
      <c r="N36" s="2014"/>
      <c r="O36" s="2014"/>
      <c r="P36" s="2015"/>
      <c r="Q36" s="562" t="s">
        <v>1331</v>
      </c>
    </row>
    <row r="37" spans="1:18" ht="3" customHeight="1"/>
    <row r="38" spans="1:18" s="51" customFormat="1" ht="12.6" customHeight="1">
      <c r="A38" s="182" t="s">
        <v>2706</v>
      </c>
      <c r="B38" s="122" t="s">
        <v>2003</v>
      </c>
      <c r="D38" s="49"/>
      <c r="H38" s="2012" t="s">
        <v>635</v>
      </c>
      <c r="I38" s="2012"/>
      <c r="J38" s="2012"/>
      <c r="K38" s="2012"/>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2012"/>
      <c r="I39" s="2012"/>
      <c r="J39" s="2012"/>
      <c r="K39" s="2012"/>
      <c r="L39" s="38"/>
      <c r="M39" s="71"/>
      <c r="N39" s="612"/>
      <c r="O39" s="1176"/>
      <c r="P39" s="4"/>
    </row>
    <row r="40" spans="1:18" s="51" customFormat="1" ht="12" customHeight="1">
      <c r="A40" s="165" t="s">
        <v>2117</v>
      </c>
      <c r="B40" s="205" t="s">
        <v>2004</v>
      </c>
      <c r="C40" s="5"/>
      <c r="D40" s="5"/>
      <c r="E40" s="213" t="s">
        <v>2967</v>
      </c>
      <c r="F40" s="366"/>
      <c r="G40" s="366"/>
      <c r="H40" s="2012"/>
      <c r="I40" s="2012"/>
      <c r="J40" s="2012"/>
      <c r="K40" s="2012"/>
      <c r="M40" s="85">
        <v>12</v>
      </c>
      <c r="N40" s="217" t="s">
        <v>2117</v>
      </c>
      <c r="O40" s="1111">
        <v>12</v>
      </c>
      <c r="P40" s="1408"/>
      <c r="Q40" s="474" t="s">
        <v>2946</v>
      </c>
      <c r="R40" s="458"/>
    </row>
    <row r="41" spans="1:18" s="51" customFormat="1" ht="12.6" customHeight="1">
      <c r="A41" s="165" t="s">
        <v>2120</v>
      </c>
      <c r="B41" s="205" t="s">
        <v>2005</v>
      </c>
      <c r="D41" s="49"/>
      <c r="E41" s="213" t="s">
        <v>447</v>
      </c>
      <c r="F41" s="478"/>
      <c r="G41" s="478"/>
      <c r="H41" s="478"/>
      <c r="M41" s="1192" t="s">
        <v>1315</v>
      </c>
      <c r="N41" s="594" t="s">
        <v>2120</v>
      </c>
      <c r="O41" s="1106"/>
      <c r="P41" s="1409"/>
      <c r="Q41" s="474" t="s">
        <v>2946</v>
      </c>
      <c r="R41" s="458"/>
    </row>
    <row r="42" spans="1:18" s="51" customFormat="1" ht="11.25" customHeight="1">
      <c r="A42" s="50"/>
      <c r="B42" s="57" t="s">
        <v>269</v>
      </c>
      <c r="C42" s="50"/>
      <c r="D42" s="56"/>
      <c r="E42" s="56"/>
      <c r="F42" s="56"/>
      <c r="G42" s="56"/>
      <c r="H42" s="44"/>
      <c r="I42" s="44"/>
      <c r="J42" s="44"/>
      <c r="K42" s="44"/>
      <c r="M42" s="54"/>
      <c r="N42" s="73"/>
      <c r="O42" s="4"/>
      <c r="P42" s="1176"/>
    </row>
    <row r="43" spans="1:18" s="51" customFormat="1" ht="23.45" customHeight="1">
      <c r="A43" s="2008" t="s">
        <v>3775</v>
      </c>
      <c r="B43" s="2009"/>
      <c r="C43" s="2009"/>
      <c r="D43" s="2009"/>
      <c r="E43" s="2009"/>
      <c r="F43" s="2009"/>
      <c r="G43" s="2009"/>
      <c r="H43" s="2009"/>
      <c r="I43" s="2009"/>
      <c r="J43" s="2009"/>
      <c r="K43" s="2009"/>
      <c r="L43" s="2009"/>
      <c r="M43" s="2009"/>
      <c r="N43" s="2009"/>
      <c r="O43" s="2009"/>
      <c r="P43" s="2010"/>
      <c r="Q43" s="562" t="s">
        <v>1331</v>
      </c>
      <c r="R43" s="563"/>
    </row>
    <row r="44" spans="1:18" s="51" customFormat="1" ht="11.45" customHeight="1">
      <c r="A44" s="50"/>
      <c r="B44" s="79" t="s">
        <v>1995</v>
      </c>
      <c r="C44" s="50"/>
      <c r="D44" s="163"/>
      <c r="E44" s="1177"/>
      <c r="F44" s="1177"/>
      <c r="G44" s="1177"/>
      <c r="H44" s="1177"/>
      <c r="I44" s="1177"/>
      <c r="J44" s="1177"/>
      <c r="K44" s="1177"/>
      <c r="L44" s="1177"/>
      <c r="M44" s="1177"/>
      <c r="N44" s="87"/>
      <c r="O44" s="83"/>
      <c r="P44" s="2"/>
      <c r="Q44" s="529"/>
      <c r="R44" s="529"/>
    </row>
    <row r="45" spans="1:18" s="51" customFormat="1" ht="23.45" customHeight="1">
      <c r="A45" s="2013"/>
      <c r="B45" s="2014"/>
      <c r="C45" s="2014"/>
      <c r="D45" s="2014"/>
      <c r="E45" s="2014"/>
      <c r="F45" s="2014"/>
      <c r="G45" s="2014"/>
      <c r="H45" s="2014"/>
      <c r="I45" s="2014"/>
      <c r="J45" s="2014"/>
      <c r="K45" s="2014"/>
      <c r="L45" s="2014"/>
      <c r="M45" s="2014"/>
      <c r="N45" s="2014"/>
      <c r="O45" s="2014"/>
      <c r="P45" s="2015"/>
      <c r="Q45" s="562" t="s">
        <v>1331</v>
      </c>
      <c r="R45" s="563"/>
    </row>
    <row r="46" spans="1:18" ht="3.6" customHeight="1">
      <c r="M46" s="40"/>
      <c r="N46" s="134"/>
      <c r="O46" s="180"/>
      <c r="P46" s="180"/>
    </row>
    <row r="47" spans="1:18" s="51" customFormat="1" ht="12.6" customHeight="1">
      <c r="A47" s="182" t="s">
        <v>1300</v>
      </c>
      <c r="B47" s="122" t="s">
        <v>2824</v>
      </c>
      <c r="D47" s="49"/>
      <c r="H47" s="53" t="s">
        <v>2888</v>
      </c>
      <c r="I47" s="57" t="s">
        <v>2011</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3237</v>
      </c>
      <c r="B48" s="122"/>
      <c r="D48" s="49"/>
      <c r="H48" s="205" t="s">
        <v>3247</v>
      </c>
      <c r="I48" s="676"/>
      <c r="J48" s="674" t="str">
        <f>'Part I-Project Information'!$H$85</f>
        <v>Flexible</v>
      </c>
      <c r="L48" s="31"/>
      <c r="M48" s="2"/>
      <c r="N48" s="2"/>
      <c r="O48" s="2"/>
      <c r="P48" s="2"/>
      <c r="Q48" s="126"/>
    </row>
    <row r="49" spans="1:19" s="505" customFormat="1" ht="23.25" customHeight="1">
      <c r="A49" s="170" t="s">
        <v>2117</v>
      </c>
      <c r="B49" s="2263" t="s">
        <v>3525</v>
      </c>
      <c r="C49" s="2263"/>
      <c r="D49" s="2263"/>
      <c r="E49" s="2263"/>
      <c r="F49" s="2263"/>
      <c r="G49" s="2263"/>
      <c r="H49" s="2263"/>
      <c r="I49" s="2263"/>
      <c r="J49" s="2263"/>
      <c r="K49" s="2263"/>
      <c r="L49" s="2263"/>
      <c r="M49" s="671">
        <v>4</v>
      </c>
      <c r="N49" s="475" t="s">
        <v>2117</v>
      </c>
      <c r="O49" s="1112"/>
      <c r="P49" s="1410"/>
      <c r="Q49" s="672" t="str">
        <f>IF(OR($O49=$M49,$O49=0,$O49=""),"","* * Check Score! * *")</f>
        <v/>
      </c>
      <c r="S49" s="474" t="s">
        <v>2946</v>
      </c>
    </row>
    <row r="50" spans="1:19" s="505" customFormat="1" ht="12" customHeight="1">
      <c r="A50" s="170" t="s">
        <v>2120</v>
      </c>
      <c r="B50" s="2263" t="s">
        <v>3540</v>
      </c>
      <c r="C50" s="2263"/>
      <c r="D50" s="2263"/>
      <c r="E50" s="2263"/>
      <c r="F50" s="2263"/>
      <c r="G50" s="2263"/>
      <c r="H50" s="2263"/>
      <c r="I50" s="2263"/>
      <c r="J50" s="2263"/>
      <c r="K50" s="2263"/>
      <c r="L50" s="2263"/>
      <c r="M50" s="671">
        <v>3</v>
      </c>
      <c r="N50" s="192" t="s">
        <v>2120</v>
      </c>
      <c r="O50" s="1113">
        <v>3</v>
      </c>
      <c r="P50" s="1411"/>
      <c r="Q50" s="672" t="str">
        <f>IF(OR($O50=$M50,$O50=0,$O50=""),"","* * Check Score! * *")</f>
        <v/>
      </c>
      <c r="S50" s="474" t="s">
        <v>2946</v>
      </c>
    </row>
    <row r="51" spans="1:19" s="51" customFormat="1" ht="12.6" customHeight="1">
      <c r="A51" s="165" t="s">
        <v>798</v>
      </c>
      <c r="B51" s="205" t="s">
        <v>3394</v>
      </c>
      <c r="E51" s="49"/>
      <c r="K51" s="56"/>
      <c r="M51" s="85">
        <v>2</v>
      </c>
      <c r="N51" s="217" t="s">
        <v>798</v>
      </c>
      <c r="O51" s="1114"/>
      <c r="P51" s="1412"/>
      <c r="Q51" s="458" t="str">
        <f>IF(OR($O51=$M51,$O51=0,$O51=""),"","* * Check Score! * *")</f>
        <v/>
      </c>
      <c r="S51" s="474" t="s">
        <v>2946</v>
      </c>
    </row>
    <row r="52" spans="1:19" s="51" customFormat="1" ht="12.6" customHeight="1">
      <c r="A52" s="165" t="s">
        <v>2252</v>
      </c>
      <c r="B52" s="205" t="s">
        <v>3395</v>
      </c>
      <c r="E52" s="49"/>
      <c r="K52" s="56"/>
      <c r="M52" s="85">
        <v>1</v>
      </c>
      <c r="N52" s="217" t="s">
        <v>2252</v>
      </c>
      <c r="O52" s="1115"/>
      <c r="P52" s="1409"/>
      <c r="Q52" s="458" t="str">
        <f>IF(OR($O52=$M52,$O52=0,$O52=""),"","* * Check Score! * *")</f>
        <v/>
      </c>
      <c r="S52" s="474" t="s">
        <v>2946</v>
      </c>
    </row>
    <row r="53" spans="1:19" s="51" customFormat="1" ht="12.6" customHeight="1">
      <c r="A53" s="44" t="s">
        <v>3539</v>
      </c>
      <c r="B53" s="205"/>
      <c r="E53" s="49"/>
      <c r="K53" s="56"/>
      <c r="M53" s="85"/>
      <c r="N53" s="85"/>
      <c r="O53" s="85"/>
      <c r="P53" s="85"/>
      <c r="Q53" s="458"/>
      <c r="R53" s="458"/>
    </row>
    <row r="54" spans="1:19" s="51" customFormat="1" ht="12.6" customHeight="1">
      <c r="A54" s="675" t="s">
        <v>3240</v>
      </c>
      <c r="B54" s="205"/>
      <c r="E54" s="49"/>
      <c r="K54" s="56"/>
      <c r="M54" s="85"/>
      <c r="N54" s="85"/>
      <c r="O54" s="85"/>
      <c r="P54" s="85"/>
      <c r="Q54" s="458"/>
      <c r="R54" s="458"/>
    </row>
    <row r="55" spans="1:19" s="119" customFormat="1" ht="12" customHeight="1">
      <c r="A55" s="165" t="s">
        <v>1856</v>
      </c>
      <c r="B55" s="205" t="s">
        <v>3298</v>
      </c>
      <c r="C55" s="205"/>
      <c r="D55" s="205"/>
      <c r="E55" s="205"/>
      <c r="F55" s="205"/>
      <c r="G55" s="205"/>
      <c r="H55" s="205"/>
      <c r="I55" s="205"/>
      <c r="J55" s="205"/>
      <c r="K55" s="205"/>
      <c r="L55" s="205"/>
      <c r="M55" s="85">
        <v>2</v>
      </c>
      <c r="N55" s="217" t="s">
        <v>1856</v>
      </c>
      <c r="O55" s="1116"/>
      <c r="P55" s="1413"/>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008" t="s">
        <v>3776</v>
      </c>
      <c r="B57" s="2009"/>
      <c r="C57" s="2009"/>
      <c r="D57" s="2009"/>
      <c r="E57" s="2009"/>
      <c r="F57" s="2009"/>
      <c r="G57" s="2009"/>
      <c r="H57" s="2009"/>
      <c r="I57" s="2009"/>
      <c r="J57" s="2009"/>
      <c r="K57" s="2009"/>
      <c r="L57" s="2009"/>
      <c r="M57" s="2009"/>
      <c r="N57" s="2009"/>
      <c r="O57" s="2009"/>
      <c r="P57" s="2010"/>
      <c r="Q57" s="562" t="s">
        <v>1331</v>
      </c>
    </row>
    <row r="58" spans="1:19" s="119" customFormat="1" ht="11.45" customHeight="1">
      <c r="A58" s="50"/>
      <c r="B58" s="114" t="s">
        <v>1995</v>
      </c>
      <c r="C58" s="50"/>
      <c r="D58" s="114"/>
      <c r="E58" s="1171"/>
      <c r="F58" s="1171"/>
      <c r="G58" s="1171"/>
      <c r="H58" s="1171"/>
      <c r="I58" s="1171"/>
      <c r="J58" s="1171"/>
      <c r="K58" s="1171"/>
      <c r="L58" s="1171"/>
      <c r="M58" s="1171"/>
      <c r="N58" s="110"/>
      <c r="O58" s="224"/>
      <c r="P58" s="2"/>
      <c r="Q58" s="529"/>
    </row>
    <row r="59" spans="1:19" s="51" customFormat="1" ht="12.75" customHeight="1">
      <c r="A59" s="2013"/>
      <c r="B59" s="2014"/>
      <c r="C59" s="2014"/>
      <c r="D59" s="2014"/>
      <c r="E59" s="2014"/>
      <c r="F59" s="2014"/>
      <c r="G59" s="2014"/>
      <c r="H59" s="2014"/>
      <c r="I59" s="2014"/>
      <c r="J59" s="2014"/>
      <c r="K59" s="2014"/>
      <c r="L59" s="2014"/>
      <c r="M59" s="2014"/>
      <c r="N59" s="2014"/>
      <c r="O59" s="2014"/>
      <c r="P59" s="2015"/>
      <c r="Q59" s="562" t="s">
        <v>1331</v>
      </c>
    </row>
    <row r="60" spans="1:19" s="51" customFormat="1" ht="3" customHeight="1">
      <c r="A60" s="218"/>
      <c r="B60" s="59"/>
      <c r="G60" s="49"/>
      <c r="J60" s="56"/>
      <c r="K60" s="56"/>
      <c r="M60" s="119"/>
      <c r="N60" s="59"/>
      <c r="O60" s="119"/>
      <c r="P60" s="119"/>
    </row>
    <row r="61" spans="1:19" s="51" customFormat="1" ht="12.6" customHeight="1">
      <c r="A61" s="182" t="s">
        <v>1301</v>
      </c>
      <c r="B61" s="122" t="s">
        <v>2825</v>
      </c>
      <c r="D61" s="49"/>
      <c r="E61" s="44" t="s">
        <v>1471</v>
      </c>
      <c r="I61" s="57" t="s">
        <v>2011</v>
      </c>
      <c r="M61" s="2">
        <v>2</v>
      </c>
      <c r="N61" s="482" t="str">
        <f>IF(OR($O61=$M61,$O61=0,$O61=""),"","***")</f>
        <v/>
      </c>
      <c r="O61" s="1117"/>
      <c r="P61" s="1413"/>
      <c r="Q61" s="126" t="s">
        <v>463</v>
      </c>
    </row>
    <row r="62" spans="1:19" s="51" customFormat="1" ht="12.6" customHeight="1">
      <c r="A62" s="182"/>
      <c r="B62" s="479" t="s">
        <v>2810</v>
      </c>
      <c r="D62" s="49"/>
      <c r="E62" s="44"/>
      <c r="L62" s="2256"/>
      <c r="M62" s="2257"/>
      <c r="N62" s="2257"/>
      <c r="O62" s="2258"/>
      <c r="P62" s="594"/>
      <c r="Q62" s="126"/>
    </row>
    <row r="63" spans="1:19" s="51" customFormat="1" ht="12.6" customHeight="1">
      <c r="A63" s="182"/>
      <c r="B63" s="479" t="s">
        <v>3238</v>
      </c>
      <c r="D63" s="49"/>
      <c r="E63" s="44"/>
      <c r="L63" s="2256"/>
      <c r="M63" s="2257"/>
      <c r="N63" s="2257"/>
      <c r="O63" s="2258"/>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008" t="s">
        <v>3785</v>
      </c>
      <c r="B65" s="2009"/>
      <c r="C65" s="2009"/>
      <c r="D65" s="2009"/>
      <c r="E65" s="2009"/>
      <c r="F65" s="2009"/>
      <c r="G65" s="2009"/>
      <c r="H65" s="2009"/>
      <c r="I65" s="2009"/>
      <c r="J65" s="2009"/>
      <c r="K65" s="2009"/>
      <c r="L65" s="2009"/>
      <c r="M65" s="2009"/>
      <c r="N65" s="2009"/>
      <c r="O65" s="2009"/>
      <c r="P65" s="2010"/>
      <c r="Q65" s="562" t="s">
        <v>1331</v>
      </c>
    </row>
    <row r="66" spans="1:18" s="119" customFormat="1" ht="11.45" customHeight="1">
      <c r="A66" s="50"/>
      <c r="B66" s="114" t="s">
        <v>1995</v>
      </c>
      <c r="C66" s="50"/>
      <c r="D66" s="114"/>
      <c r="E66" s="1171"/>
      <c r="F66" s="1171"/>
      <c r="G66" s="1171"/>
      <c r="H66" s="1171"/>
      <c r="I66" s="1171"/>
      <c r="J66" s="1171"/>
      <c r="K66" s="1171"/>
      <c r="L66" s="1171"/>
      <c r="M66" s="1171"/>
      <c r="N66" s="110"/>
      <c r="O66" s="224"/>
      <c r="P66" s="2"/>
      <c r="Q66" s="529"/>
    </row>
    <row r="67" spans="1:18" s="51" customFormat="1" ht="12.75" customHeight="1">
      <c r="A67" s="2013"/>
      <c r="B67" s="2014"/>
      <c r="C67" s="2014"/>
      <c r="D67" s="2014"/>
      <c r="E67" s="2014"/>
      <c r="F67" s="2014"/>
      <c r="G67" s="2014"/>
      <c r="H67" s="2014"/>
      <c r="I67" s="2014"/>
      <c r="J67" s="2014"/>
      <c r="K67" s="2014"/>
      <c r="L67" s="2014"/>
      <c r="M67" s="2014"/>
      <c r="N67" s="2014"/>
      <c r="O67" s="2014"/>
      <c r="P67" s="2015"/>
      <c r="Q67" s="562" t="s">
        <v>1331</v>
      </c>
    </row>
    <row r="68" spans="1:18" ht="3" customHeight="1">
      <c r="B68" s="137"/>
      <c r="C68" s="137"/>
      <c r="D68" s="137"/>
      <c r="E68" s="137"/>
      <c r="R68" s="51"/>
    </row>
    <row r="69" spans="1:18" s="51" customFormat="1" ht="12.6" customHeight="1">
      <c r="A69" s="182" t="s">
        <v>2013</v>
      </c>
      <c r="B69" s="123" t="s">
        <v>225</v>
      </c>
      <c r="D69" s="47"/>
      <c r="E69" s="44"/>
      <c r="I69" s="559" t="s">
        <v>2878</v>
      </c>
      <c r="J69" s="1583" t="s">
        <v>3777</v>
      </c>
      <c r="K69" s="2262"/>
      <c r="L69" s="158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1" t="s">
        <v>2476</v>
      </c>
      <c r="D70" s="40"/>
      <c r="H70" s="205" t="s">
        <v>3247</v>
      </c>
      <c r="I70" s="676"/>
      <c r="J70" s="674" t="str">
        <f>'Part I-Project Information'!$H$85</f>
        <v>Flexible</v>
      </c>
      <c r="K70" s="51"/>
      <c r="M70" s="134">
        <v>3</v>
      </c>
      <c r="N70" s="31"/>
      <c r="O70" s="139" t="s">
        <v>2680</v>
      </c>
      <c r="P70" s="139" t="s">
        <v>2680</v>
      </c>
    </row>
    <row r="71" spans="1:18" s="51" customFormat="1" ht="12.6" customHeight="1">
      <c r="B71" s="533" t="s">
        <v>2916</v>
      </c>
      <c r="D71" s="49"/>
      <c r="M71" s="2"/>
      <c r="N71" s="217" t="s">
        <v>2117</v>
      </c>
      <c r="O71" s="1080" t="s">
        <v>3698</v>
      </c>
      <c r="P71" s="1384"/>
      <c r="Q71" s="126"/>
    </row>
    <row r="72" spans="1:18" ht="11.45" customHeight="1">
      <c r="B72" s="452" t="s">
        <v>2121</v>
      </c>
      <c r="C72" s="467" t="s">
        <v>2811</v>
      </c>
      <c r="E72" s="137"/>
      <c r="N72" s="31"/>
      <c r="O72" s="31"/>
      <c r="P72" s="31"/>
    </row>
    <row r="73" spans="1:18" ht="23.25" customHeight="1">
      <c r="A73" s="504" t="str">
        <f>IF(AND(O73="",$J$69="Earth Craft Communities"), "X","")</f>
        <v/>
      </c>
      <c r="B73" s="473"/>
      <c r="C73" s="2261" t="s">
        <v>2813</v>
      </c>
      <c r="D73" s="2261"/>
      <c r="E73" s="2261"/>
      <c r="F73" s="2261"/>
      <c r="G73" s="2261"/>
      <c r="H73" s="2261"/>
      <c r="I73" s="2261"/>
      <c r="J73" s="2261"/>
      <c r="K73" s="2261"/>
      <c r="L73" s="2261"/>
      <c r="M73" s="470" t="str">
        <f>IF(AND($I$87="Stable Communities &lt; 10%",O73=""), "X","")</f>
        <v/>
      </c>
      <c r="N73" s="617">
        <v>1</v>
      </c>
      <c r="O73" s="1091" t="s">
        <v>1609</v>
      </c>
      <c r="P73" s="1386"/>
    </row>
    <row r="74" spans="1:18" ht="11.45" customHeight="1">
      <c r="B74" s="452" t="s">
        <v>2123</v>
      </c>
      <c r="C74" s="467" t="s">
        <v>2812</v>
      </c>
      <c r="E74" s="137"/>
      <c r="M74" s="471"/>
      <c r="N74" s="31"/>
      <c r="O74" s="139" t="s">
        <v>2680</v>
      </c>
      <c r="P74" s="139" t="s">
        <v>2680</v>
      </c>
    </row>
    <row r="75" spans="1:18" ht="23.25" customHeight="1">
      <c r="A75" s="504" t="str">
        <f>IF(AND(O75="",$J$69="LEED-ND"), "X","")</f>
        <v/>
      </c>
      <c r="B75" s="473"/>
      <c r="C75" s="2261" t="s">
        <v>2988</v>
      </c>
      <c r="D75" s="2261"/>
      <c r="E75" s="2261"/>
      <c r="F75" s="2261"/>
      <c r="G75" s="2261"/>
      <c r="H75" s="2261"/>
      <c r="I75" s="2261"/>
      <c r="J75" s="2261"/>
      <c r="K75" s="2261"/>
      <c r="L75" s="2261"/>
      <c r="M75" s="470" t="str">
        <f>IF(AND($I$87="Stable Communities &lt; 10%",O75=""), "X","")</f>
        <v/>
      </c>
      <c r="N75" s="617" t="s">
        <v>2815</v>
      </c>
      <c r="O75" s="1118" t="s">
        <v>1609</v>
      </c>
      <c r="P75" s="1415"/>
    </row>
    <row r="76" spans="1:18" ht="6" customHeight="1">
      <c r="B76" s="473"/>
      <c r="E76" s="166"/>
      <c r="F76" s="166"/>
      <c r="I76" s="166"/>
      <c r="J76" s="166"/>
      <c r="K76" s="166"/>
      <c r="M76" s="470"/>
      <c r="N76" s="470"/>
      <c r="O76" s="470"/>
      <c r="P76" s="470"/>
    </row>
    <row r="77" spans="1:18" ht="11.45" customHeight="1">
      <c r="A77" s="165" t="s">
        <v>2120</v>
      </c>
      <c r="B77" s="221" t="s">
        <v>328</v>
      </c>
      <c r="D77" s="40"/>
      <c r="E77" s="40"/>
      <c r="F77" s="40"/>
      <c r="M77" s="66">
        <v>2</v>
      </c>
      <c r="N77" s="31"/>
      <c r="O77" s="139" t="s">
        <v>2680</v>
      </c>
      <c r="P77" s="139" t="s">
        <v>2680</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2121</v>
      </c>
      <c r="C78" s="614" t="s">
        <v>2992</v>
      </c>
      <c r="D78" s="49"/>
      <c r="M78" s="2"/>
      <c r="N78" s="618" t="s">
        <v>2121</v>
      </c>
      <c r="O78" s="1094" t="s">
        <v>3698</v>
      </c>
      <c r="P78" s="1390"/>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2123</v>
      </c>
      <c r="C79" s="614" t="s">
        <v>2989</v>
      </c>
      <c r="D79" s="49"/>
      <c r="M79" s="2"/>
      <c r="N79" s="618" t="s">
        <v>2123</v>
      </c>
      <c r="O79" s="1095" t="s">
        <v>3698</v>
      </c>
      <c r="P79" s="1391"/>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2706</v>
      </c>
      <c r="C80" s="614" t="s">
        <v>2990</v>
      </c>
      <c r="D80" s="49"/>
      <c r="M80" s="2"/>
      <c r="N80" s="618" t="s">
        <v>2706</v>
      </c>
      <c r="O80" s="1095" t="s">
        <v>3698</v>
      </c>
      <c r="P80" s="1391"/>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1300</v>
      </c>
      <c r="C81" s="614" t="s">
        <v>2991</v>
      </c>
      <c r="D81" s="49"/>
      <c r="M81" s="2"/>
      <c r="N81" s="618" t="s">
        <v>1300</v>
      </c>
      <c r="O81" s="1096" t="s">
        <v>3698</v>
      </c>
      <c r="P81" s="1392"/>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29" t="s">
        <v>3778</v>
      </c>
      <c r="B83" s="2230"/>
      <c r="C83" s="2230"/>
      <c r="D83" s="2230"/>
      <c r="E83" s="2230"/>
      <c r="F83" s="2230"/>
      <c r="G83" s="2230"/>
      <c r="H83" s="2230"/>
      <c r="I83" s="2230"/>
      <c r="J83" s="2230"/>
      <c r="K83" s="2230"/>
      <c r="L83" s="2230"/>
      <c r="M83" s="2230"/>
      <c r="N83" s="2230"/>
      <c r="O83" s="2230"/>
      <c r="P83" s="2231"/>
      <c r="Q83" s="562" t="s">
        <v>1331</v>
      </c>
    </row>
    <row r="84" spans="1:18" s="51" customFormat="1" ht="11.25" customHeight="1">
      <c r="B84" s="114" t="s">
        <v>1995</v>
      </c>
      <c r="C84" s="50"/>
      <c r="D84" s="100"/>
      <c r="E84" s="1177"/>
      <c r="F84" s="1177"/>
      <c r="G84" s="1177"/>
      <c r="H84" s="1177"/>
      <c r="I84" s="1177"/>
      <c r="J84" s="1177"/>
      <c r="K84" s="1177"/>
      <c r="L84" s="1177"/>
      <c r="M84" s="1177"/>
      <c r="N84" s="87"/>
      <c r="O84" s="83"/>
      <c r="P84" s="2"/>
      <c r="Q84" s="529"/>
    </row>
    <row r="85" spans="1:18" s="51" customFormat="1" ht="12.75" customHeight="1">
      <c r="A85" s="2232"/>
      <c r="B85" s="2233"/>
      <c r="C85" s="2233"/>
      <c r="D85" s="2233"/>
      <c r="E85" s="2233"/>
      <c r="F85" s="2233"/>
      <c r="G85" s="2233"/>
      <c r="H85" s="2233"/>
      <c r="I85" s="2233"/>
      <c r="J85" s="2233"/>
      <c r="K85" s="2233"/>
      <c r="L85" s="2233"/>
      <c r="M85" s="2233"/>
      <c r="N85" s="2233"/>
      <c r="O85" s="2233"/>
      <c r="P85" s="2234"/>
      <c r="Q85" s="562" t="s">
        <v>1331</v>
      </c>
    </row>
    <row r="86" spans="1:18" s="51" customFormat="1" ht="3" customHeight="1">
      <c r="A86" s="50"/>
      <c r="D86" s="47"/>
      <c r="E86" s="44"/>
      <c r="F86" s="612"/>
      <c r="G86" s="612"/>
      <c r="H86" s="612"/>
      <c r="I86" s="612"/>
      <c r="J86" s="38"/>
      <c r="K86" s="38"/>
      <c r="L86" s="38"/>
      <c r="M86" s="71"/>
      <c r="N86" s="612"/>
      <c r="O86" s="1176"/>
      <c r="P86" s="4"/>
    </row>
    <row r="87" spans="1:18" s="119" customFormat="1" ht="12.6" customHeight="1">
      <c r="A87" s="182" t="s">
        <v>534</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3"/>
      <c r="Q87" s="126" t="s">
        <v>463</v>
      </c>
      <c r="R87" s="51"/>
    </row>
    <row r="88" spans="1:18" ht="11.45" customHeight="1">
      <c r="A88" s="165"/>
      <c r="B88" s="205" t="s">
        <v>3247</v>
      </c>
      <c r="C88" s="673"/>
      <c r="D88" s="673"/>
      <c r="E88" s="674" t="str">
        <f>'Part I-Project Information'!$H$85</f>
        <v>Flexible</v>
      </c>
      <c r="M88" s="134"/>
      <c r="N88" s="31"/>
      <c r="O88" s="139" t="s">
        <v>2680</v>
      </c>
      <c r="P88" s="139" t="s">
        <v>2680</v>
      </c>
    </row>
    <row r="89" spans="1:18" ht="11.45" customHeight="1">
      <c r="A89" s="451" t="str">
        <f>IF($I$87="Stable Communities &lt; 5%", "*","")</f>
        <v/>
      </c>
      <c r="B89" s="452" t="s">
        <v>2121</v>
      </c>
      <c r="C89" s="551" t="s">
        <v>2906</v>
      </c>
      <c r="E89" s="137"/>
      <c r="M89" s="94"/>
      <c r="N89" s="31"/>
      <c r="O89" s="1091" t="s">
        <v>1609</v>
      </c>
      <c r="P89" s="1386"/>
    </row>
    <row r="90" spans="1:18" ht="11.45" customHeight="1">
      <c r="B90" s="452" t="s">
        <v>2123</v>
      </c>
      <c r="C90" s="551" t="s">
        <v>3009</v>
      </c>
      <c r="D90" s="1119"/>
      <c r="E90" s="551" t="s">
        <v>3010</v>
      </c>
      <c r="H90" s="117" t="s">
        <v>2547</v>
      </c>
      <c r="K90" s="160" t="s">
        <v>3008</v>
      </c>
      <c r="L90" s="1120"/>
      <c r="M90" s="534"/>
      <c r="N90" s="532"/>
    </row>
    <row r="91" spans="1:18" ht="11.45" customHeight="1">
      <c r="B91" s="452" t="s">
        <v>2706</v>
      </c>
      <c r="C91" s="510" t="s">
        <v>2548</v>
      </c>
      <c r="E91" s="137"/>
      <c r="H91" s="117" t="s">
        <v>2549</v>
      </c>
      <c r="K91" s="609" t="s">
        <v>2997</v>
      </c>
      <c r="L91" s="1121"/>
      <c r="M91" s="534"/>
    </row>
    <row r="92" spans="1:18" ht="11.45" customHeight="1">
      <c r="B92" s="452" t="s">
        <v>1300</v>
      </c>
      <c r="C92" s="510" t="s">
        <v>3396</v>
      </c>
      <c r="E92" s="137"/>
      <c r="H92" s="117"/>
      <c r="K92" s="160" t="s">
        <v>3008</v>
      </c>
      <c r="L92" s="1122"/>
      <c r="M92" s="534"/>
    </row>
    <row r="93" spans="1:18" s="51" customFormat="1" ht="13.9" customHeight="1">
      <c r="A93" s="50"/>
      <c r="B93" s="57" t="s">
        <v>269</v>
      </c>
      <c r="C93" s="50"/>
      <c r="D93" s="56"/>
      <c r="E93" s="56"/>
      <c r="F93" s="56"/>
      <c r="G93" s="56"/>
      <c r="H93" s="44"/>
      <c r="I93" s="44"/>
      <c r="J93" s="44"/>
      <c r="K93" s="44"/>
      <c r="M93" s="54"/>
      <c r="N93" s="73"/>
      <c r="O93" s="4"/>
      <c r="P93" s="1176"/>
    </row>
    <row r="94" spans="1:18" s="51" customFormat="1" ht="12.75" customHeight="1">
      <c r="A94" s="2229" t="s">
        <v>3785</v>
      </c>
      <c r="B94" s="2230"/>
      <c r="C94" s="2230"/>
      <c r="D94" s="2230"/>
      <c r="E94" s="2230"/>
      <c r="F94" s="2230"/>
      <c r="G94" s="2230"/>
      <c r="H94" s="2230"/>
      <c r="I94" s="2230"/>
      <c r="J94" s="2230"/>
      <c r="K94" s="2230"/>
      <c r="L94" s="2230"/>
      <c r="M94" s="2230"/>
      <c r="N94" s="2230"/>
      <c r="O94" s="2230"/>
      <c r="P94" s="2231"/>
      <c r="Q94" s="562" t="s">
        <v>1331</v>
      </c>
    </row>
    <row r="95" spans="1:18" s="51" customFormat="1" ht="11.25" customHeight="1">
      <c r="A95" s="50"/>
      <c r="B95" s="100" t="s">
        <v>1995</v>
      </c>
      <c r="C95" s="50"/>
      <c r="D95" s="100"/>
      <c r="E95" s="1177"/>
      <c r="F95" s="1177"/>
      <c r="G95" s="1177"/>
      <c r="H95" s="1177"/>
      <c r="I95" s="1177"/>
      <c r="J95" s="1177"/>
      <c r="K95" s="1177"/>
      <c r="L95" s="1177"/>
      <c r="M95" s="1177"/>
      <c r="N95" s="87"/>
      <c r="O95" s="83"/>
      <c r="P95" s="2"/>
      <c r="Q95" s="529"/>
    </row>
    <row r="96" spans="1:18" s="51" customFormat="1" ht="12.75" customHeight="1">
      <c r="A96" s="2232"/>
      <c r="B96" s="2233"/>
      <c r="C96" s="2233"/>
      <c r="D96" s="2233"/>
      <c r="E96" s="2233"/>
      <c r="F96" s="2233"/>
      <c r="G96" s="2233"/>
      <c r="H96" s="2233"/>
      <c r="I96" s="2233"/>
      <c r="J96" s="2233"/>
      <c r="K96" s="2233"/>
      <c r="L96" s="2233"/>
      <c r="M96" s="2233"/>
      <c r="N96" s="2233"/>
      <c r="O96" s="2233"/>
      <c r="P96" s="2234"/>
      <c r="Q96" s="562" t="s">
        <v>1331</v>
      </c>
    </row>
    <row r="97" spans="1:18" s="51" customFormat="1" ht="3" customHeight="1">
      <c r="A97" s="50"/>
      <c r="D97" s="47"/>
      <c r="E97" s="44"/>
      <c r="F97" s="612"/>
      <c r="G97" s="612"/>
      <c r="H97" s="612"/>
      <c r="I97" s="612"/>
      <c r="J97" s="38"/>
      <c r="K97" s="38"/>
      <c r="L97" s="38"/>
      <c r="M97" s="71"/>
      <c r="N97" s="612"/>
      <c r="O97" s="1176"/>
      <c r="P97" s="4"/>
    </row>
    <row r="98" spans="1:18" s="119" customFormat="1" ht="12.6" customHeight="1">
      <c r="A98" s="182" t="s">
        <v>535</v>
      </c>
      <c r="B98" s="123" t="s">
        <v>3248</v>
      </c>
      <c r="C98" s="109"/>
      <c r="D98" s="70"/>
      <c r="E98" s="70"/>
      <c r="H98" s="678"/>
      <c r="J98" s="2250" t="s">
        <v>3300</v>
      </c>
      <c r="K98" s="2251"/>
      <c r="L98" s="2252"/>
      <c r="M98" s="2">
        <v>3</v>
      </c>
      <c r="N98" s="8"/>
      <c r="O98" s="89">
        <f>IF(J98="Adopted Revitalization Plan",2,IF(J98="Designated Military Zone",1,IF(J98="Adptd Revital Plan &amp; Desig MZ",3,IF(J98="HUD Choice Neighborhood",2,0))))</f>
        <v>2</v>
      </c>
      <c r="P98" s="1413"/>
      <c r="Q98" s="126" t="s">
        <v>463</v>
      </c>
      <c r="R98" s="51"/>
    </row>
    <row r="99" spans="1:18" ht="11.45" customHeight="1">
      <c r="A99" s="165" t="s">
        <v>2117</v>
      </c>
      <c r="B99" s="221" t="s">
        <v>3253</v>
      </c>
      <c r="E99" s="40"/>
      <c r="F99" s="694" t="s">
        <v>3254</v>
      </c>
      <c r="I99" s="2253" t="s">
        <v>3779</v>
      </c>
      <c r="J99" s="2254"/>
      <c r="K99" s="2254"/>
      <c r="L99" s="2254"/>
      <c r="M99" s="2254"/>
      <c r="N99" s="2254"/>
      <c r="O99" s="2254"/>
      <c r="P99" s="2255"/>
    </row>
    <row r="100" spans="1:18" s="51" customFormat="1" ht="12" customHeight="1">
      <c r="A100" s="165"/>
      <c r="B100" s="65" t="s">
        <v>3591</v>
      </c>
      <c r="D100" s="40"/>
      <c r="N100" s="594"/>
      <c r="O100" s="1096" t="s">
        <v>3698</v>
      </c>
      <c r="P100" s="1392"/>
      <c r="R100" s="458"/>
    </row>
    <row r="101" spans="1:18" s="51" customFormat="1" ht="11.45" customHeight="1">
      <c r="A101" s="534"/>
      <c r="B101" s="132" t="s">
        <v>3378</v>
      </c>
      <c r="E101" s="48"/>
      <c r="G101" s="609" t="s">
        <v>3318</v>
      </c>
      <c r="H101" s="2223" t="str">
        <f>'Part I-Project Information'!O27</f>
        <v>301</v>
      </c>
      <c r="I101" s="2224"/>
      <c r="M101" s="535">
        <v>2</v>
      </c>
      <c r="O101" s="139" t="s">
        <v>2680</v>
      </c>
      <c r="P101" s="139" t="s">
        <v>2680</v>
      </c>
    </row>
    <row r="102" spans="1:18" s="51" customFormat="1" ht="11.45" customHeight="1">
      <c r="A102" s="451"/>
      <c r="B102" s="472" t="s">
        <v>2598</v>
      </c>
      <c r="C102" s="65" t="s">
        <v>3308</v>
      </c>
      <c r="D102" s="119"/>
      <c r="E102" s="48"/>
      <c r="G102" s="474" t="s">
        <v>3594</v>
      </c>
      <c r="I102" s="1123">
        <v>40820</v>
      </c>
      <c r="M102" s="451"/>
      <c r="N102" s="472" t="s">
        <v>2598</v>
      </c>
      <c r="O102" s="1094" t="s">
        <v>3698</v>
      </c>
      <c r="P102" s="1390"/>
    </row>
    <row r="103" spans="1:18" s="51" customFormat="1" ht="11.45" customHeight="1">
      <c r="A103" s="451"/>
      <c r="B103" s="453" t="s">
        <v>2599</v>
      </c>
      <c r="C103" s="609" t="s">
        <v>3309</v>
      </c>
      <c r="D103" s="119"/>
      <c r="E103" s="48"/>
      <c r="G103" s="474" t="s">
        <v>3580</v>
      </c>
      <c r="H103" s="2225">
        <v>40756</v>
      </c>
      <c r="I103" s="2226"/>
      <c r="K103" s="474" t="s">
        <v>3589</v>
      </c>
      <c r="L103" s="2227" t="s">
        <v>3831</v>
      </c>
      <c r="M103" s="2228"/>
      <c r="N103" s="453" t="s">
        <v>2599</v>
      </c>
      <c r="O103" s="1096" t="s">
        <v>3698</v>
      </c>
      <c r="P103" s="1392"/>
    </row>
    <row r="104" spans="1:18" s="51" customFormat="1" ht="11.45" customHeight="1">
      <c r="A104" s="451"/>
      <c r="B104" s="453"/>
      <c r="C104" s="609"/>
      <c r="D104" s="119"/>
      <c r="E104" s="48"/>
      <c r="G104" s="474" t="s">
        <v>3306</v>
      </c>
      <c r="H104" s="2225" t="s">
        <v>3830</v>
      </c>
      <c r="I104" s="2226"/>
      <c r="K104" s="474" t="s">
        <v>3305</v>
      </c>
      <c r="L104" s="2227" t="s">
        <v>3780</v>
      </c>
      <c r="M104" s="2228"/>
    </row>
    <row r="105" spans="1:18" ht="11.25" customHeight="1">
      <c r="B105" s="453" t="s">
        <v>2600</v>
      </c>
      <c r="C105" s="609" t="s">
        <v>3310</v>
      </c>
      <c r="D105" s="117"/>
      <c r="G105" s="348" t="s">
        <v>3590</v>
      </c>
      <c r="L105" s="1123" t="s">
        <v>3781</v>
      </c>
      <c r="M105" s="451"/>
      <c r="N105" s="453" t="s">
        <v>2600</v>
      </c>
      <c r="O105" s="1091" t="s">
        <v>3698</v>
      </c>
      <c r="P105" s="1386"/>
    </row>
    <row r="106" spans="1:18" ht="10.9" customHeight="1">
      <c r="B106" s="453"/>
      <c r="C106" s="609"/>
      <c r="D106" s="117"/>
      <c r="G106" s="474" t="s">
        <v>3592</v>
      </c>
      <c r="L106" s="2225"/>
      <c r="M106" s="2226"/>
      <c r="N106" s="31"/>
      <c r="O106" s="31"/>
      <c r="P106" s="31"/>
    </row>
    <row r="107" spans="1:18" ht="10.9" customHeight="1">
      <c r="B107" s="453"/>
      <c r="C107" s="609" t="s">
        <v>3307</v>
      </c>
      <c r="D107" s="117"/>
      <c r="G107" s="348"/>
      <c r="K107" s="682" t="s">
        <v>2945</v>
      </c>
      <c r="L107" s="1124" t="s">
        <v>3782</v>
      </c>
      <c r="M107" s="451"/>
      <c r="N107" s="453"/>
      <c r="O107" s="1094" t="s">
        <v>3698</v>
      </c>
      <c r="P107" s="1390"/>
    </row>
    <row r="108" spans="1:18" ht="10.9" customHeight="1">
      <c r="B108" s="453" t="s">
        <v>2601</v>
      </c>
      <c r="C108" s="650" t="s">
        <v>3311</v>
      </c>
      <c r="K108" s="682" t="s">
        <v>2945</v>
      </c>
      <c r="L108" s="1125">
        <v>3</v>
      </c>
      <c r="M108" s="451"/>
      <c r="N108" s="453" t="s">
        <v>2601</v>
      </c>
      <c r="O108" s="1095" t="s">
        <v>3698</v>
      </c>
      <c r="P108" s="1391"/>
    </row>
    <row r="109" spans="1:18" ht="10.9" customHeight="1">
      <c r="B109" s="453" t="s">
        <v>2602</v>
      </c>
      <c r="C109" s="650" t="s">
        <v>3312</v>
      </c>
      <c r="K109" s="682" t="s">
        <v>2945</v>
      </c>
      <c r="L109" s="1125" t="s">
        <v>3822</v>
      </c>
      <c r="M109" s="451"/>
      <c r="N109" s="453" t="s">
        <v>2602</v>
      </c>
      <c r="O109" s="1095" t="s">
        <v>3698</v>
      </c>
      <c r="P109" s="1391"/>
    </row>
    <row r="110" spans="1:18" ht="10.9" customHeight="1">
      <c r="B110" s="453" t="s">
        <v>2618</v>
      </c>
      <c r="C110" s="62" t="s">
        <v>3315</v>
      </c>
      <c r="K110" s="682" t="s">
        <v>2945</v>
      </c>
      <c r="L110" s="1126" t="s">
        <v>3823</v>
      </c>
      <c r="M110" s="451"/>
      <c r="N110" s="453" t="s">
        <v>2618</v>
      </c>
      <c r="O110" s="1095" t="s">
        <v>3698</v>
      </c>
      <c r="P110" s="1391"/>
    </row>
    <row r="111" spans="1:18" ht="10.9" customHeight="1">
      <c r="B111" s="453"/>
      <c r="C111" s="62" t="s">
        <v>3313</v>
      </c>
      <c r="K111" s="766"/>
      <c r="M111" s="451"/>
      <c r="N111" s="453"/>
      <c r="O111" s="1095" t="s">
        <v>3698</v>
      </c>
      <c r="P111" s="1391"/>
    </row>
    <row r="112" spans="1:18" ht="10.9" customHeight="1">
      <c r="B112" s="453" t="s">
        <v>2619</v>
      </c>
      <c r="C112" s="650" t="s">
        <v>3314</v>
      </c>
      <c r="D112" s="117"/>
      <c r="K112" s="682" t="s">
        <v>2945</v>
      </c>
      <c r="L112" s="1127" t="s">
        <v>3823</v>
      </c>
      <c r="M112" s="451"/>
      <c r="N112" s="453" t="s">
        <v>2619</v>
      </c>
      <c r="O112" s="1095" t="s">
        <v>3698</v>
      </c>
      <c r="P112" s="1391"/>
    </row>
    <row r="113" spans="1:17" ht="10.9" customHeight="1">
      <c r="B113" s="472" t="s">
        <v>2620</v>
      </c>
      <c r="C113" s="650" t="s">
        <v>3316</v>
      </c>
      <c r="K113" s="682" t="s">
        <v>2945</v>
      </c>
      <c r="L113" s="1125" t="s">
        <v>3824</v>
      </c>
      <c r="M113" s="451"/>
      <c r="N113" s="472" t="s">
        <v>2620</v>
      </c>
      <c r="O113" s="1095" t="s">
        <v>3698</v>
      </c>
      <c r="P113" s="1391"/>
    </row>
    <row r="114" spans="1:17" ht="10.9" customHeight="1">
      <c r="B114" s="472" t="s">
        <v>2621</v>
      </c>
      <c r="C114" s="650" t="s">
        <v>3317</v>
      </c>
      <c r="K114" s="682" t="s">
        <v>2945</v>
      </c>
      <c r="L114" s="1125">
        <v>5</v>
      </c>
      <c r="M114" s="451"/>
      <c r="N114" s="472" t="s">
        <v>2621</v>
      </c>
      <c r="O114" s="1095" t="s">
        <v>3698</v>
      </c>
      <c r="P114" s="1391"/>
    </row>
    <row r="115" spans="1:17" ht="10.9" customHeight="1">
      <c r="B115" s="472" t="s">
        <v>2622</v>
      </c>
      <c r="C115" s="650" t="s">
        <v>3319</v>
      </c>
      <c r="K115" s="682" t="s">
        <v>2945</v>
      </c>
      <c r="L115" s="1128" t="s">
        <v>3783</v>
      </c>
      <c r="M115" s="451"/>
      <c r="N115" s="472" t="s">
        <v>2622</v>
      </c>
      <c r="O115" s="1096" t="s">
        <v>3698</v>
      </c>
      <c r="P115" s="1392"/>
    </row>
    <row r="116" spans="1:17" ht="11.45" customHeight="1">
      <c r="A116" s="165" t="s">
        <v>2120</v>
      </c>
      <c r="B116" s="221" t="s">
        <v>3250</v>
      </c>
      <c r="D116" s="40"/>
      <c r="M116" s="94">
        <v>1</v>
      </c>
      <c r="N116" s="31"/>
      <c r="O116" s="139" t="s">
        <v>2680</v>
      </c>
      <c r="P116" s="139" t="s">
        <v>2680</v>
      </c>
    </row>
    <row r="117" spans="1:17" ht="11.45" customHeight="1">
      <c r="A117" s="669" t="s">
        <v>1439</v>
      </c>
      <c r="B117" s="551" t="s">
        <v>3252</v>
      </c>
      <c r="E117" s="137"/>
      <c r="N117" s="31"/>
      <c r="O117" s="1091" t="s">
        <v>3699</v>
      </c>
      <c r="P117" s="1386"/>
      <c r="Q117" s="474"/>
    </row>
    <row r="118" spans="1:17" ht="11.45" customHeight="1">
      <c r="A118" s="165" t="s">
        <v>798</v>
      </c>
      <c r="B118" s="221" t="s">
        <v>3251</v>
      </c>
      <c r="C118" s="221"/>
      <c r="D118" s="40"/>
      <c r="M118" s="134">
        <v>2</v>
      </c>
      <c r="N118" s="31"/>
      <c r="O118" s="677" t="s">
        <v>2680</v>
      </c>
      <c r="P118" s="677" t="s">
        <v>2680</v>
      </c>
    </row>
    <row r="119" spans="1:17" ht="22.5" customHeight="1">
      <c r="B119" s="2235" t="s">
        <v>3526</v>
      </c>
      <c r="C119" s="2235"/>
      <c r="D119" s="2235"/>
      <c r="E119" s="2235"/>
      <c r="F119" s="2235"/>
      <c r="G119" s="2235"/>
      <c r="H119" s="2235"/>
      <c r="I119" s="2235"/>
      <c r="J119" s="2235"/>
      <c r="K119" s="2235"/>
      <c r="L119" s="2235"/>
      <c r="N119" s="31"/>
      <c r="O119" s="1091" t="s">
        <v>3699</v>
      </c>
      <c r="P119" s="1386"/>
    </row>
    <row r="120" spans="1:17" s="51" customFormat="1" ht="13.9" customHeight="1">
      <c r="A120" s="50"/>
      <c r="B120" s="57" t="s">
        <v>269</v>
      </c>
      <c r="C120" s="50"/>
      <c r="D120" s="56"/>
      <c r="E120" s="56"/>
      <c r="F120" s="56"/>
      <c r="G120" s="56"/>
      <c r="H120" s="44"/>
      <c r="I120" s="44"/>
      <c r="J120" s="44"/>
      <c r="K120" s="44"/>
      <c r="M120" s="54"/>
      <c r="N120" s="73"/>
      <c r="O120" s="4"/>
      <c r="P120" s="1176"/>
    </row>
    <row r="121" spans="1:17" s="51" customFormat="1" ht="12.75" customHeight="1">
      <c r="A121" s="2229" t="s">
        <v>3825</v>
      </c>
      <c r="B121" s="2230"/>
      <c r="C121" s="2230"/>
      <c r="D121" s="2230"/>
      <c r="E121" s="2230"/>
      <c r="F121" s="2230"/>
      <c r="G121" s="2230"/>
      <c r="H121" s="2230"/>
      <c r="I121" s="2230"/>
      <c r="J121" s="2230"/>
      <c r="K121" s="2230"/>
      <c r="L121" s="2230"/>
      <c r="M121" s="2230"/>
      <c r="N121" s="2230"/>
      <c r="O121" s="2230"/>
      <c r="P121" s="2231"/>
      <c r="Q121" s="562" t="s">
        <v>1331</v>
      </c>
    </row>
    <row r="122" spans="1:17" s="51" customFormat="1" ht="11.25" customHeight="1">
      <c r="A122" s="50"/>
      <c r="B122" s="100" t="s">
        <v>1995</v>
      </c>
      <c r="C122" s="50"/>
      <c r="D122" s="100"/>
      <c r="E122" s="1177"/>
      <c r="F122" s="1177"/>
      <c r="G122" s="1177"/>
      <c r="H122" s="1177"/>
      <c r="I122" s="1177"/>
      <c r="J122" s="1177"/>
      <c r="K122" s="1177"/>
      <c r="L122" s="1177"/>
      <c r="M122" s="1177"/>
      <c r="N122" s="87"/>
      <c r="O122" s="83"/>
      <c r="P122" s="2"/>
      <c r="Q122" s="529"/>
    </row>
    <row r="123" spans="1:17" s="51" customFormat="1" ht="12.75" customHeight="1">
      <c r="A123" s="2232"/>
      <c r="B123" s="2233"/>
      <c r="C123" s="2233"/>
      <c r="D123" s="2233"/>
      <c r="E123" s="2233"/>
      <c r="F123" s="2233"/>
      <c r="G123" s="2233"/>
      <c r="H123" s="2233"/>
      <c r="I123" s="2233"/>
      <c r="J123" s="2233"/>
      <c r="K123" s="2233"/>
      <c r="L123" s="2233"/>
      <c r="M123" s="2233"/>
      <c r="N123" s="2233"/>
      <c r="O123" s="2233"/>
      <c r="P123" s="2234"/>
      <c r="Q123" s="562" t="s">
        <v>1331</v>
      </c>
    </row>
    <row r="124" spans="1:17" ht="3.6" customHeight="1">
      <c r="B124" s="137"/>
      <c r="C124" s="137"/>
      <c r="D124" s="137"/>
      <c r="E124" s="137"/>
    </row>
    <row r="125" spans="1:17" s="51" customFormat="1" ht="12" customHeight="1">
      <c r="A125" s="182" t="s">
        <v>227</v>
      </c>
      <c r="B125" s="122" t="s">
        <v>2623</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2" t="s">
        <v>2117</v>
      </c>
      <c r="B126" s="221" t="s">
        <v>2378</v>
      </c>
      <c r="D126" s="40"/>
      <c r="E126" s="40"/>
      <c r="F126" s="40"/>
      <c r="G126" s="31" t="str">
        <f>IF(AND(O126&lt;0,L133&lt;0),"Select either A or B but not both!&gt;","")</f>
        <v/>
      </c>
      <c r="H126" s="205" t="s">
        <v>3247</v>
      </c>
      <c r="I126" s="673"/>
      <c r="J126" s="674" t="str">
        <f>'Part I-Project Information'!$H$85</f>
        <v>Flexible</v>
      </c>
      <c r="M126" s="85">
        <v>3</v>
      </c>
      <c r="N126" s="594" t="s">
        <v>2117</v>
      </c>
      <c r="O126" s="1111"/>
      <c r="P126" s="1408"/>
      <c r="Q126" s="474" t="s">
        <v>2946</v>
      </c>
    </row>
    <row r="127" spans="1:17" s="117" customFormat="1" ht="22.9" customHeight="1">
      <c r="B127" s="475" t="s">
        <v>2121</v>
      </c>
      <c r="C127" s="2235" t="s">
        <v>3527</v>
      </c>
      <c r="D127" s="2025"/>
      <c r="E127" s="2025"/>
      <c r="F127" s="2025"/>
      <c r="G127" s="2025"/>
      <c r="H127" s="2025"/>
      <c r="I127" s="2025"/>
      <c r="J127" s="2025"/>
      <c r="K127" s="2025"/>
      <c r="L127" s="2025"/>
      <c r="M127" s="507"/>
      <c r="N127" s="475" t="s">
        <v>2121</v>
      </c>
      <c r="O127" s="1096"/>
      <c r="P127" s="1392"/>
    </row>
    <row r="128" spans="1:17" s="117" customFormat="1" ht="10.5" customHeight="1">
      <c r="B128" s="217"/>
      <c r="C128" s="138" t="s">
        <v>1019</v>
      </c>
      <c r="H128" s="542" t="s">
        <v>2764</v>
      </c>
      <c r="I128" s="1129"/>
      <c r="J128" s="542" t="s">
        <v>2449</v>
      </c>
      <c r="K128" s="2236"/>
      <c r="L128" s="2237"/>
      <c r="M128" s="2238"/>
    </row>
    <row r="129" spans="1:17" s="117" customFormat="1" ht="10.5" customHeight="1">
      <c r="B129" s="217" t="s">
        <v>2123</v>
      </c>
      <c r="C129" s="138" t="s">
        <v>1020</v>
      </c>
      <c r="M129" s="8"/>
      <c r="N129" s="217" t="s">
        <v>2123</v>
      </c>
      <c r="O129" s="1094"/>
      <c r="P129" s="1390"/>
    </row>
    <row r="130" spans="1:17" s="117" customFormat="1" ht="10.5" customHeight="1">
      <c r="B130" s="217" t="s">
        <v>2706</v>
      </c>
      <c r="C130" s="138" t="s">
        <v>1021</v>
      </c>
      <c r="M130" s="8"/>
      <c r="N130" s="217" t="s">
        <v>2706</v>
      </c>
      <c r="O130" s="1095"/>
      <c r="P130" s="1391"/>
    </row>
    <row r="131" spans="1:17" s="117" customFormat="1" ht="10.5" customHeight="1">
      <c r="A131" s="669" t="s">
        <v>1439</v>
      </c>
      <c r="B131" s="217" t="s">
        <v>1300</v>
      </c>
      <c r="C131" s="138" t="s">
        <v>1022</v>
      </c>
      <c r="M131" s="8"/>
      <c r="N131" s="217" t="s">
        <v>1300</v>
      </c>
      <c r="O131" s="1096"/>
      <c r="P131" s="1392"/>
    </row>
    <row r="132" spans="1:17" ht="12" customHeight="1">
      <c r="A132" s="1172" t="s">
        <v>2120</v>
      </c>
      <c r="B132" s="221" t="s">
        <v>2379</v>
      </c>
      <c r="D132" s="137"/>
      <c r="E132" s="511" t="s">
        <v>3154</v>
      </c>
      <c r="M132" s="85">
        <v>3</v>
      </c>
      <c r="N132" s="594" t="s">
        <v>2120</v>
      </c>
      <c r="O132" s="727">
        <f>IF($L133=5,3,IF($L133=4,2,0))</f>
        <v>3</v>
      </c>
      <c r="P132" s="1413"/>
    </row>
    <row r="133" spans="1:17" ht="10.5" customHeight="1">
      <c r="B133" s="538" t="s">
        <v>3320</v>
      </c>
      <c r="D133" s="40"/>
      <c r="E133" s="40"/>
      <c r="F133" s="40"/>
      <c r="G133" s="48"/>
      <c r="H133" s="48"/>
      <c r="I133" s="48"/>
      <c r="J133" s="48"/>
      <c r="L133" s="1130">
        <v>5</v>
      </c>
      <c r="M133" s="160" t="s">
        <v>3321</v>
      </c>
      <c r="O133" s="119"/>
      <c r="P133" s="119"/>
    </row>
    <row r="134" spans="1:17" ht="10.5" customHeight="1">
      <c r="B134" s="538"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6"/>
    </row>
    <row r="136" spans="1:17" s="51" customFormat="1" ht="11.45" customHeight="1">
      <c r="A136" s="2008" t="s">
        <v>3826</v>
      </c>
      <c r="B136" s="2009"/>
      <c r="C136" s="2009"/>
      <c r="D136" s="2009"/>
      <c r="E136" s="2009"/>
      <c r="F136" s="2009"/>
      <c r="G136" s="2009"/>
      <c r="H136" s="2009"/>
      <c r="I136" s="2009"/>
      <c r="J136" s="2009"/>
      <c r="K136" s="2009"/>
      <c r="L136" s="2009"/>
      <c r="M136" s="2009"/>
      <c r="N136" s="2009"/>
      <c r="O136" s="2009"/>
      <c r="P136" s="2010"/>
      <c r="Q136" s="562" t="s">
        <v>1331</v>
      </c>
    </row>
    <row r="137" spans="1:17" s="51" customFormat="1" ht="11.45" customHeight="1">
      <c r="B137" s="100" t="s">
        <v>1995</v>
      </c>
      <c r="C137" s="115"/>
      <c r="D137" s="100"/>
      <c r="E137" s="116"/>
      <c r="F137" s="1177"/>
      <c r="G137" s="1177"/>
      <c r="H137" s="1177"/>
      <c r="I137" s="1177"/>
      <c r="J137" s="1177"/>
      <c r="K137" s="1177"/>
      <c r="L137" s="1177"/>
      <c r="M137" s="1177"/>
      <c r="N137" s="87"/>
      <c r="O137" s="83"/>
      <c r="P137" s="2"/>
      <c r="Q137" s="529"/>
    </row>
    <row r="138" spans="1:17" s="51" customFormat="1" ht="11.45" customHeight="1">
      <c r="A138" s="2013"/>
      <c r="B138" s="2014"/>
      <c r="C138" s="2014"/>
      <c r="D138" s="2014"/>
      <c r="E138" s="2014"/>
      <c r="F138" s="2014"/>
      <c r="G138" s="2014"/>
      <c r="H138" s="2014"/>
      <c r="I138" s="2014"/>
      <c r="J138" s="2014"/>
      <c r="K138" s="2014"/>
      <c r="L138" s="2014"/>
      <c r="M138" s="2014"/>
      <c r="N138" s="2014"/>
      <c r="O138" s="2014"/>
      <c r="P138" s="2015"/>
      <c r="Q138" s="562" t="s">
        <v>1331</v>
      </c>
    </row>
    <row r="139" spans="1:17" ht="3" customHeight="1">
      <c r="B139" s="137"/>
      <c r="C139" s="137"/>
      <c r="D139" s="137"/>
      <c r="E139" s="137"/>
    </row>
    <row r="140" spans="1:17" s="51" customFormat="1" ht="12" customHeight="1">
      <c r="A140" s="182" t="s">
        <v>228</v>
      </c>
      <c r="B140" s="122" t="s">
        <v>2624</v>
      </c>
      <c r="E140" s="49"/>
      <c r="F140" s="49"/>
      <c r="H140" s="72"/>
      <c r="K140" s="56"/>
      <c r="L140" s="458" t="str">
        <f>IF(OR($O140=$M140,$O140=0,$O140=""),"","* * Check Score! * *")</f>
        <v/>
      </c>
      <c r="M140" s="2">
        <v>2</v>
      </c>
      <c r="N140" s="482" t="str">
        <f>IF(OR($O140=$M140,$O140=0,$O140=""),"","***")</f>
        <v/>
      </c>
      <c r="O140" s="1117">
        <v>2</v>
      </c>
      <c r="P140" s="1413"/>
      <c r="Q140" s="126" t="s">
        <v>463</v>
      </c>
    </row>
    <row r="141" spans="1:17" ht="11.45" customHeight="1">
      <c r="B141" s="203" t="s">
        <v>1782</v>
      </c>
      <c r="E141" s="137"/>
      <c r="M141" s="471"/>
      <c r="N141" s="31"/>
      <c r="O141" s="31"/>
      <c r="P141" s="139" t="s">
        <v>2680</v>
      </c>
    </row>
    <row r="142" spans="1:17" s="477" customFormat="1">
      <c r="A142" s="170" t="s">
        <v>2117</v>
      </c>
      <c r="B142" s="2207" t="s">
        <v>2823</v>
      </c>
      <c r="C142" s="1811"/>
      <c r="D142" s="1811"/>
      <c r="E142" s="1811"/>
      <c r="F142" s="1811"/>
      <c r="G142" s="1811"/>
      <c r="H142" s="1811"/>
      <c r="I142" s="1811"/>
      <c r="J142" s="1811"/>
      <c r="K142" s="1811"/>
      <c r="L142" s="1811"/>
      <c r="M142" s="1811"/>
      <c r="N142" s="1811"/>
      <c r="O142" s="473" t="s">
        <v>2598</v>
      </c>
      <c r="P142" s="1416"/>
    </row>
    <row r="143" spans="1:17" s="477" customFormat="1" ht="24" customHeight="1">
      <c r="A143" s="170" t="s">
        <v>2120</v>
      </c>
      <c r="B143" s="2207" t="s">
        <v>2993</v>
      </c>
      <c r="C143" s="1811"/>
      <c r="D143" s="1811"/>
      <c r="E143" s="1811"/>
      <c r="F143" s="1811"/>
      <c r="G143" s="1811"/>
      <c r="H143" s="1811"/>
      <c r="I143" s="1811"/>
      <c r="J143" s="1811"/>
      <c r="K143" s="1811"/>
      <c r="L143" s="1811"/>
      <c r="M143" s="1811"/>
      <c r="N143" s="1811"/>
      <c r="O143" s="473" t="s">
        <v>2599</v>
      </c>
      <c r="P143" s="1417"/>
    </row>
    <row r="144" spans="1:17" s="477" customFormat="1" ht="12.75" customHeight="1">
      <c r="A144" s="170" t="s">
        <v>798</v>
      </c>
      <c r="B144" s="260" t="s">
        <v>1783</v>
      </c>
      <c r="M144" s="549"/>
      <c r="N144" s="473"/>
      <c r="O144" s="473" t="s">
        <v>2600</v>
      </c>
      <c r="P144" s="1418"/>
    </row>
    <row r="145" spans="1:18" s="51" customFormat="1" ht="12.75" customHeight="1">
      <c r="A145" s="473"/>
      <c r="B145" s="57" t="s">
        <v>269</v>
      </c>
      <c r="C145" s="50"/>
      <c r="D145" s="56"/>
      <c r="E145" s="56"/>
      <c r="F145" s="56"/>
      <c r="G145" s="56"/>
      <c r="H145" s="44"/>
      <c r="I145" s="44"/>
      <c r="J145" s="44"/>
      <c r="K145" s="44"/>
      <c r="M145" s="54"/>
      <c r="N145" s="73"/>
      <c r="O145" s="4"/>
      <c r="P145" s="1176"/>
    </row>
    <row r="146" spans="1:18" s="51" customFormat="1" ht="24.6" customHeight="1">
      <c r="A146" s="2008"/>
      <c r="B146" s="2009"/>
      <c r="C146" s="2009"/>
      <c r="D146" s="2009"/>
      <c r="E146" s="2009"/>
      <c r="F146" s="2009"/>
      <c r="G146" s="2009"/>
      <c r="H146" s="2009"/>
      <c r="I146" s="2009"/>
      <c r="J146" s="2009"/>
      <c r="K146" s="2009"/>
      <c r="L146" s="2009"/>
      <c r="M146" s="2009"/>
      <c r="N146" s="2009"/>
      <c r="O146" s="2009"/>
      <c r="P146" s="2010"/>
      <c r="Q146" s="562" t="s">
        <v>1331</v>
      </c>
    </row>
    <row r="147" spans="1:18" s="51" customFormat="1" ht="11.25" customHeight="1">
      <c r="A147" s="50"/>
      <c r="B147" s="100" t="s">
        <v>1995</v>
      </c>
      <c r="C147" s="50"/>
      <c r="D147" s="100"/>
      <c r="E147" s="1177"/>
      <c r="F147" s="1177"/>
      <c r="G147" s="1177"/>
      <c r="H147" s="1177"/>
      <c r="I147" s="1177"/>
      <c r="J147" s="1177"/>
      <c r="K147" s="1177"/>
      <c r="L147" s="1177"/>
      <c r="M147" s="1177"/>
      <c r="N147" s="87"/>
      <c r="O147" s="83"/>
      <c r="P147" s="2"/>
      <c r="Q147" s="529"/>
    </row>
    <row r="148" spans="1:18" s="51" customFormat="1" ht="40.5" customHeight="1">
      <c r="A148" s="2013"/>
      <c r="B148" s="2014"/>
      <c r="C148" s="2014"/>
      <c r="D148" s="2014"/>
      <c r="E148" s="2014"/>
      <c r="F148" s="2014"/>
      <c r="G148" s="2014"/>
      <c r="H148" s="2014"/>
      <c r="I148" s="2014"/>
      <c r="J148" s="2014"/>
      <c r="K148" s="2014"/>
      <c r="L148" s="2014"/>
      <c r="M148" s="2014"/>
      <c r="N148" s="2014"/>
      <c r="O148" s="2014"/>
      <c r="P148" s="2015"/>
      <c r="Q148" s="562" t="s">
        <v>1331</v>
      </c>
    </row>
    <row r="149" spans="1:18" ht="3" customHeight="1">
      <c r="B149" s="137"/>
      <c r="C149" s="137"/>
      <c r="D149" s="137"/>
      <c r="E149" s="137"/>
    </row>
    <row r="150" spans="1:18" s="51" customFormat="1" ht="12" customHeight="1">
      <c r="A150" s="183"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5" t="s">
        <v>2380</v>
      </c>
      <c r="D151" s="72"/>
      <c r="E151" s="72"/>
      <c r="F151" s="52"/>
      <c r="G151" s="31"/>
      <c r="K151" s="594" t="s">
        <v>2921</v>
      </c>
      <c r="L151" s="1094" t="s">
        <v>3698</v>
      </c>
      <c r="M151" s="8">
        <v>1</v>
      </c>
      <c r="N151" s="594" t="s">
        <v>2117</v>
      </c>
      <c r="O151" s="1111">
        <v>1</v>
      </c>
      <c r="P151" s="1408"/>
      <c r="Q151" s="474"/>
      <c r="R151" s="458" t="str">
        <f>IF(OR($O151=$M151,$O151=0,$O151=""),"","* * Check Score! * *")</f>
        <v/>
      </c>
    </row>
    <row r="152" spans="1:18" s="51" customFormat="1" ht="12" customHeight="1">
      <c r="A152" s="165" t="s">
        <v>2120</v>
      </c>
      <c r="B152" s="205" t="s">
        <v>2381</v>
      </c>
      <c r="D152" s="68"/>
      <c r="H152" s="1183" t="s">
        <v>2907</v>
      </c>
      <c r="K152" s="62"/>
      <c r="L152" s="1096" t="s">
        <v>3699</v>
      </c>
      <c r="M152" s="8">
        <v>1</v>
      </c>
      <c r="N152" s="594" t="s">
        <v>2120</v>
      </c>
      <c r="O152" s="1115"/>
      <c r="P152" s="1409"/>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6"/>
    </row>
    <row r="154" spans="1:18" s="51" customFormat="1" ht="12.6" customHeight="1">
      <c r="A154" s="2008" t="s">
        <v>3784</v>
      </c>
      <c r="B154" s="2009"/>
      <c r="C154" s="2009"/>
      <c r="D154" s="2009"/>
      <c r="E154" s="2009"/>
      <c r="F154" s="2009"/>
      <c r="G154" s="2009"/>
      <c r="H154" s="2009"/>
      <c r="I154" s="2009"/>
      <c r="J154" s="2009"/>
      <c r="K154" s="2009"/>
      <c r="L154" s="2009"/>
      <c r="M154" s="2009"/>
      <c r="N154" s="2009"/>
      <c r="O154" s="2009"/>
      <c r="P154" s="2010"/>
      <c r="Q154" s="562" t="s">
        <v>1331</v>
      </c>
    </row>
    <row r="155" spans="1:18" s="51" customFormat="1" ht="11.25" customHeight="1">
      <c r="A155" s="50"/>
      <c r="B155" s="100" t="s">
        <v>1995</v>
      </c>
      <c r="C155" s="115"/>
      <c r="D155" s="100"/>
      <c r="E155" s="116"/>
      <c r="F155" s="1177"/>
      <c r="G155" s="1177"/>
      <c r="H155" s="1177"/>
      <c r="I155" s="1177"/>
      <c r="J155" s="1177"/>
      <c r="K155" s="1177"/>
      <c r="L155" s="1177"/>
      <c r="M155" s="1177"/>
      <c r="N155" s="87"/>
      <c r="O155" s="83"/>
      <c r="P155" s="2"/>
      <c r="Q155" s="529"/>
    </row>
    <row r="156" spans="1:18" s="51" customFormat="1" ht="12.6" customHeight="1">
      <c r="A156" s="2013"/>
      <c r="B156" s="2014"/>
      <c r="C156" s="2014"/>
      <c r="D156" s="2014"/>
      <c r="E156" s="2014"/>
      <c r="F156" s="2014"/>
      <c r="G156" s="2014"/>
      <c r="H156" s="2014"/>
      <c r="I156" s="2014"/>
      <c r="J156" s="2014"/>
      <c r="K156" s="2014"/>
      <c r="L156" s="2014"/>
      <c r="M156" s="2014"/>
      <c r="N156" s="2014"/>
      <c r="O156" s="2014"/>
      <c r="P156" s="2015"/>
      <c r="Q156" s="562" t="s">
        <v>1331</v>
      </c>
    </row>
    <row r="157" spans="1:18" s="51" customFormat="1" ht="3" customHeight="1">
      <c r="A157" s="50"/>
      <c r="B157" s="50"/>
      <c r="C157" s="1177"/>
      <c r="D157" s="1177"/>
      <c r="E157" s="1177"/>
      <c r="F157" s="1177"/>
      <c r="G157" s="1177"/>
      <c r="H157" s="1177"/>
      <c r="I157" s="1177"/>
      <c r="J157" s="1177"/>
      <c r="K157" s="1177"/>
      <c r="L157" s="1177"/>
      <c r="M157" s="1177"/>
      <c r="N157" s="87"/>
      <c r="O157" s="83"/>
      <c r="P157" s="612"/>
    </row>
    <row r="158" spans="1:18" s="51" customFormat="1" ht="15">
      <c r="A158" s="183" t="s">
        <v>247</v>
      </c>
      <c r="B158" s="130" t="s">
        <v>2899</v>
      </c>
      <c r="C158" s="102"/>
      <c r="D158" s="69"/>
      <c r="E158" s="62"/>
      <c r="M158" s="2">
        <v>3</v>
      </c>
      <c r="N158" s="7"/>
      <c r="O158" s="7"/>
      <c r="P158" s="1413"/>
      <c r="Q158" s="126" t="s">
        <v>463</v>
      </c>
    </row>
    <row r="159" spans="1:18" s="51" customFormat="1" ht="12" customHeight="1">
      <c r="A159" s="183"/>
      <c r="B159" s="682" t="s">
        <v>2911</v>
      </c>
      <c r="C159" s="102"/>
      <c r="D159" s="69"/>
      <c r="E159" s="62"/>
      <c r="G159" s="593" t="str">
        <f>'Part I-Project Information'!$H$81</f>
        <v>No</v>
      </c>
      <c r="J159" s="72"/>
      <c r="M159" s="2"/>
      <c r="N159" s="2"/>
      <c r="O159" s="139" t="s">
        <v>2680</v>
      </c>
      <c r="P159" s="139" t="s">
        <v>2680</v>
      </c>
      <c r="Q159" s="126"/>
    </row>
    <row r="160" spans="1:18" s="51" customFormat="1" ht="12" customHeight="1">
      <c r="A160" s="165"/>
      <c r="B160" s="65" t="s">
        <v>2502</v>
      </c>
      <c r="D160" s="40"/>
      <c r="N160" s="594"/>
      <c r="O160" s="1094"/>
      <c r="P160" s="1390"/>
      <c r="R160" s="458"/>
    </row>
    <row r="161" spans="1:18" s="51" customFormat="1" ht="12" customHeight="1">
      <c r="A161" s="165"/>
      <c r="B161" s="65" t="s">
        <v>3541</v>
      </c>
      <c r="D161" s="40"/>
      <c r="N161" s="594"/>
      <c r="O161" s="1096"/>
      <c r="P161" s="1392"/>
      <c r="R161" s="458"/>
    </row>
    <row r="162" spans="1:18" s="51" customFormat="1" ht="12" customHeight="1">
      <c r="A162" s="50"/>
      <c r="B162" s="57" t="s">
        <v>269</v>
      </c>
      <c r="C162" s="50"/>
      <c r="D162" s="56"/>
      <c r="E162" s="56"/>
      <c r="F162" s="56"/>
      <c r="G162" s="56"/>
      <c r="H162" s="44"/>
      <c r="I162" s="44"/>
      <c r="J162" s="44"/>
      <c r="K162" s="44"/>
      <c r="M162" s="54"/>
      <c r="N162" s="73"/>
      <c r="O162" s="4"/>
      <c r="P162" s="1176"/>
    </row>
    <row r="163" spans="1:18" s="51" customFormat="1" ht="12.75" customHeight="1">
      <c r="A163" s="2008" t="s">
        <v>3785</v>
      </c>
      <c r="B163" s="2009"/>
      <c r="C163" s="2009"/>
      <c r="D163" s="2009"/>
      <c r="E163" s="2009"/>
      <c r="F163" s="2009"/>
      <c r="G163" s="2009"/>
      <c r="H163" s="2009"/>
      <c r="I163" s="2009"/>
      <c r="J163" s="2009"/>
      <c r="K163" s="2009"/>
      <c r="L163" s="2009"/>
      <c r="M163" s="2009"/>
      <c r="N163" s="2009"/>
      <c r="O163" s="2009"/>
      <c r="P163" s="2010"/>
      <c r="Q163" s="562" t="s">
        <v>1331</v>
      </c>
    </row>
    <row r="164" spans="1:18" s="51" customFormat="1" ht="12" customHeight="1">
      <c r="B164" s="100" t="s">
        <v>1995</v>
      </c>
      <c r="C164" s="115"/>
      <c r="D164" s="100"/>
      <c r="E164" s="116"/>
      <c r="F164" s="1177"/>
      <c r="G164" s="1177"/>
      <c r="H164" s="1177"/>
      <c r="I164" s="1177"/>
      <c r="J164" s="1177"/>
      <c r="K164" s="1177"/>
      <c r="L164" s="1177"/>
      <c r="M164" s="1177"/>
      <c r="N164" s="87"/>
      <c r="O164" s="83"/>
      <c r="P164" s="2"/>
      <c r="Q164" s="529"/>
    </row>
    <row r="165" spans="1:18" s="51" customFormat="1" ht="12.75" customHeight="1">
      <c r="A165" s="2013"/>
      <c r="B165" s="2014"/>
      <c r="C165" s="2014"/>
      <c r="D165" s="2014"/>
      <c r="E165" s="2014"/>
      <c r="F165" s="2014"/>
      <c r="G165" s="2014"/>
      <c r="H165" s="2014"/>
      <c r="I165" s="2014"/>
      <c r="J165" s="2014"/>
      <c r="K165" s="2014"/>
      <c r="L165" s="2014"/>
      <c r="M165" s="2014"/>
      <c r="N165" s="2014"/>
      <c r="O165" s="2014"/>
      <c r="P165" s="2015"/>
      <c r="Q165" s="562" t="s">
        <v>1331</v>
      </c>
    </row>
    <row r="166" spans="1:18" ht="4.5" customHeight="1"/>
    <row r="167" spans="1:18" s="74" customFormat="1" ht="12.6" customHeight="1">
      <c r="A167" s="182" t="s">
        <v>248</v>
      </c>
      <c r="B167" s="122" t="s">
        <v>3324</v>
      </c>
      <c r="E167" s="680" t="s">
        <v>3214</v>
      </c>
      <c r="G167" s="136"/>
      <c r="H167" s="510"/>
      <c r="K167" s="89">
        <f>'Part VI-Revenues &amp; Expenses'!$M$62</f>
        <v>128</v>
      </c>
      <c r="L167" s="661" t="s">
        <v>1916</v>
      </c>
      <c r="M167" s="2">
        <v>3</v>
      </c>
      <c r="N167" s="482" t="str">
        <f>IF(OR($O167=$M167,$O167=0,$O167=""),"","***")</f>
        <v/>
      </c>
      <c r="O167" s="1117"/>
      <c r="P167" s="1413"/>
      <c r="Q167" s="126" t="s">
        <v>463</v>
      </c>
      <c r="R167" s="31"/>
    </row>
    <row r="168" spans="1:18" s="74" customFormat="1" ht="12.6" customHeight="1">
      <c r="A168" s="182"/>
      <c r="B168" s="205" t="s">
        <v>3247</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0</v>
      </c>
      <c r="L168" s="661" t="s">
        <v>3204</v>
      </c>
      <c r="M168" s="2"/>
      <c r="N168" s="482"/>
      <c r="O168" s="482"/>
      <c r="P168" s="482"/>
      <c r="Q168" s="126"/>
      <c r="R168" s="31"/>
    </row>
    <row r="169" spans="1:18" s="74" customFormat="1" ht="25.15" customHeight="1">
      <c r="A169" s="182"/>
      <c r="B169" s="1983" t="s">
        <v>2968</v>
      </c>
      <c r="C169" s="2239"/>
      <c r="D169" s="2239"/>
      <c r="E169" s="2239"/>
      <c r="F169" s="2239"/>
      <c r="G169" s="2239"/>
      <c r="H169" s="2239"/>
      <c r="I169" s="2239"/>
      <c r="J169" s="2239"/>
      <c r="K169" s="2239"/>
      <c r="L169" s="2239"/>
      <c r="M169" s="2239"/>
      <c r="N169" s="2"/>
      <c r="R169" s="458"/>
    </row>
    <row r="170" spans="1:18" s="51" customFormat="1" ht="13.9" customHeight="1">
      <c r="A170" s="50"/>
      <c r="B170" s="57" t="s">
        <v>269</v>
      </c>
      <c r="C170" s="50"/>
      <c r="D170" s="56"/>
      <c r="E170" s="56"/>
      <c r="F170" s="56"/>
      <c r="G170" s="56"/>
      <c r="H170" s="44"/>
      <c r="I170" s="44"/>
      <c r="J170" s="100" t="s">
        <v>1995</v>
      </c>
      <c r="M170" s="54"/>
      <c r="N170" s="73"/>
      <c r="O170" s="4"/>
      <c r="P170" s="1176"/>
    </row>
    <row r="171" spans="1:18" s="51" customFormat="1" ht="12" customHeight="1">
      <c r="A171" s="2008" t="s">
        <v>3785</v>
      </c>
      <c r="B171" s="2009"/>
      <c r="C171" s="2009"/>
      <c r="D171" s="2009"/>
      <c r="E171" s="2009"/>
      <c r="F171" s="2009"/>
      <c r="G171" s="2009"/>
      <c r="H171" s="2009"/>
      <c r="I171" s="2010"/>
      <c r="J171" s="2013"/>
      <c r="K171" s="2014"/>
      <c r="L171" s="2014"/>
      <c r="M171" s="2014"/>
      <c r="N171" s="2014"/>
      <c r="O171" s="2014"/>
      <c r="P171" s="2015"/>
      <c r="Q171" s="562" t="s">
        <v>1331</v>
      </c>
    </row>
    <row r="172" spans="1:18" s="51" customFormat="1" ht="6" customHeight="1">
      <c r="A172" s="50"/>
      <c r="C172" s="1177"/>
      <c r="D172" s="1177"/>
      <c r="E172" s="1177"/>
      <c r="F172" s="1177"/>
      <c r="G172" s="1177"/>
      <c r="H172" s="1177"/>
      <c r="I172" s="1177"/>
      <c r="J172" s="1177"/>
      <c r="K172" s="1177"/>
      <c r="L172" s="1177"/>
      <c r="M172" s="1177"/>
      <c r="N172" s="87"/>
      <c r="O172" s="83"/>
      <c r="P172" s="612"/>
    </row>
    <row r="173" spans="1:18" s="51" customFormat="1" ht="13.5" customHeight="1">
      <c r="A173" s="182" t="s">
        <v>1493</v>
      </c>
      <c r="B173" s="131" t="s">
        <v>1785</v>
      </c>
      <c r="D173" s="103"/>
      <c r="E173" s="103"/>
      <c r="G173" s="62"/>
      <c r="H173" s="62"/>
      <c r="I173" s="62"/>
      <c r="J173" s="64"/>
      <c r="K173" s="71"/>
      <c r="L173" s="458" t="str">
        <f>IF(OR($O173=$M173,$O173=0,$O173=""),"","* * Check Score! * *")</f>
        <v/>
      </c>
      <c r="M173" s="612">
        <v>1</v>
      </c>
      <c r="N173" s="482" t="str">
        <f>IF(OR($O173=$M173,$O173=0,$O173=""),"","***")</f>
        <v/>
      </c>
      <c r="O173" s="1117"/>
      <c r="P173" s="1413"/>
      <c r="Q173" s="126" t="s">
        <v>463</v>
      </c>
    </row>
    <row r="174" spans="1:18" s="51" customFormat="1" ht="10.5" customHeight="1">
      <c r="B174" s="132" t="s">
        <v>3325</v>
      </c>
      <c r="D174" s="119"/>
      <c r="E174" s="103"/>
      <c r="F174" s="62"/>
      <c r="G174" s="62"/>
      <c r="H174" s="62"/>
      <c r="I174" s="61"/>
      <c r="O174" s="139" t="s">
        <v>2680</v>
      </c>
      <c r="P174" s="139" t="s">
        <v>2680</v>
      </c>
    </row>
    <row r="175" spans="1:18" s="117" customFormat="1" ht="10.5" customHeight="1">
      <c r="A175" s="165" t="s">
        <v>2117</v>
      </c>
      <c r="B175" s="160" t="s">
        <v>3528</v>
      </c>
      <c r="D175" s="138"/>
      <c r="E175" s="138"/>
      <c r="F175" s="138"/>
      <c r="J175" s="2240" t="s">
        <v>2692</v>
      </c>
      <c r="K175" s="2241"/>
      <c r="L175" s="2242"/>
      <c r="N175" s="594" t="s">
        <v>2117</v>
      </c>
      <c r="O175" s="1094"/>
      <c r="P175" s="1390"/>
    </row>
    <row r="176" spans="1:18" s="117" customFormat="1" ht="10.5" customHeight="1">
      <c r="A176" s="165" t="s">
        <v>2120</v>
      </c>
      <c r="B176" s="160" t="s">
        <v>3529</v>
      </c>
      <c r="D176" s="138"/>
      <c r="E176" s="138"/>
      <c r="F176" s="138"/>
      <c r="G176" s="138"/>
      <c r="L176" s="138"/>
      <c r="M176" s="138"/>
      <c r="N176" s="594" t="s">
        <v>2120</v>
      </c>
      <c r="O176" s="1095"/>
      <c r="P176" s="1391"/>
    </row>
    <row r="177" spans="1:18" s="117" customFormat="1" ht="10.5" customHeight="1">
      <c r="A177" s="165" t="s">
        <v>798</v>
      </c>
      <c r="B177" s="160" t="s">
        <v>3530</v>
      </c>
      <c r="D177" s="138"/>
      <c r="E177" s="138"/>
      <c r="F177" s="138"/>
      <c r="G177" s="138"/>
      <c r="H177" s="138"/>
      <c r="L177" s="138"/>
      <c r="M177" s="138"/>
      <c r="N177" s="594" t="s">
        <v>798</v>
      </c>
      <c r="O177" s="1095"/>
      <c r="P177" s="1391"/>
    </row>
    <row r="178" spans="1:18" s="117" customFormat="1" ht="10.5" customHeight="1">
      <c r="A178" s="165" t="s">
        <v>2252</v>
      </c>
      <c r="B178" s="160" t="s">
        <v>3531</v>
      </c>
      <c r="D178" s="138"/>
      <c r="E178" s="138"/>
      <c r="F178" s="138"/>
      <c r="G178" s="138"/>
      <c r="H178" s="138"/>
      <c r="I178" s="138"/>
      <c r="J178" s="138"/>
      <c r="K178" s="138"/>
      <c r="L178" s="138"/>
      <c r="M178" s="138"/>
      <c r="N178" s="594" t="s">
        <v>2252</v>
      </c>
      <c r="O178" s="1096"/>
      <c r="P178" s="1392"/>
    </row>
    <row r="179" spans="1:18" s="117" customFormat="1" ht="11.45" customHeight="1">
      <c r="A179" s="223" t="s">
        <v>3532</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1995</v>
      </c>
      <c r="M180" s="54"/>
      <c r="N180" s="73"/>
      <c r="O180" s="4"/>
      <c r="P180" s="1176"/>
    </row>
    <row r="181" spans="1:18" s="51" customFormat="1" ht="10.5" customHeight="1">
      <c r="A181" s="2008" t="s">
        <v>3785</v>
      </c>
      <c r="B181" s="2009"/>
      <c r="C181" s="2009"/>
      <c r="D181" s="2009"/>
      <c r="E181" s="2009"/>
      <c r="F181" s="2009"/>
      <c r="G181" s="2009"/>
      <c r="H181" s="2009"/>
      <c r="I181" s="2010"/>
      <c r="J181" s="2013"/>
      <c r="K181" s="2014"/>
      <c r="L181" s="2014"/>
      <c r="M181" s="2014"/>
      <c r="N181" s="2014"/>
      <c r="O181" s="2014"/>
      <c r="P181" s="2015"/>
      <c r="Q181" s="562" t="s">
        <v>1331</v>
      </c>
    </row>
    <row r="182" spans="1:18" ht="4.5" customHeight="1"/>
    <row r="183" spans="1:18" s="51" customFormat="1" ht="15">
      <c r="A183" s="182" t="s">
        <v>1784</v>
      </c>
      <c r="B183" s="131" t="s">
        <v>3328</v>
      </c>
      <c r="D183" s="103"/>
      <c r="E183" s="103"/>
      <c r="F183" s="62"/>
      <c r="G183" s="62"/>
      <c r="H183" s="62"/>
      <c r="I183" s="205" t="s">
        <v>3247</v>
      </c>
      <c r="J183" s="673"/>
      <c r="K183" s="74"/>
      <c r="L183" s="674" t="str">
        <f>'Part I-Project Information'!$H$85</f>
        <v>Flexible</v>
      </c>
      <c r="M183" s="4">
        <v>7</v>
      </c>
      <c r="N183" s="7"/>
      <c r="O183" s="76">
        <f>O190+O207+O209</f>
        <v>0</v>
      </c>
      <c r="P183" s="76">
        <f>P190+P207+P209</f>
        <v>0</v>
      </c>
      <c r="Q183" s="126" t="s">
        <v>463</v>
      </c>
    </row>
    <row r="184" spans="1:18" s="51" customFormat="1" ht="10.5" customHeight="1">
      <c r="A184" s="50"/>
      <c r="B184" s="132" t="s">
        <v>3542</v>
      </c>
      <c r="E184" s="103"/>
      <c r="F184" s="62"/>
      <c r="G184" s="62"/>
      <c r="H184" s="62"/>
      <c r="I184" s="62"/>
      <c r="J184" s="64"/>
      <c r="K184" s="71"/>
      <c r="L184" s="67"/>
      <c r="O184" s="139" t="s">
        <v>2680</v>
      </c>
      <c r="P184" s="139" t="s">
        <v>2680</v>
      </c>
    </row>
    <row r="185" spans="1:18" s="117" customFormat="1" ht="10.5" customHeight="1">
      <c r="B185" s="547" t="s">
        <v>2121</v>
      </c>
      <c r="C185" s="536" t="s">
        <v>3326</v>
      </c>
      <c r="E185" s="103"/>
      <c r="F185" s="62"/>
      <c r="G185" s="62"/>
      <c r="H185" s="62"/>
      <c r="I185" s="62"/>
      <c r="J185" s="64"/>
      <c r="K185" s="71"/>
      <c r="L185" s="67" t="str">
        <f>IF(M185&gt;14,"Over limit!","")</f>
        <v/>
      </c>
      <c r="N185" s="217" t="s">
        <v>2121</v>
      </c>
      <c r="O185" s="1094"/>
      <c r="P185" s="1390"/>
    </row>
    <row r="186" spans="1:18" s="117" customFormat="1" ht="10.5" customHeight="1">
      <c r="B186" s="547" t="s">
        <v>2123</v>
      </c>
      <c r="C186" s="117" t="s">
        <v>601</v>
      </c>
      <c r="N186" s="217" t="s">
        <v>2123</v>
      </c>
      <c r="O186" s="1095"/>
      <c r="P186" s="1391"/>
    </row>
    <row r="187" spans="1:18" s="117" customFormat="1" ht="10.5" customHeight="1">
      <c r="B187" s="547" t="s">
        <v>2706</v>
      </c>
      <c r="C187" s="117" t="s">
        <v>602</v>
      </c>
      <c r="N187" s="217" t="s">
        <v>2706</v>
      </c>
      <c r="O187" s="1095"/>
      <c r="P187" s="1391"/>
    </row>
    <row r="188" spans="1:18" s="117" customFormat="1" ht="10.5" customHeight="1">
      <c r="B188" s="547" t="s">
        <v>1300</v>
      </c>
      <c r="C188" s="117" t="s">
        <v>603</v>
      </c>
      <c r="N188" s="217" t="s">
        <v>1300</v>
      </c>
      <c r="O188" s="1095"/>
      <c r="P188" s="1391"/>
    </row>
    <row r="189" spans="1:18" s="117" customFormat="1" ht="10.5" customHeight="1">
      <c r="B189" s="547" t="s">
        <v>1301</v>
      </c>
      <c r="C189" s="117" t="s">
        <v>611</v>
      </c>
      <c r="N189" s="217" t="s">
        <v>1301</v>
      </c>
      <c r="O189" s="1096"/>
      <c r="P189" s="1392"/>
    </row>
    <row r="190" spans="1:18" s="51" customFormat="1" ht="11.25" customHeight="1">
      <c r="A190" s="165" t="s">
        <v>2117</v>
      </c>
      <c r="B190" s="223" t="s">
        <v>1972</v>
      </c>
      <c r="D190" s="48"/>
      <c r="E190" s="48"/>
      <c r="F190" s="40"/>
      <c r="G190" s="119"/>
      <c r="H190" s="119"/>
      <c r="I190" s="119"/>
      <c r="J190" s="48"/>
      <c r="K190" s="119"/>
      <c r="L190" s="40"/>
      <c r="M190" s="535">
        <v>4</v>
      </c>
      <c r="N190" s="594" t="s">
        <v>2117</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2121</v>
      </c>
      <c r="C191" s="552" t="s">
        <v>2817</v>
      </c>
      <c r="I191" s="2193" t="s">
        <v>2125</v>
      </c>
      <c r="J191" s="2193"/>
      <c r="L191" s="1186" t="s">
        <v>2125</v>
      </c>
      <c r="M191" s="189"/>
      <c r="N191" s="217" t="s">
        <v>2121</v>
      </c>
    </row>
    <row r="192" spans="1:18" s="51" customFormat="1" ht="10.5" customHeight="1">
      <c r="A192" s="218"/>
      <c r="B192" s="128"/>
      <c r="C192" s="453" t="s">
        <v>2598</v>
      </c>
      <c r="D192" s="44" t="s">
        <v>1579</v>
      </c>
      <c r="H192" s="65"/>
      <c r="I192" s="2208"/>
      <c r="J192" s="2209"/>
      <c r="K192" s="220"/>
      <c r="L192" s="1419"/>
      <c r="M192" s="85"/>
      <c r="N192" s="453" t="s">
        <v>2598</v>
      </c>
      <c r="O192" s="1094"/>
      <c r="P192" s="1390"/>
      <c r="R192" s="458"/>
    </row>
    <row r="193" spans="1:18" ht="10.5" customHeight="1">
      <c r="A193" s="219"/>
      <c r="B193" s="94"/>
      <c r="C193" s="473" t="s">
        <v>2599</v>
      </c>
      <c r="D193" s="44" t="s">
        <v>1580</v>
      </c>
      <c r="H193" s="65"/>
      <c r="I193" s="2191"/>
      <c r="J193" s="2192"/>
      <c r="L193" s="1420"/>
      <c r="M193" s="85"/>
      <c r="N193" s="473" t="s">
        <v>2599</v>
      </c>
      <c r="O193" s="1095"/>
      <c r="P193" s="1391"/>
      <c r="R193" s="458"/>
    </row>
    <row r="194" spans="1:18" ht="10.5" customHeight="1">
      <c r="B194" s="547"/>
      <c r="C194" s="453" t="s">
        <v>2600</v>
      </c>
      <c r="D194" s="44" t="s">
        <v>2816</v>
      </c>
      <c r="H194" s="65"/>
      <c r="I194" s="2191"/>
      <c r="J194" s="2192"/>
      <c r="L194" s="1420"/>
      <c r="M194" s="85"/>
      <c r="N194" s="453" t="s">
        <v>2600</v>
      </c>
      <c r="O194" s="1095"/>
      <c r="P194" s="1391"/>
      <c r="R194" s="458"/>
    </row>
    <row r="195" spans="1:18" ht="10.5" customHeight="1">
      <c r="A195" s="219"/>
      <c r="B195" s="547"/>
      <c r="C195" s="453" t="s">
        <v>2601</v>
      </c>
      <c r="D195" s="44" t="s">
        <v>3327</v>
      </c>
      <c r="I195" s="2191"/>
      <c r="J195" s="2192"/>
      <c r="L195" s="1420"/>
      <c r="M195" s="85"/>
      <c r="N195" s="453" t="s">
        <v>2601</v>
      </c>
      <c r="O195" s="1095"/>
      <c r="P195" s="1391"/>
      <c r="R195" s="458"/>
    </row>
    <row r="196" spans="1:18" s="51" customFormat="1" ht="10.5" customHeight="1">
      <c r="A196" s="218"/>
      <c r="B196" s="547"/>
      <c r="C196" s="473" t="s">
        <v>2602</v>
      </c>
      <c r="D196" s="44" t="s">
        <v>1581</v>
      </c>
      <c r="H196" s="65"/>
      <c r="I196" s="2191"/>
      <c r="J196" s="2192"/>
      <c r="K196" s="220"/>
      <c r="L196" s="1420"/>
      <c r="M196" s="85"/>
      <c r="N196" s="473" t="s">
        <v>2602</v>
      </c>
      <c r="O196" s="1095"/>
      <c r="P196" s="1391"/>
      <c r="R196" s="458"/>
    </row>
    <row r="197" spans="1:18" ht="10.5" customHeight="1">
      <c r="B197" s="547"/>
      <c r="C197" s="453" t="s">
        <v>2618</v>
      </c>
      <c r="D197" s="44" t="s">
        <v>1582</v>
      </c>
      <c r="H197" s="65"/>
      <c r="I197" s="2191"/>
      <c r="J197" s="2192"/>
      <c r="L197" s="1420"/>
      <c r="M197" s="85"/>
      <c r="N197" s="453" t="s">
        <v>2618</v>
      </c>
      <c r="O197" s="1095"/>
      <c r="P197" s="1391"/>
      <c r="R197" s="458"/>
    </row>
    <row r="198" spans="1:18" ht="10.5" customHeight="1">
      <c r="A198" s="219"/>
      <c r="B198" s="547"/>
      <c r="C198" s="453" t="s">
        <v>2619</v>
      </c>
      <c r="D198" s="44" t="s">
        <v>1583</v>
      </c>
      <c r="H198" s="65"/>
      <c r="I198" s="2191"/>
      <c r="J198" s="2192"/>
      <c r="L198" s="1420"/>
      <c r="M198" s="85"/>
      <c r="N198" s="453" t="s">
        <v>2619</v>
      </c>
      <c r="O198" s="1095"/>
      <c r="P198" s="1391"/>
      <c r="R198" s="458"/>
    </row>
    <row r="199" spans="1:18" ht="10.5" customHeight="1">
      <c r="B199" s="547"/>
      <c r="C199" s="472" t="s">
        <v>2620</v>
      </c>
      <c r="D199" s="44" t="s">
        <v>2994</v>
      </c>
      <c r="H199" s="65"/>
      <c r="I199" s="2191"/>
      <c r="J199" s="2192"/>
      <c r="L199" s="1420"/>
      <c r="M199" s="85"/>
      <c r="N199" s="472" t="s">
        <v>2620</v>
      </c>
      <c r="O199" s="1095"/>
      <c r="P199" s="1391"/>
      <c r="R199" s="458"/>
    </row>
    <row r="200" spans="1:18" ht="10.5" customHeight="1">
      <c r="A200" s="219"/>
      <c r="B200" s="547"/>
      <c r="C200" s="472" t="s">
        <v>2621</v>
      </c>
      <c r="D200" s="44" t="s">
        <v>3533</v>
      </c>
      <c r="H200" s="65"/>
      <c r="I200" s="2191"/>
      <c r="J200" s="2192"/>
      <c r="L200" s="1420"/>
      <c r="M200" s="85"/>
      <c r="N200" s="472" t="s">
        <v>2621</v>
      </c>
      <c r="O200" s="1095"/>
      <c r="P200" s="1391"/>
      <c r="R200" s="458"/>
    </row>
    <row r="201" spans="1:18" ht="10.5" customHeight="1">
      <c r="A201" s="219"/>
      <c r="B201" s="547"/>
      <c r="C201" s="472" t="s">
        <v>2622</v>
      </c>
      <c r="D201" s="44" t="s">
        <v>3534</v>
      </c>
      <c r="H201" s="65"/>
      <c r="I201" s="2191"/>
      <c r="J201" s="2192"/>
      <c r="L201" s="1420"/>
      <c r="M201" s="85"/>
      <c r="N201" s="472" t="s">
        <v>2622</v>
      </c>
      <c r="O201" s="1095"/>
      <c r="P201" s="1391"/>
      <c r="R201" s="458"/>
    </row>
    <row r="202" spans="1:18" ht="10.5" customHeight="1" thickBot="1">
      <c r="A202" s="219"/>
      <c r="B202" s="547"/>
      <c r="C202" s="719" t="s">
        <v>633</v>
      </c>
      <c r="D202" s="540" t="s">
        <v>3535</v>
      </c>
      <c r="E202" s="541"/>
      <c r="F202" s="541"/>
      <c r="G202" s="541"/>
      <c r="H202" s="718"/>
      <c r="I202" s="2219"/>
      <c r="J202" s="2220"/>
      <c r="K202" s="541"/>
      <c r="L202" s="1421"/>
      <c r="M202" s="85"/>
      <c r="N202" s="472" t="s">
        <v>633</v>
      </c>
      <c r="O202" s="1096"/>
      <c r="P202" s="1392"/>
      <c r="R202" s="458"/>
    </row>
    <row r="203" spans="1:18" ht="10.5" customHeight="1" thickBot="1">
      <c r="A203" s="219"/>
      <c r="B203" s="547"/>
      <c r="D203" s="538" t="s">
        <v>2819</v>
      </c>
      <c r="H203" s="65"/>
      <c r="I203" s="2221">
        <f>SUM(I192:J202)</f>
        <v>0</v>
      </c>
      <c r="J203" s="2222"/>
      <c r="L203" s="1422">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3"/>
      <c r="N204" s="612"/>
      <c r="O204" s="1176"/>
      <c r="P204" s="4"/>
    </row>
    <row r="205" spans="1:18" ht="10.5" customHeight="1">
      <c r="B205" s="452" t="s">
        <v>2123</v>
      </c>
      <c r="C205" s="552" t="s">
        <v>2818</v>
      </c>
      <c r="D205" s="538" t="s">
        <v>2820</v>
      </c>
      <c r="I205" s="2202">
        <f>'Part IV-Uses of Funds'!$G$130</f>
        <v>14532951</v>
      </c>
      <c r="J205" s="2203"/>
      <c r="M205" s="189"/>
      <c r="N205" s="31"/>
      <c r="O205" s="31"/>
      <c r="P205" s="31"/>
    </row>
    <row r="206" spans="1:18" ht="10.5" customHeight="1">
      <c r="B206" s="217"/>
      <c r="C206" s="537"/>
      <c r="D206" s="550" t="s">
        <v>2821</v>
      </c>
      <c r="G206" s="544"/>
      <c r="H206" s="544"/>
      <c r="I206" s="2194">
        <f>IF($I205=0,0,$I203/$I205)</f>
        <v>0</v>
      </c>
      <c r="J206" s="2195"/>
      <c r="L206" s="539">
        <f>IF($I205=0,0,$L203/$I205)</f>
        <v>0</v>
      </c>
      <c r="M206" s="189"/>
      <c r="N206" s="31"/>
      <c r="O206" s="31"/>
      <c r="P206" s="31"/>
    </row>
    <row r="207" spans="1:18" s="51" customFormat="1" ht="12.75" customHeight="1">
      <c r="A207" s="165" t="s">
        <v>2120</v>
      </c>
      <c r="B207" s="223" t="s">
        <v>2908</v>
      </c>
      <c r="D207" s="47"/>
      <c r="E207" s="44"/>
      <c r="F207" s="612"/>
      <c r="H207" s="44"/>
      <c r="I207" s="612"/>
      <c r="J207" s="38"/>
      <c r="K207" s="38"/>
      <c r="L207" s="38"/>
      <c r="M207" s="85">
        <v>1</v>
      </c>
      <c r="N207" s="594" t="s">
        <v>2120</v>
      </c>
      <c r="O207" s="1094"/>
      <c r="P207" s="1408"/>
      <c r="Q207" s="474" t="s">
        <v>2946</v>
      </c>
    </row>
    <row r="208" spans="1:18" s="51" customFormat="1" ht="11.25" customHeight="1">
      <c r="A208" s="165"/>
      <c r="B208" s="62" t="s">
        <v>3329</v>
      </c>
      <c r="C208" s="62"/>
      <c r="D208" s="62"/>
      <c r="E208" s="62"/>
      <c r="F208" s="62"/>
      <c r="G208" s="62"/>
      <c r="H208" s="62"/>
      <c r="I208" s="62"/>
      <c r="J208" s="62"/>
      <c r="K208" s="62"/>
      <c r="L208" s="62"/>
      <c r="M208" s="62"/>
      <c r="N208" s="62"/>
      <c r="O208" s="1096"/>
      <c r="P208" s="1392"/>
    </row>
    <row r="209" spans="1:18" s="51" customFormat="1" ht="12.75" customHeight="1">
      <c r="A209" s="165" t="s">
        <v>798</v>
      </c>
      <c r="B209" s="223" t="s">
        <v>685</v>
      </c>
      <c r="D209" s="47"/>
      <c r="E209" s="44"/>
      <c r="F209" s="612"/>
      <c r="G209" s="612"/>
      <c r="H209" s="612"/>
      <c r="I209" s="612"/>
      <c r="J209" s="38"/>
      <c r="K209" s="38"/>
      <c r="L209" s="38"/>
      <c r="M209" s="535">
        <v>2</v>
      </c>
      <c r="N209" s="594" t="s">
        <v>798</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2889</v>
      </c>
      <c r="E210" s="542"/>
      <c r="I210" s="2217"/>
      <c r="J210" s="2218"/>
      <c r="K210" s="539">
        <f>IF($I210=0,0,$I210/$I205)</f>
        <v>0</v>
      </c>
      <c r="L210" s="1423"/>
      <c r="M210" s="2210">
        <f>IF($L210=0,0,$L210/$I205)</f>
        <v>0</v>
      </c>
      <c r="N210" s="2211"/>
      <c r="O210" s="108"/>
      <c r="P210" s="108"/>
    </row>
    <row r="211" spans="1:18" s="51" customFormat="1" ht="10.5" customHeight="1">
      <c r="A211" s="218"/>
      <c r="B211" s="44" t="s">
        <v>3379</v>
      </c>
      <c r="E211" s="2088"/>
      <c r="F211" s="2089"/>
      <c r="G211" s="2089"/>
      <c r="H211" s="2089"/>
      <c r="I211" s="2089"/>
      <c r="J211" s="2090"/>
      <c r="K211" s="542" t="s">
        <v>1381</v>
      </c>
      <c r="L211" s="2288" t="s">
        <v>3330</v>
      </c>
      <c r="M211" s="2289"/>
      <c r="N211" s="2290"/>
    </row>
    <row r="212" spans="1:18" ht="11.25" customHeight="1">
      <c r="A212" s="219"/>
      <c r="B212" s="476" t="s">
        <v>2508</v>
      </c>
      <c r="D212" s="477"/>
      <c r="E212" s="2212"/>
      <c r="F212" s="2213"/>
      <c r="G212" s="2213"/>
      <c r="H212" s="2213"/>
      <c r="I212" s="2213"/>
      <c r="J212" s="2213"/>
      <c r="K212" s="2213"/>
      <c r="L212" s="2213"/>
      <c r="M212" s="2213"/>
      <c r="N212" s="2213"/>
      <c r="O212" s="2213"/>
      <c r="P212" s="2214"/>
    </row>
    <row r="213" spans="1:18" s="51" customFormat="1" ht="10.5" customHeight="1">
      <c r="A213" s="50"/>
      <c r="B213" s="57" t="s">
        <v>269</v>
      </c>
      <c r="C213" s="50"/>
      <c r="D213" s="56"/>
      <c r="E213" s="56"/>
      <c r="F213" s="56"/>
      <c r="G213" s="56"/>
      <c r="H213" s="44"/>
      <c r="I213" s="44"/>
      <c r="J213" s="44"/>
      <c r="K213" s="44"/>
      <c r="M213" s="54"/>
      <c r="N213" s="73"/>
      <c r="O213" s="4"/>
      <c r="P213" s="1176"/>
    </row>
    <row r="214" spans="1:18" s="51" customFormat="1" ht="10.5" customHeight="1">
      <c r="A214" s="2008" t="s">
        <v>3785</v>
      </c>
      <c r="B214" s="2009"/>
      <c r="C214" s="2009"/>
      <c r="D214" s="2009"/>
      <c r="E214" s="2009"/>
      <c r="F214" s="2009"/>
      <c r="G214" s="2009"/>
      <c r="H214" s="2009"/>
      <c r="I214" s="2009"/>
      <c r="J214" s="2009"/>
      <c r="K214" s="2009"/>
      <c r="L214" s="2009"/>
      <c r="M214" s="2009"/>
      <c r="N214" s="2009"/>
      <c r="O214" s="2009"/>
      <c r="P214" s="2010"/>
      <c r="Q214" s="562" t="s">
        <v>1331</v>
      </c>
    </row>
    <row r="215" spans="1:18" s="119" customFormat="1" ht="10.5" customHeight="1">
      <c r="A215" s="50"/>
      <c r="B215" s="114" t="s">
        <v>1995</v>
      </c>
      <c r="C215" s="115"/>
      <c r="D215" s="114"/>
      <c r="E215" s="225"/>
      <c r="F215" s="1171"/>
      <c r="G215" s="1171"/>
      <c r="H215" s="1171"/>
      <c r="I215" s="1171"/>
      <c r="J215" s="1171"/>
      <c r="K215" s="1171"/>
      <c r="L215" s="1171"/>
      <c r="M215" s="1171"/>
      <c r="N215" s="110"/>
      <c r="O215" s="224"/>
      <c r="P215" s="2"/>
      <c r="Q215" s="529"/>
    </row>
    <row r="216" spans="1:18" s="51" customFormat="1" ht="10.5" customHeight="1">
      <c r="A216" s="2013"/>
      <c r="B216" s="2014"/>
      <c r="C216" s="2014"/>
      <c r="D216" s="2014"/>
      <c r="E216" s="2014"/>
      <c r="F216" s="2014"/>
      <c r="G216" s="2014"/>
      <c r="H216" s="2014"/>
      <c r="I216" s="2014"/>
      <c r="J216" s="2014"/>
      <c r="K216" s="2014"/>
      <c r="L216" s="2014"/>
      <c r="M216" s="2014"/>
      <c r="N216" s="2014"/>
      <c r="O216" s="2014"/>
      <c r="P216" s="2015"/>
      <c r="Q216" s="562" t="s">
        <v>1331</v>
      </c>
    </row>
    <row r="217" spans="1:18" ht="3" customHeight="1"/>
    <row r="218" spans="1:18" s="51" customFormat="1" ht="15">
      <c r="A218" s="182" t="s">
        <v>1786</v>
      </c>
      <c r="B218" s="122" t="s">
        <v>1789</v>
      </c>
      <c r="C218" s="78"/>
      <c r="E218" s="49"/>
      <c r="G218" s="44"/>
      <c r="H218" s="44"/>
      <c r="I218" s="47"/>
      <c r="J218" s="56"/>
      <c r="K218" s="56"/>
      <c r="L218" s="458" t="str">
        <f>IF(OR($O218=$M218,$O218=0,$O218=""),"","* * Check Score! * *")</f>
        <v/>
      </c>
      <c r="M218" s="2">
        <v>3</v>
      </c>
      <c r="N218" s="119"/>
      <c r="O218" s="54"/>
      <c r="P218" s="1413"/>
      <c r="Q218" s="126" t="s">
        <v>463</v>
      </c>
      <c r="R218" s="458"/>
    </row>
    <row r="219" spans="1:18" s="51" customFormat="1" ht="12" customHeight="1">
      <c r="A219" s="165" t="s">
        <v>2117</v>
      </c>
      <c r="B219" s="205" t="s">
        <v>2996</v>
      </c>
      <c r="D219" s="40"/>
      <c r="G219" s="65" t="s">
        <v>2502</v>
      </c>
      <c r="M219" s="85">
        <v>3</v>
      </c>
      <c r="N219" s="594" t="s">
        <v>2117</v>
      </c>
      <c r="O219" s="1094"/>
      <c r="P219" s="1390"/>
      <c r="R219" s="458"/>
    </row>
    <row r="220" spans="1:18" s="51" customFormat="1" ht="23.25" customHeight="1">
      <c r="A220" s="764" t="s">
        <v>1439</v>
      </c>
      <c r="B220" s="2215" t="s">
        <v>3598</v>
      </c>
      <c r="C220" s="2216"/>
      <c r="D220" s="2216"/>
      <c r="E220" s="2216"/>
      <c r="F220" s="2216"/>
      <c r="G220" s="2216"/>
      <c r="H220" s="2216"/>
      <c r="I220" s="2216"/>
      <c r="J220" s="2216"/>
      <c r="K220" s="2216"/>
      <c r="L220" s="2216"/>
      <c r="M220" s="54"/>
      <c r="N220" s="73"/>
      <c r="O220" s="1096"/>
      <c r="P220" s="1392"/>
    </row>
    <row r="221" spans="1:18" s="548" customFormat="1" ht="3" customHeight="1">
      <c r="B221" s="618"/>
      <c r="C221" s="1178"/>
      <c r="D221" s="1178"/>
      <c r="E221" s="1178"/>
      <c r="F221" s="1178"/>
      <c r="G221" s="1178"/>
      <c r="H221" s="1178"/>
      <c r="I221" s="1178"/>
      <c r="J221" s="1178"/>
      <c r="K221" s="1178"/>
      <c r="L221" s="1178"/>
      <c r="M221" s="1178"/>
      <c r="N221" s="1178"/>
      <c r="O221" s="1178"/>
      <c r="P221" s="1178"/>
    </row>
    <row r="222" spans="1:18" s="51" customFormat="1" ht="12" customHeight="1">
      <c r="A222" s="165" t="s">
        <v>2120</v>
      </c>
      <c r="B222" s="205" t="s">
        <v>2995</v>
      </c>
      <c r="D222" s="40"/>
      <c r="E222" s="40"/>
      <c r="F222" s="40"/>
      <c r="G222" s="205" t="s">
        <v>3247</v>
      </c>
      <c r="I222" s="777" t="str">
        <f>'Part I-Project Information'!$H$85</f>
        <v>Flexible</v>
      </c>
      <c r="R222" s="458"/>
    </row>
    <row r="223" spans="1:18" s="51" customFormat="1" ht="12" customHeight="1">
      <c r="A223" s="165"/>
      <c r="B223" s="65" t="s">
        <v>2502</v>
      </c>
      <c r="D223" s="40"/>
      <c r="M223" s="128">
        <v>3</v>
      </c>
      <c r="N223" s="594" t="s">
        <v>2120</v>
      </c>
      <c r="O223" s="1094" t="s">
        <v>1609</v>
      </c>
      <c r="P223" s="1390"/>
      <c r="R223" s="458"/>
    </row>
    <row r="224" spans="1:18" s="51" customFormat="1" ht="23.25" customHeight="1">
      <c r="A224" s="764"/>
      <c r="B224" s="2215" t="s">
        <v>3598</v>
      </c>
      <c r="C224" s="2216"/>
      <c r="D224" s="2216"/>
      <c r="E224" s="2216"/>
      <c r="F224" s="2216"/>
      <c r="G224" s="2216"/>
      <c r="H224" s="2216"/>
      <c r="I224" s="2216"/>
      <c r="J224" s="2216"/>
      <c r="K224" s="2216"/>
      <c r="L224" s="2216"/>
      <c r="M224" s="54"/>
      <c r="N224" s="73"/>
      <c r="O224" s="1096"/>
      <c r="P224" s="1392"/>
    </row>
    <row r="225" spans="1:18" s="51" customFormat="1" ht="10.5" customHeight="1">
      <c r="A225" s="50"/>
      <c r="B225" s="57" t="s">
        <v>269</v>
      </c>
      <c r="C225" s="50"/>
      <c r="D225" s="56"/>
      <c r="E225" s="56"/>
      <c r="F225" s="56"/>
      <c r="G225" s="56"/>
      <c r="H225" s="44"/>
      <c r="I225" s="44"/>
      <c r="J225" s="44"/>
      <c r="K225" s="44"/>
      <c r="M225" s="54"/>
      <c r="N225" s="73"/>
      <c r="O225" s="4"/>
      <c r="P225" s="1176"/>
    </row>
    <row r="226" spans="1:18" s="51" customFormat="1" ht="12.75" customHeight="1">
      <c r="A226" s="2008" t="s">
        <v>3785</v>
      </c>
      <c r="B226" s="2009"/>
      <c r="C226" s="2009"/>
      <c r="D226" s="2009"/>
      <c r="E226" s="2009"/>
      <c r="F226" s="2009"/>
      <c r="G226" s="2009"/>
      <c r="H226" s="2009"/>
      <c r="I226" s="2009"/>
      <c r="J226" s="2009"/>
      <c r="K226" s="2009"/>
      <c r="L226" s="2009"/>
      <c r="M226" s="2009"/>
      <c r="N226" s="2009"/>
      <c r="O226" s="2009"/>
      <c r="P226" s="2010"/>
      <c r="Q226" s="562" t="s">
        <v>1331</v>
      </c>
    </row>
    <row r="227" spans="1:18" s="119" customFormat="1" ht="10.5" customHeight="1">
      <c r="A227" s="50"/>
      <c r="B227" s="114" t="s">
        <v>1995</v>
      </c>
      <c r="C227" s="115"/>
      <c r="D227" s="114"/>
      <c r="E227" s="225"/>
      <c r="F227" s="1171"/>
      <c r="G227" s="1171"/>
      <c r="H227" s="1171"/>
      <c r="I227" s="1171"/>
      <c r="J227" s="1171"/>
      <c r="K227" s="1171"/>
      <c r="L227" s="1171"/>
      <c r="M227" s="1171"/>
      <c r="N227" s="110"/>
      <c r="O227" s="224"/>
      <c r="P227" s="2"/>
      <c r="Q227" s="529"/>
    </row>
    <row r="228" spans="1:18" s="51" customFormat="1" ht="12" customHeight="1">
      <c r="A228" s="2013"/>
      <c r="B228" s="2014"/>
      <c r="C228" s="2014"/>
      <c r="D228" s="2014"/>
      <c r="E228" s="2014"/>
      <c r="F228" s="2014"/>
      <c r="G228" s="2014"/>
      <c r="H228" s="2014"/>
      <c r="I228" s="2014"/>
      <c r="J228" s="2014"/>
      <c r="K228" s="2014"/>
      <c r="L228" s="2014"/>
      <c r="M228" s="2014"/>
      <c r="N228" s="2014"/>
      <c r="O228" s="2014"/>
      <c r="P228" s="2015"/>
      <c r="Q228" s="562" t="s">
        <v>1331</v>
      </c>
    </row>
    <row r="229" spans="1:18" s="51" customFormat="1" ht="9" customHeight="1">
      <c r="A229" s="50"/>
      <c r="B229" s="50"/>
      <c r="C229" s="1177"/>
      <c r="D229" s="1177"/>
      <c r="E229" s="1177"/>
      <c r="F229" s="1177"/>
      <c r="G229" s="1177"/>
      <c r="H229" s="1177"/>
      <c r="I229" s="1177"/>
      <c r="J229" s="1177"/>
      <c r="K229" s="1177"/>
      <c r="L229" s="1177"/>
      <c r="M229" s="1177"/>
      <c r="N229" s="87"/>
      <c r="O229" s="83"/>
      <c r="P229" s="612"/>
    </row>
    <row r="230" spans="1:18" s="51" customFormat="1" ht="15">
      <c r="A230" s="183" t="s">
        <v>1787</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2117</v>
      </c>
      <c r="B231" s="205" t="s">
        <v>3331</v>
      </c>
      <c r="D231" s="40"/>
      <c r="E231" s="40"/>
      <c r="F231" s="40"/>
      <c r="J231" s="557" t="s">
        <v>3543</v>
      </c>
      <c r="K231" s="725">
        <f>'Part VI-Revenues &amp; Expenses'!$I$57/'Part VI-Revenues &amp; Expenses'!$M$58</f>
        <v>0.15748031496062992</v>
      </c>
      <c r="L231" s="620" t="str">
        <f>IF(OR($O231=$M231,$O231=0,$O231=""),"","* * Check Score! * *")</f>
        <v/>
      </c>
      <c r="M231" s="7">
        <v>3</v>
      </c>
      <c r="N231" s="594" t="s">
        <v>2117</v>
      </c>
      <c r="O231" s="1131">
        <v>3</v>
      </c>
      <c r="P231" s="1424"/>
      <c r="Q231" s="474" t="s">
        <v>2946</v>
      </c>
      <c r="R231" s="126"/>
    </row>
    <row r="232" spans="1:18" s="505" customFormat="1" ht="33" customHeight="1">
      <c r="A232" s="170"/>
      <c r="B232" s="618" t="s">
        <v>2121</v>
      </c>
      <c r="C232" s="2004" t="s">
        <v>3332</v>
      </c>
      <c r="D232" s="2004"/>
      <c r="E232" s="2004"/>
      <c r="F232" s="2004"/>
      <c r="G232" s="2004"/>
      <c r="H232" s="2004"/>
      <c r="I232" s="2004"/>
      <c r="J232" s="2004"/>
      <c r="K232" s="2004"/>
      <c r="L232" s="2004"/>
      <c r="M232" s="2004"/>
      <c r="N232" s="475" t="s">
        <v>2121</v>
      </c>
      <c r="O232" s="1112" t="s">
        <v>3756</v>
      </c>
      <c r="P232" s="1410"/>
      <c r="Q232" s="683"/>
      <c r="R232" s="672"/>
    </row>
    <row r="233" spans="1:18" s="548" customFormat="1" ht="34.5" customHeight="1">
      <c r="A233" s="764" t="s">
        <v>1439</v>
      </c>
      <c r="B233" s="618" t="s">
        <v>2123</v>
      </c>
      <c r="C233" s="2004" t="s">
        <v>3333</v>
      </c>
      <c r="D233" s="2004"/>
      <c r="E233" s="2004"/>
      <c r="F233" s="2004"/>
      <c r="G233" s="2004"/>
      <c r="H233" s="2004"/>
      <c r="I233" s="2004"/>
      <c r="J233" s="2004"/>
      <c r="K233" s="2004"/>
      <c r="L233" s="2004"/>
      <c r="M233" s="2004"/>
      <c r="N233" s="475" t="s">
        <v>2123</v>
      </c>
      <c r="O233" s="1096" t="s">
        <v>3698</v>
      </c>
      <c r="P233" s="1392"/>
    </row>
    <row r="234" spans="1:18" s="548" customFormat="1" ht="3" customHeight="1">
      <c r="B234" s="618"/>
      <c r="C234" s="1178"/>
      <c r="D234" s="1178"/>
      <c r="E234" s="1178"/>
      <c r="F234" s="1178"/>
      <c r="G234" s="1178"/>
      <c r="H234" s="1178"/>
      <c r="I234" s="1178"/>
      <c r="J234" s="1178"/>
      <c r="K234" s="1178"/>
      <c r="L234" s="1178"/>
      <c r="M234" s="1178"/>
      <c r="N234" s="1178"/>
      <c r="O234" s="1178"/>
      <c r="P234" s="1178"/>
    </row>
    <row r="235" spans="1:18" s="51" customFormat="1" ht="12" customHeight="1">
      <c r="A235" s="165" t="s">
        <v>2120</v>
      </c>
      <c r="B235" s="205" t="s">
        <v>2970</v>
      </c>
      <c r="D235" s="48"/>
      <c r="F235" s="44" t="s">
        <v>3334</v>
      </c>
      <c r="H235" s="2163" t="s">
        <v>3335</v>
      </c>
      <c r="I235" s="2164"/>
      <c r="J235" s="2164"/>
      <c r="K235" s="2165"/>
      <c r="L235" s="620" t="str">
        <f>IF(OR($O235=$M235,$O235=0,$O235=""),"","* * Check Score! * *")</f>
        <v/>
      </c>
      <c r="M235" s="7">
        <v>3</v>
      </c>
      <c r="N235" s="594" t="s">
        <v>2120</v>
      </c>
      <c r="O235" s="1116"/>
      <c r="P235" s="1425"/>
      <c r="Q235" s="474" t="s">
        <v>2946</v>
      </c>
      <c r="R235" s="458"/>
    </row>
    <row r="236" spans="1:18" s="51" customFormat="1" ht="12" customHeight="1">
      <c r="A236" s="50"/>
      <c r="B236" s="57" t="s">
        <v>269</v>
      </c>
      <c r="C236" s="50"/>
      <c r="D236" s="56"/>
      <c r="E236" s="56"/>
      <c r="F236" s="56"/>
      <c r="G236" s="56"/>
      <c r="H236" s="44"/>
      <c r="I236" s="44"/>
      <c r="J236" s="44"/>
      <c r="K236" s="44"/>
      <c r="M236" s="54"/>
      <c r="N236" s="73"/>
      <c r="O236" s="4"/>
      <c r="P236" s="1176"/>
    </row>
    <row r="237" spans="1:18" s="51" customFormat="1" ht="24" customHeight="1">
      <c r="A237" s="2008" t="s">
        <v>3827</v>
      </c>
      <c r="B237" s="2009"/>
      <c r="C237" s="2009"/>
      <c r="D237" s="2009"/>
      <c r="E237" s="2009"/>
      <c r="F237" s="2009"/>
      <c r="G237" s="2009"/>
      <c r="H237" s="2009"/>
      <c r="I237" s="2009"/>
      <c r="J237" s="2009"/>
      <c r="K237" s="2009"/>
      <c r="L237" s="2009"/>
      <c r="M237" s="2009"/>
      <c r="N237" s="2009"/>
      <c r="O237" s="2009"/>
      <c r="P237" s="2010"/>
      <c r="Q237" s="562" t="s">
        <v>1331</v>
      </c>
    </row>
    <row r="238" spans="1:18" s="51" customFormat="1" ht="12" customHeight="1">
      <c r="B238" s="100" t="s">
        <v>1995</v>
      </c>
      <c r="C238" s="115"/>
      <c r="D238" s="100"/>
      <c r="E238" s="116"/>
      <c r="F238" s="1177"/>
      <c r="G238" s="1177"/>
      <c r="H238" s="1177"/>
      <c r="I238" s="1177"/>
      <c r="J238" s="1177"/>
      <c r="K238" s="1177"/>
      <c r="L238" s="1177"/>
      <c r="M238" s="1177"/>
      <c r="N238" s="87"/>
      <c r="O238" s="83"/>
      <c r="P238" s="2"/>
      <c r="Q238" s="529"/>
    </row>
    <row r="239" spans="1:18" s="51" customFormat="1" ht="12" customHeight="1">
      <c r="A239" s="2013"/>
      <c r="B239" s="2014"/>
      <c r="C239" s="2014"/>
      <c r="D239" s="2014"/>
      <c r="E239" s="2014"/>
      <c r="F239" s="2014"/>
      <c r="G239" s="2014"/>
      <c r="H239" s="2014"/>
      <c r="I239" s="2014"/>
      <c r="J239" s="2014"/>
      <c r="K239" s="2014"/>
      <c r="L239" s="2014"/>
      <c r="M239" s="2014"/>
      <c r="N239" s="2014"/>
      <c r="O239" s="2014"/>
      <c r="P239" s="2015"/>
      <c r="Q239" s="562" t="s">
        <v>1331</v>
      </c>
    </row>
    <row r="240" spans="1:18" s="51" customFormat="1" ht="9" customHeight="1">
      <c r="A240" s="50"/>
      <c r="B240" s="50"/>
      <c r="C240" s="1177"/>
      <c r="D240" s="1177"/>
      <c r="E240" s="1177"/>
      <c r="F240" s="1177"/>
      <c r="G240" s="1177"/>
      <c r="H240" s="1177"/>
      <c r="I240" s="1177"/>
      <c r="J240" s="1177"/>
      <c r="K240" s="1177"/>
      <c r="L240" s="1177"/>
      <c r="M240" s="1177"/>
      <c r="N240" s="87"/>
      <c r="O240" s="83"/>
      <c r="P240" s="612"/>
    </row>
    <row r="241" spans="1:18" s="51" customFormat="1" ht="12" customHeight="1">
      <c r="A241" s="182" t="s">
        <v>1788</v>
      </c>
      <c r="B241" s="122" t="s">
        <v>2971</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2117</v>
      </c>
      <c r="B242" s="476" t="s">
        <v>3336</v>
      </c>
      <c r="D242" s="476"/>
      <c r="E242" s="2294" t="s">
        <v>3585</v>
      </c>
      <c r="F242" s="2295"/>
      <c r="G242" s="2295"/>
      <c r="H242" s="2296"/>
      <c r="J242" s="476" t="s">
        <v>3340</v>
      </c>
      <c r="L242" s="762">
        <f>'Part III-Sources of Funds'!$H$42</f>
        <v>0</v>
      </c>
      <c r="M242" s="506">
        <v>2</v>
      </c>
      <c r="N242" s="192" t="s">
        <v>2117</v>
      </c>
      <c r="O242" s="1116"/>
      <c r="P242" s="1425"/>
      <c r="Q242" s="213" t="s">
        <v>2946</v>
      </c>
    </row>
    <row r="243" spans="1:18" s="505" customFormat="1" ht="12.75" customHeight="1">
      <c r="A243" s="504"/>
      <c r="B243" s="553"/>
      <c r="J243" s="476" t="s">
        <v>3339</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3337</v>
      </c>
      <c r="L244" s="763">
        <f>'Part VI-Revenues &amp; Expenses'!$M$62</f>
        <v>128</v>
      </c>
      <c r="M244" s="506"/>
      <c r="N244" s="506"/>
      <c r="O244" s="506"/>
      <c r="P244" s="506"/>
      <c r="Q244" s="213"/>
    </row>
    <row r="245" spans="1:18" s="505" customFormat="1" ht="12.75" customHeight="1">
      <c r="A245" s="726" t="s">
        <v>1439</v>
      </c>
      <c r="B245" s="553"/>
      <c r="F245" s="546"/>
      <c r="G245" s="60"/>
      <c r="H245" s="685"/>
      <c r="I245" s="760"/>
      <c r="J245" s="761" t="s">
        <v>3338</v>
      </c>
      <c r="L245" s="684">
        <f>L243/L244</f>
        <v>0</v>
      </c>
      <c r="M245" s="506"/>
      <c r="N245" s="506"/>
      <c r="O245" s="506"/>
      <c r="P245" s="506"/>
      <c r="Q245" s="213"/>
    </row>
    <row r="246" spans="1:18" s="505" customFormat="1" ht="22.5" customHeight="1">
      <c r="A246" s="765" t="s">
        <v>2120</v>
      </c>
      <c r="B246" s="2114" t="s">
        <v>3013</v>
      </c>
      <c r="C246" s="2114"/>
      <c r="D246" s="2114"/>
      <c r="E246" s="2114"/>
      <c r="F246" s="2114"/>
      <c r="G246" s="2114"/>
      <c r="H246" s="2114"/>
      <c r="I246" s="2114"/>
      <c r="J246" s="2114"/>
      <c r="K246" s="2114"/>
      <c r="L246" s="2114"/>
      <c r="M246" s="506">
        <v>1</v>
      </c>
      <c r="N246" s="192" t="s">
        <v>2120</v>
      </c>
      <c r="O246" s="1116"/>
      <c r="P246" s="1425"/>
      <c r="Q246" s="213" t="s">
        <v>2946</v>
      </c>
    </row>
    <row r="247" spans="1:18" s="51" customFormat="1" ht="12" customHeight="1">
      <c r="A247" s="50"/>
      <c r="B247" s="57" t="s">
        <v>269</v>
      </c>
      <c r="C247" s="50"/>
      <c r="D247" s="56"/>
      <c r="E247" s="56"/>
      <c r="F247" s="56"/>
      <c r="G247" s="56"/>
      <c r="H247" s="44"/>
      <c r="I247" s="44"/>
      <c r="J247" s="44"/>
      <c r="K247" s="44"/>
      <c r="M247" s="54"/>
      <c r="N247" s="73"/>
      <c r="O247" s="4"/>
      <c r="P247" s="1176"/>
    </row>
    <row r="248" spans="1:18" s="51" customFormat="1" ht="12" customHeight="1">
      <c r="A248" s="2008" t="s">
        <v>3785</v>
      </c>
      <c r="B248" s="2009"/>
      <c r="C248" s="2009"/>
      <c r="D248" s="2009"/>
      <c r="E248" s="2009"/>
      <c r="F248" s="2009"/>
      <c r="G248" s="2009"/>
      <c r="H248" s="2009"/>
      <c r="I248" s="2009"/>
      <c r="J248" s="2009"/>
      <c r="K248" s="2009"/>
      <c r="L248" s="2009"/>
      <c r="M248" s="2009"/>
      <c r="N248" s="2009"/>
      <c r="O248" s="2009"/>
      <c r="P248" s="2010"/>
      <c r="Q248" s="562" t="s">
        <v>1331</v>
      </c>
    </row>
    <row r="249" spans="1:18" s="51" customFormat="1" ht="12" customHeight="1">
      <c r="B249" s="100" t="s">
        <v>1995</v>
      </c>
      <c r="C249" s="115"/>
      <c r="D249" s="100"/>
      <c r="E249" s="116"/>
      <c r="F249" s="1177"/>
      <c r="G249" s="1177"/>
      <c r="H249" s="1177"/>
      <c r="I249" s="1177"/>
      <c r="J249" s="1177"/>
      <c r="K249" s="1177"/>
      <c r="L249" s="1177"/>
      <c r="M249" s="1177"/>
      <c r="N249" s="87"/>
      <c r="O249" s="83"/>
      <c r="P249" s="2"/>
      <c r="Q249" s="529"/>
    </row>
    <row r="250" spans="1:18" s="51" customFormat="1" ht="12" customHeight="1">
      <c r="A250" s="2013"/>
      <c r="B250" s="2014"/>
      <c r="C250" s="2014"/>
      <c r="D250" s="2014"/>
      <c r="E250" s="2014"/>
      <c r="F250" s="2014"/>
      <c r="G250" s="2014"/>
      <c r="H250" s="2014"/>
      <c r="I250" s="2014"/>
      <c r="J250" s="2014"/>
      <c r="K250" s="2014"/>
      <c r="L250" s="2014"/>
      <c r="M250" s="2014"/>
      <c r="N250" s="2014"/>
      <c r="O250" s="2014"/>
      <c r="P250" s="2015"/>
      <c r="Q250" s="562" t="s">
        <v>1331</v>
      </c>
    </row>
    <row r="251" spans="1:18" s="51" customFormat="1" ht="3" customHeight="1">
      <c r="A251" s="50"/>
      <c r="B251" s="50"/>
      <c r="C251" s="1177"/>
      <c r="D251" s="1177"/>
      <c r="E251" s="1177"/>
      <c r="F251" s="1177"/>
      <c r="G251" s="1177"/>
      <c r="H251" s="1177"/>
      <c r="I251" s="1177"/>
      <c r="J251" s="1177"/>
      <c r="K251" s="1177"/>
      <c r="L251" s="1177"/>
      <c r="M251" s="1177"/>
      <c r="N251" s="87"/>
      <c r="O251" s="83"/>
      <c r="P251" s="612"/>
    </row>
    <row r="252" spans="1:18" s="51" customFormat="1" ht="12" customHeight="1">
      <c r="A252" s="183" t="s">
        <v>1790</v>
      </c>
      <c r="B252" s="123" t="s">
        <v>2822</v>
      </c>
      <c r="C252" s="64"/>
      <c r="D252" s="136"/>
      <c r="E252" s="136"/>
      <c r="I252" s="1175" t="s">
        <v>3537</v>
      </c>
      <c r="J252" s="49"/>
      <c r="K252" s="49"/>
      <c r="M252" s="720">
        <v>5</v>
      </c>
      <c r="P252" s="1425"/>
      <c r="Q252" s="126" t="s">
        <v>463</v>
      </c>
    </row>
    <row r="253" spans="1:18" s="51" customFormat="1" ht="12" customHeight="1">
      <c r="A253" s="183"/>
      <c r="D253" s="2166" t="s">
        <v>3377</v>
      </c>
      <c r="E253" s="2166"/>
      <c r="F253" s="2206">
        <f>'Part IV-Uses of Funds'!J171</f>
        <v>1000000</v>
      </c>
      <c r="G253" s="1797"/>
      <c r="M253" s="720"/>
      <c r="Q253" s="126"/>
    </row>
    <row r="254" spans="1:18" s="51" customFormat="1" ht="12" customHeight="1">
      <c r="A254" s="183"/>
      <c r="H254" s="49"/>
      <c r="I254" s="1175" t="s">
        <v>3536</v>
      </c>
      <c r="J254" s="49"/>
      <c r="K254" s="49"/>
      <c r="M254" s="85">
        <v>18</v>
      </c>
      <c r="N254" s="7"/>
      <c r="O254" s="754">
        <f>MIN($M254,(O255+O258+O261+O263+O266+O269))</f>
        <v>11</v>
      </c>
      <c r="P254" s="754">
        <f>MIN($M254,(P255+P258+P261+P263+P266+P269))</f>
        <v>0</v>
      </c>
      <c r="Q254" s="126"/>
    </row>
    <row r="255" spans="1:18" s="51" customFormat="1" ht="12" customHeight="1">
      <c r="A255" s="756"/>
      <c r="B255" s="691" t="s">
        <v>2117</v>
      </c>
      <c r="C255" s="2199" t="s">
        <v>3341</v>
      </c>
      <c r="D255" s="2199"/>
      <c r="E255" s="2199"/>
      <c r="F255" s="2199"/>
      <c r="G255" s="2199"/>
      <c r="H255" s="2199"/>
      <c r="I255" s="2199"/>
      <c r="J255" s="2199"/>
      <c r="K255" s="2199"/>
      <c r="L255" s="2199"/>
      <c r="M255" s="689">
        <v>6</v>
      </c>
      <c r="N255" s="759"/>
      <c r="O255" s="2167">
        <v>5</v>
      </c>
      <c r="P255" s="2204"/>
      <c r="Q255" s="213"/>
    </row>
    <row r="256" spans="1:18" s="505" customFormat="1" ht="36" customHeight="1">
      <c r="A256" s="726" t="s">
        <v>1439</v>
      </c>
      <c r="B256" s="170" t="s">
        <v>2120</v>
      </c>
      <c r="C256" s="2042" t="s">
        <v>3593</v>
      </c>
      <c r="D256" s="2042"/>
      <c r="E256" s="2042"/>
      <c r="F256" s="2042"/>
      <c r="G256" s="2042"/>
      <c r="H256" s="2042"/>
      <c r="I256" s="2042"/>
      <c r="J256" s="2042"/>
      <c r="K256" s="2042"/>
      <c r="L256" s="2042"/>
      <c r="M256" s="671">
        <v>5</v>
      </c>
      <c r="N256" s="687"/>
      <c r="O256" s="2168"/>
      <c r="P256" s="2205"/>
      <c r="Q256" s="213" t="s">
        <v>2946</v>
      </c>
    </row>
    <row r="257" spans="1:17" s="51" customFormat="1" ht="9" customHeight="1">
      <c r="A257" s="50"/>
      <c r="B257" s="50"/>
      <c r="C257" s="1177"/>
      <c r="D257" s="1177"/>
      <c r="E257" s="1177"/>
      <c r="F257" s="1177"/>
      <c r="G257" s="1177"/>
      <c r="H257" s="1177"/>
      <c r="I257" s="1177"/>
      <c r="J257" s="1177"/>
      <c r="K257" s="1177"/>
      <c r="L257" s="1177"/>
      <c r="M257" s="1177"/>
      <c r="N257" s="87"/>
      <c r="O257" s="83"/>
      <c r="P257" s="612"/>
    </row>
    <row r="258" spans="1:17" s="505" customFormat="1" ht="60" customHeight="1">
      <c r="A258" s="755"/>
      <c r="B258" s="688" t="s">
        <v>798</v>
      </c>
      <c r="C258" s="2200" t="s">
        <v>3343</v>
      </c>
      <c r="D258" s="2200"/>
      <c r="E258" s="2200"/>
      <c r="F258" s="2200"/>
      <c r="G258" s="2200"/>
      <c r="H258" s="2200"/>
      <c r="I258" s="2200"/>
      <c r="J258" s="2200"/>
      <c r="K258" s="2200"/>
      <c r="L258" s="2200"/>
      <c r="M258" s="689">
        <v>4</v>
      </c>
      <c r="N258" s="690"/>
      <c r="O258" s="2167"/>
      <c r="P258" s="2204"/>
      <c r="Q258" s="213" t="s">
        <v>2946</v>
      </c>
    </row>
    <row r="259" spans="1:17" s="505" customFormat="1" ht="34.5" customHeight="1">
      <c r="A259" s="726" t="s">
        <v>1439</v>
      </c>
      <c r="B259" s="750"/>
      <c r="C259" s="2042" t="s">
        <v>3342</v>
      </c>
      <c r="D259" s="2042"/>
      <c r="E259" s="2042"/>
      <c r="F259" s="2042"/>
      <c r="G259" s="2042"/>
      <c r="H259" s="2042"/>
      <c r="I259" s="2042"/>
      <c r="J259" s="2042"/>
      <c r="K259" s="2042"/>
      <c r="L259" s="2042"/>
      <c r="M259" s="751">
        <v>2</v>
      </c>
      <c r="N259" s="752"/>
      <c r="O259" s="2168"/>
      <c r="P259" s="2205"/>
      <c r="Q259" s="117"/>
    </row>
    <row r="260" spans="1:17" s="51" customFormat="1" ht="9" customHeight="1">
      <c r="A260" s="58"/>
      <c r="B260" s="58"/>
      <c r="C260" s="1177"/>
      <c r="D260" s="1177"/>
      <c r="E260" s="1177"/>
      <c r="F260" s="1177"/>
      <c r="G260" s="1177"/>
      <c r="H260" s="1177"/>
      <c r="I260" s="1177"/>
      <c r="J260" s="1177"/>
      <c r="K260" s="1177"/>
      <c r="L260" s="1177"/>
      <c r="M260" s="1177"/>
      <c r="N260" s="87"/>
      <c r="O260" s="83"/>
      <c r="P260" s="612"/>
    </row>
    <row r="261" spans="1:17" s="505" customFormat="1" ht="23.25" customHeight="1">
      <c r="A261" s="755"/>
      <c r="B261" s="688" t="s">
        <v>2252</v>
      </c>
      <c r="C261" s="2200" t="s">
        <v>3344</v>
      </c>
      <c r="D261" s="2200"/>
      <c r="E261" s="2200"/>
      <c r="F261" s="2200"/>
      <c r="G261" s="2200"/>
      <c r="H261" s="2200"/>
      <c r="I261" s="2200"/>
      <c r="J261" s="2200"/>
      <c r="K261" s="2200"/>
      <c r="L261" s="2200"/>
      <c r="M261" s="689">
        <v>1</v>
      </c>
      <c r="N261" s="757"/>
      <c r="O261" s="1132">
        <v>1</v>
      </c>
      <c r="P261" s="1426"/>
      <c r="Q261" s="213" t="s">
        <v>2946</v>
      </c>
    </row>
    <row r="262" spans="1:17" s="51" customFormat="1" ht="9" customHeight="1">
      <c r="A262" s="50"/>
      <c r="B262" s="50"/>
      <c r="C262" s="1177"/>
      <c r="D262" s="1177"/>
      <c r="E262" s="1177"/>
      <c r="F262" s="1177"/>
      <c r="G262" s="1177"/>
      <c r="H262" s="1177"/>
      <c r="I262" s="1177"/>
      <c r="J262" s="1177"/>
      <c r="K262" s="1177"/>
      <c r="L262" s="1177"/>
      <c r="M262" s="1177"/>
      <c r="N262" s="87"/>
      <c r="O262" s="83"/>
      <c r="P262" s="612"/>
    </row>
    <row r="263" spans="1:17" s="51" customFormat="1" ht="21.75" customHeight="1">
      <c r="A263" s="756"/>
      <c r="B263" s="688" t="s">
        <v>1856</v>
      </c>
      <c r="C263" s="2200" t="s">
        <v>3347</v>
      </c>
      <c r="D263" s="2200"/>
      <c r="E263" s="2200"/>
      <c r="F263" s="2200"/>
      <c r="G263" s="2200"/>
      <c r="H263" s="2200"/>
      <c r="I263" s="2200"/>
      <c r="J263" s="2200"/>
      <c r="K263" s="2200"/>
      <c r="L263" s="2200"/>
      <c r="M263" s="689">
        <v>2</v>
      </c>
      <c r="N263" s="692"/>
      <c r="O263" s="2167">
        <v>2</v>
      </c>
      <c r="P263" s="2204"/>
      <c r="Q263" s="213" t="s">
        <v>2946</v>
      </c>
    </row>
    <row r="264" spans="1:17" s="51" customFormat="1" ht="12" customHeight="1">
      <c r="A264" s="726" t="s">
        <v>1439</v>
      </c>
      <c r="B264" s="222"/>
      <c r="C264" s="2201" t="s">
        <v>3345</v>
      </c>
      <c r="D264" s="2201"/>
      <c r="E264" s="2201"/>
      <c r="F264" s="2201"/>
      <c r="G264" s="2201"/>
      <c r="H264" s="2201"/>
      <c r="I264" s="2201"/>
      <c r="J264" s="2201"/>
      <c r="K264" s="2201"/>
      <c r="L264" s="2201"/>
      <c r="M264" s="753">
        <v>1</v>
      </c>
      <c r="N264" s="136"/>
      <c r="O264" s="2168"/>
      <c r="P264" s="2205"/>
      <c r="Q264" s="117"/>
    </row>
    <row r="265" spans="1:17" s="51" customFormat="1" ht="9" customHeight="1">
      <c r="A265" s="58"/>
      <c r="B265" s="58"/>
      <c r="C265" s="1177"/>
      <c r="D265" s="1177"/>
      <c r="E265" s="1177"/>
      <c r="F265" s="1177"/>
      <c r="G265" s="1177"/>
      <c r="H265" s="1177"/>
      <c r="I265" s="1177"/>
      <c r="J265" s="1177"/>
      <c r="K265" s="1177"/>
      <c r="L265" s="1177"/>
      <c r="M265" s="1177"/>
      <c r="N265" s="87"/>
      <c r="O265" s="83"/>
      <c r="P265" s="612"/>
    </row>
    <row r="266" spans="1:17" s="505" customFormat="1" ht="32.25" customHeight="1">
      <c r="A266" s="755"/>
      <c r="B266" s="688" t="s">
        <v>1857</v>
      </c>
      <c r="C266" s="2200" t="s">
        <v>3346</v>
      </c>
      <c r="D266" s="2200"/>
      <c r="E266" s="2200"/>
      <c r="F266" s="2200"/>
      <c r="G266" s="2200"/>
      <c r="H266" s="2200"/>
      <c r="I266" s="2200"/>
      <c r="J266" s="2200"/>
      <c r="K266" s="2200"/>
      <c r="L266" s="2200"/>
      <c r="M266" s="689">
        <v>3</v>
      </c>
      <c r="N266" s="757"/>
      <c r="O266" s="2167">
        <v>1</v>
      </c>
      <c r="P266" s="2204"/>
      <c r="Q266" s="213" t="s">
        <v>2946</v>
      </c>
    </row>
    <row r="267" spans="1:17" s="505" customFormat="1" ht="12.75" customHeight="1">
      <c r="A267" s="726" t="s">
        <v>1439</v>
      </c>
      <c r="B267" s="750"/>
      <c r="C267" s="2042" t="s">
        <v>3348</v>
      </c>
      <c r="D267" s="2042"/>
      <c r="E267" s="2042"/>
      <c r="F267" s="2042"/>
      <c r="G267" s="2042"/>
      <c r="H267" s="2042"/>
      <c r="I267" s="2042"/>
      <c r="J267" s="2042"/>
      <c r="K267" s="2042"/>
      <c r="L267" s="2042"/>
      <c r="M267" s="751">
        <v>1</v>
      </c>
      <c r="N267" s="752"/>
      <c r="O267" s="2168"/>
      <c r="P267" s="2205"/>
      <c r="Q267" s="213"/>
    </row>
    <row r="268" spans="1:17" s="51" customFormat="1" ht="9" customHeight="1">
      <c r="A268" s="58"/>
      <c r="B268" s="58"/>
      <c r="C268" s="1177"/>
      <c r="D268" s="1177"/>
      <c r="E268" s="1177"/>
      <c r="F268" s="1177"/>
      <c r="G268" s="1177"/>
      <c r="H268" s="1177"/>
      <c r="I268" s="1177"/>
      <c r="J268" s="1177"/>
      <c r="K268" s="1177"/>
      <c r="L268" s="1177"/>
      <c r="M268" s="1177"/>
      <c r="N268" s="87"/>
      <c r="O268" s="83"/>
      <c r="P268" s="612"/>
    </row>
    <row r="269" spans="1:17" s="51" customFormat="1" ht="12" customHeight="1">
      <c r="A269" s="756"/>
      <c r="B269" s="691" t="s">
        <v>2080</v>
      </c>
      <c r="C269" s="2199" t="s">
        <v>3349</v>
      </c>
      <c r="D269" s="2199"/>
      <c r="E269" s="2199"/>
      <c r="F269" s="2199"/>
      <c r="G269" s="2199"/>
      <c r="H269" s="2199"/>
      <c r="I269" s="2199"/>
      <c r="J269" s="2199"/>
      <c r="K269" s="2199"/>
      <c r="L269" s="2199"/>
      <c r="M269" s="758">
        <v>2</v>
      </c>
      <c r="N269" s="759"/>
      <c r="O269" s="1132">
        <v>2</v>
      </c>
      <c r="P269" s="1426"/>
      <c r="Q269" s="213" t="s">
        <v>2946</v>
      </c>
    </row>
    <row r="270" spans="1:17" s="51" customFormat="1" ht="9" customHeight="1">
      <c r="A270" s="58"/>
      <c r="B270" s="50"/>
      <c r="C270" s="1177"/>
      <c r="D270" s="1177"/>
      <c r="E270" s="1177"/>
      <c r="F270" s="1177"/>
      <c r="G270" s="1177"/>
      <c r="H270" s="1177"/>
      <c r="I270" s="1177"/>
      <c r="J270" s="1177"/>
      <c r="K270" s="1177"/>
      <c r="L270" s="1177"/>
      <c r="M270" s="1177"/>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6"/>
    </row>
    <row r="272" spans="1:17" s="51" customFormat="1" ht="41.25" customHeight="1">
      <c r="A272" s="2008" t="s">
        <v>3828</v>
      </c>
      <c r="B272" s="2009"/>
      <c r="C272" s="2009"/>
      <c r="D272" s="2009"/>
      <c r="E272" s="2009"/>
      <c r="F272" s="2009"/>
      <c r="G272" s="2009"/>
      <c r="H272" s="2009"/>
      <c r="I272" s="2009"/>
      <c r="J272" s="2009"/>
      <c r="K272" s="2009"/>
      <c r="L272" s="2009"/>
      <c r="M272" s="2009"/>
      <c r="N272" s="2009"/>
      <c r="O272" s="2009"/>
      <c r="P272" s="2010"/>
      <c r="Q272" s="562" t="s">
        <v>1331</v>
      </c>
    </row>
    <row r="273" spans="1:19" s="51" customFormat="1" ht="11.25" customHeight="1">
      <c r="A273" s="50"/>
      <c r="B273" s="100" t="s">
        <v>1995</v>
      </c>
      <c r="C273" s="115"/>
      <c r="D273" s="100"/>
      <c r="E273" s="116"/>
      <c r="F273" s="1177"/>
      <c r="G273" s="1177"/>
      <c r="H273" s="1177"/>
      <c r="I273" s="1177"/>
      <c r="J273" s="1177"/>
      <c r="K273" s="1177"/>
      <c r="L273" s="1177"/>
      <c r="M273" s="1177"/>
      <c r="N273" s="87"/>
      <c r="O273" s="83"/>
      <c r="P273" s="2"/>
      <c r="Q273" s="529"/>
    </row>
    <row r="274" spans="1:19" s="51" customFormat="1" ht="39.75" customHeight="1">
      <c r="A274" s="2013"/>
      <c r="B274" s="2014"/>
      <c r="C274" s="2014"/>
      <c r="D274" s="2014"/>
      <c r="E274" s="2014"/>
      <c r="F274" s="2014"/>
      <c r="G274" s="2014"/>
      <c r="H274" s="2014"/>
      <c r="I274" s="2014"/>
      <c r="J274" s="2014"/>
      <c r="K274" s="2014"/>
      <c r="L274" s="2014"/>
      <c r="M274" s="2014"/>
      <c r="N274" s="2014"/>
      <c r="O274" s="2014"/>
      <c r="P274" s="2015"/>
      <c r="Q274" s="562" t="s">
        <v>1331</v>
      </c>
    </row>
    <row r="275" spans="1:19" s="51" customFormat="1" ht="3.75" customHeight="1">
      <c r="A275" s="50"/>
      <c r="C275" s="1177"/>
      <c r="D275" s="1177"/>
      <c r="E275" s="1177"/>
      <c r="F275" s="1177"/>
      <c r="G275" s="1177"/>
      <c r="H275" s="1177"/>
      <c r="I275" s="1177"/>
      <c r="J275" s="1177"/>
      <c r="K275" s="1177"/>
      <c r="L275" s="1177"/>
      <c r="M275" s="1177"/>
      <c r="N275" s="87"/>
      <c r="O275" s="83"/>
      <c r="P275" s="612"/>
    </row>
    <row r="276" spans="1:19" s="51" customFormat="1" ht="12" customHeight="1">
      <c r="A276" s="183" t="s">
        <v>3350</v>
      </c>
      <c r="B276" s="123" t="s">
        <v>3351</v>
      </c>
      <c r="C276" s="64"/>
      <c r="D276" s="136"/>
      <c r="E276" s="136"/>
      <c r="F276" s="49"/>
      <c r="G276" s="49"/>
      <c r="H276" s="49"/>
      <c r="I276" s="49"/>
      <c r="J276" s="49"/>
      <c r="K276" s="49"/>
      <c r="L276" s="49"/>
      <c r="M276" s="8">
        <v>1</v>
      </c>
      <c r="N276" s="217"/>
      <c r="O276" s="1117"/>
      <c r="P276" s="1413"/>
      <c r="Q276" s="126" t="s">
        <v>463</v>
      </c>
      <c r="R276" s="213" t="s">
        <v>2946</v>
      </c>
    </row>
    <row r="277" spans="1:19" s="51" customFormat="1" ht="12" customHeight="1">
      <c r="B277" s="2169" t="s">
        <v>3596</v>
      </c>
      <c r="C277" s="2169"/>
      <c r="D277" s="2169"/>
      <c r="E277" s="2169"/>
      <c r="F277" s="2169"/>
      <c r="G277" s="2169"/>
      <c r="H277" s="2169"/>
      <c r="I277" s="2169"/>
      <c r="J277" s="2169"/>
      <c r="K277" s="2169"/>
      <c r="L277" s="2169"/>
      <c r="M277" s="2169"/>
      <c r="N277" s="2169"/>
      <c r="O277" s="1080"/>
      <c r="P277" s="1384"/>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84"/>
      <c r="D279" s="1184"/>
      <c r="E279" s="1184"/>
      <c r="F279" s="458"/>
      <c r="H279" s="1184"/>
      <c r="I279" s="1184"/>
      <c r="J279" s="1184"/>
      <c r="K279" s="1184"/>
      <c r="L279" s="1184"/>
      <c r="M279" s="1184"/>
    </row>
    <row r="280" spans="1:19" s="51" customFormat="1" ht="12" customHeight="1">
      <c r="A280" s="165"/>
      <c r="B280" s="538" t="s">
        <v>3362</v>
      </c>
      <c r="C280" s="778"/>
      <c r="D280" s="2196"/>
      <c r="E280" s="2197"/>
      <c r="F280" s="2197"/>
      <c r="G280" s="2198"/>
      <c r="H280" s="1179" t="s">
        <v>3364</v>
      </c>
      <c r="I280" s="1133"/>
      <c r="J280" s="1185" t="s">
        <v>3363</v>
      </c>
      <c r="K280" s="2196"/>
      <c r="L280" s="2197"/>
      <c r="M280" s="2197"/>
      <c r="N280" s="2197"/>
      <c r="O280" s="2198"/>
      <c r="P280" s="767"/>
    </row>
    <row r="281" spans="1:19" s="51" customFormat="1" ht="3" customHeight="1">
      <c r="A281" s="165"/>
      <c r="C281" s="1184"/>
      <c r="D281" s="1184"/>
      <c r="E281" s="1184"/>
      <c r="F281" s="458"/>
      <c r="H281" s="1184"/>
      <c r="I281" s="1184"/>
      <c r="J281" s="1184"/>
      <c r="K281" s="1184"/>
      <c r="L281" s="1184"/>
      <c r="N281" s="767"/>
      <c r="O281" s="767"/>
      <c r="P281" s="767"/>
    </row>
    <row r="282" spans="1:19" s="44" customFormat="1" ht="10.5" customHeight="1">
      <c r="A282" s="55"/>
      <c r="B282" s="2179" t="s">
        <v>3402</v>
      </c>
      <c r="C282" s="2179"/>
      <c r="D282" s="2180"/>
      <c r="E282" s="2177" t="s">
        <v>3361</v>
      </c>
      <c r="F282" s="2178"/>
      <c r="I282" s="2280" t="s">
        <v>3398</v>
      </c>
      <c r="J282" s="2281"/>
      <c r="M282" s="2181" t="s">
        <v>3403</v>
      </c>
      <c r="N282" s="2181"/>
      <c r="O282" s="2181"/>
      <c r="P282" s="2181"/>
      <c r="R282" s="119"/>
      <c r="S282" s="119"/>
    </row>
    <row r="283" spans="1:19" s="44" customFormat="1" ht="10.5" customHeight="1">
      <c r="A283" s="55"/>
      <c r="B283" s="540" t="s">
        <v>3400</v>
      </c>
      <c r="C283" s="361"/>
      <c r="D283" s="361"/>
      <c r="E283" s="770" t="s">
        <v>3356</v>
      </c>
      <c r="F283" s="771" t="s">
        <v>3357</v>
      </c>
      <c r="G283" s="1192" t="s">
        <v>3399</v>
      </c>
      <c r="I283" s="770" t="s">
        <v>3356</v>
      </c>
      <c r="J283" s="771" t="s">
        <v>3357</v>
      </c>
      <c r="K283" s="1192" t="s">
        <v>3399</v>
      </c>
      <c r="M283" s="2279" t="s">
        <v>3400</v>
      </c>
      <c r="N283" s="2279"/>
      <c r="O283" s="44" t="s">
        <v>3401</v>
      </c>
      <c r="P283" s="776" t="s">
        <v>3404</v>
      </c>
      <c r="R283" s="1192"/>
      <c r="S283" s="119"/>
    </row>
    <row r="284" spans="1:19" s="65" customFormat="1" ht="10.5" customHeight="1">
      <c r="A284" s="55"/>
      <c r="B284" s="533" t="s">
        <v>3352</v>
      </c>
      <c r="E284" s="1134"/>
      <c r="F284" s="1135"/>
      <c r="G284" s="711">
        <f>E284+F284</f>
        <v>0</v>
      </c>
      <c r="I284" s="1134"/>
      <c r="J284" s="1135"/>
      <c r="K284" s="711">
        <f>I284+J284</f>
        <v>0</v>
      </c>
      <c r="M284" s="2170" t="str">
        <f>IF(AND(G284=0,K284=0),"n/a",IF(G284&gt;K284,"Yes", "No"))</f>
        <v>n/a</v>
      </c>
      <c r="N284" s="2182"/>
      <c r="O284" s="2183" t="str">
        <f>IF(AND(M284="n/a",M285="n/a",M286="n/a",M287="n/a",M288="n/a"),"n/a",IF(AND(M284="Yes",M285="Yes",M286="Yes",M287="Yes",M288="Yes"),"Yes",IF(OR(M284="No",M285="No",M286="No",M287="No",M288="No"), "No", "No")))</f>
        <v>n/a</v>
      </c>
      <c r="R284" s="51"/>
      <c r="S284" s="51"/>
    </row>
    <row r="285" spans="1:19" s="65" customFormat="1" ht="10.5" customHeight="1">
      <c r="A285" s="55"/>
      <c r="B285" s="533" t="s">
        <v>3358</v>
      </c>
      <c r="E285" s="1136"/>
      <c r="F285" s="1137"/>
      <c r="G285" s="712">
        <f>E285+F285</f>
        <v>0</v>
      </c>
      <c r="I285" s="1136"/>
      <c r="J285" s="1137"/>
      <c r="K285" s="712">
        <f>I285+J285</f>
        <v>0</v>
      </c>
      <c r="M285" s="2173" t="str">
        <f>IF(AND(G285=0,K285=0),"n/a",IF(G285&gt;K285,"Yes", "No"))</f>
        <v>n/a</v>
      </c>
      <c r="N285" s="2186"/>
      <c r="O285" s="2184"/>
      <c r="R285" s="51"/>
      <c r="S285" s="51"/>
    </row>
    <row r="286" spans="1:19" s="65" customFormat="1" ht="10.5" customHeight="1">
      <c r="A286" s="55"/>
      <c r="B286" s="533" t="s">
        <v>3353</v>
      </c>
      <c r="E286" s="1138"/>
      <c r="F286" s="1139"/>
      <c r="G286" s="712">
        <f>E286+F286</f>
        <v>0</v>
      </c>
      <c r="I286" s="1138"/>
      <c r="J286" s="1139"/>
      <c r="K286" s="712">
        <f>I286+J286</f>
        <v>0</v>
      </c>
      <c r="M286" s="2173" t="str">
        <f>IF(AND(G286=0,K286=0),"n/a",IF(G286&gt;K286,"Yes", "No"))</f>
        <v>n/a</v>
      </c>
      <c r="N286" s="2186"/>
      <c r="O286" s="2184"/>
      <c r="R286" s="51"/>
      <c r="S286" s="51"/>
    </row>
    <row r="287" spans="1:19" s="65" customFormat="1" ht="10.5" customHeight="1">
      <c r="A287" s="55"/>
      <c r="B287" s="533" t="s">
        <v>3354</v>
      </c>
      <c r="E287" s="1138"/>
      <c r="F287" s="1139"/>
      <c r="G287" s="712">
        <f>E287+F287</f>
        <v>0</v>
      </c>
      <c r="I287" s="1138"/>
      <c r="J287" s="1139"/>
      <c r="K287" s="712">
        <f>I287+J287</f>
        <v>0</v>
      </c>
      <c r="M287" s="2173" t="str">
        <f>IF(AND(G287=0,K287=0),"n/a",IF(G287&gt;K287,"Yes", "No"))</f>
        <v>n/a</v>
      </c>
      <c r="N287" s="2186"/>
      <c r="O287" s="2184"/>
    </row>
    <row r="288" spans="1:19" s="65" customFormat="1" ht="10.5" customHeight="1">
      <c r="A288" s="55"/>
      <c r="B288" s="533" t="s">
        <v>3355</v>
      </c>
      <c r="E288" s="1140"/>
      <c r="F288" s="1141"/>
      <c r="G288" s="713">
        <f>E288+F288</f>
        <v>0</v>
      </c>
      <c r="I288" s="1140"/>
      <c r="J288" s="1141"/>
      <c r="K288" s="713">
        <f>I288+J288</f>
        <v>0</v>
      </c>
      <c r="M288" s="2175" t="str">
        <f>IF(AND(G288=0,K288=0),"n/a",IF(G288&gt;K288,"Yes", "No"))</f>
        <v>n/a</v>
      </c>
      <c r="N288" s="2187"/>
      <c r="O288" s="2185"/>
    </row>
    <row r="289" spans="1:19" s="65" customFormat="1" ht="3" customHeight="1">
      <c r="A289" s="55"/>
      <c r="B289" s="617"/>
      <c r="C289" s="1184"/>
      <c r="D289" s="1184"/>
      <c r="E289" s="774"/>
      <c r="F289" s="774"/>
      <c r="I289" s="774"/>
      <c r="J289" s="774"/>
      <c r="R289" s="51"/>
      <c r="S289" s="51"/>
    </row>
    <row r="290" spans="1:19" s="65" customFormat="1" ht="10.5" customHeight="1">
      <c r="A290" s="55"/>
      <c r="B290" s="1189" t="s">
        <v>3352</v>
      </c>
      <c r="C290" s="510"/>
      <c r="D290" s="510"/>
      <c r="E290" s="1427"/>
      <c r="F290" s="1428"/>
      <c r="G290" s="711">
        <f>E290+F290</f>
        <v>0</v>
      </c>
      <c r="I290" s="1427"/>
      <c r="J290" s="1428"/>
      <c r="K290" s="711">
        <f>I290+J290</f>
        <v>0</v>
      </c>
      <c r="M290" s="2170" t="str">
        <f>IF(AND(G290=0,K290=0),"n/a",IF(G290&gt;K290,"Yes", "No"))</f>
        <v>n/a</v>
      </c>
      <c r="N290" s="2182"/>
      <c r="O290" s="2183" t="str">
        <f>IF(AND(M290="n/a",M291="n/a",M292="n/a",M293="n/a",M294="n/a"),"n/a",IF(AND(M290="Yes",M291="Yes",M292="Yes",M293="Yes",M294="Yes"),"Yes",IF(OR(M290="No",M291="No",M292="No",M293="No",M294="No"), "No", "No")))</f>
        <v>n/a</v>
      </c>
      <c r="R290" s="51"/>
      <c r="S290" s="51"/>
    </row>
    <row r="291" spans="1:19" s="65" customFormat="1" ht="10.5" customHeight="1">
      <c r="A291" s="55"/>
      <c r="B291" s="1189" t="s">
        <v>3358</v>
      </c>
      <c r="C291" s="510"/>
      <c r="D291" s="510"/>
      <c r="E291" s="1429"/>
      <c r="F291" s="1430"/>
      <c r="G291" s="712">
        <f>E291+F291</f>
        <v>0</v>
      </c>
      <c r="I291" s="1429"/>
      <c r="J291" s="1430"/>
      <c r="K291" s="712">
        <f>I291+J291</f>
        <v>0</v>
      </c>
      <c r="M291" s="2173" t="str">
        <f>IF(AND(G291=0,K291=0),"n/a",IF(G291&gt;K291,"Yes", "No"))</f>
        <v>n/a</v>
      </c>
      <c r="N291" s="2186"/>
      <c r="O291" s="2184"/>
      <c r="R291" s="51"/>
      <c r="S291" s="51"/>
    </row>
    <row r="292" spans="1:19" s="65" customFormat="1" ht="10.5" customHeight="1">
      <c r="A292" s="55"/>
      <c r="B292" s="1189" t="s">
        <v>3353</v>
      </c>
      <c r="C292" s="510"/>
      <c r="D292" s="510"/>
      <c r="E292" s="1431"/>
      <c r="F292" s="1432"/>
      <c r="G292" s="712">
        <f>E292+F292</f>
        <v>0</v>
      </c>
      <c r="I292" s="1431"/>
      <c r="J292" s="1432"/>
      <c r="K292" s="712">
        <f>I292+J292</f>
        <v>0</v>
      </c>
      <c r="M292" s="2173" t="str">
        <f>IF(AND(G292=0,K292=0),"n/a",IF(G292&gt;K292,"Yes", "No"))</f>
        <v>n/a</v>
      </c>
      <c r="N292" s="2186"/>
      <c r="O292" s="2184"/>
      <c r="P292" s="503"/>
      <c r="R292" s="51"/>
      <c r="S292" s="51"/>
    </row>
    <row r="293" spans="1:19" s="65" customFormat="1" ht="10.5" customHeight="1">
      <c r="A293" s="55"/>
      <c r="B293" s="1189" t="s">
        <v>3354</v>
      </c>
      <c r="C293" s="510"/>
      <c r="D293" s="510"/>
      <c r="E293" s="1431"/>
      <c r="F293" s="1432"/>
      <c r="G293" s="712">
        <f>E293+F293</f>
        <v>0</v>
      </c>
      <c r="I293" s="1431"/>
      <c r="J293" s="1432"/>
      <c r="K293" s="712">
        <f>I293+J293</f>
        <v>0</v>
      </c>
      <c r="M293" s="2173" t="str">
        <f>IF(AND(G293=0,K293=0),"n/a",IF(G293&gt;K293,"Yes", "No"))</f>
        <v>n/a</v>
      </c>
      <c r="N293" s="2186"/>
      <c r="O293" s="2184"/>
      <c r="R293" s="51"/>
      <c r="S293" s="51"/>
    </row>
    <row r="294" spans="1:19" s="65" customFormat="1" ht="10.5" customHeight="1">
      <c r="A294" s="55"/>
      <c r="B294" s="1189" t="s">
        <v>3355</v>
      </c>
      <c r="C294" s="510"/>
      <c r="D294" s="510"/>
      <c r="E294" s="1433"/>
      <c r="F294" s="1434"/>
      <c r="G294" s="713">
        <f>E294+F294</f>
        <v>0</v>
      </c>
      <c r="I294" s="1433"/>
      <c r="J294" s="1434"/>
      <c r="K294" s="713">
        <f>I294+J294</f>
        <v>0</v>
      </c>
      <c r="M294" s="2175" t="str">
        <f>IF(AND(G294=0,K294=0),"n/a",IF(G294&gt;K294,"Yes", "No"))</f>
        <v>n/a</v>
      </c>
      <c r="N294" s="2187"/>
      <c r="O294" s="2185"/>
      <c r="R294" s="51"/>
      <c r="S294" s="51"/>
    </row>
    <row r="295" spans="1:19" s="51" customFormat="1" ht="7.5" customHeight="1">
      <c r="A295" s="165"/>
      <c r="C295" s="1184"/>
      <c r="D295" s="1184"/>
      <c r="E295" s="1184"/>
      <c r="F295" s="1184"/>
      <c r="I295" s="1184"/>
      <c r="J295" s="1184"/>
      <c r="P295" s="159"/>
    </row>
    <row r="296" spans="1:19" s="44" customFormat="1" ht="10.5" customHeight="1">
      <c r="A296" s="55"/>
      <c r="B296" s="772"/>
      <c r="C296" s="772"/>
      <c r="D296" s="772"/>
      <c r="E296" s="2189" t="s">
        <v>3359</v>
      </c>
      <c r="F296" s="2190"/>
      <c r="G296" s="773"/>
      <c r="H296" s="773"/>
      <c r="I296" s="2189" t="s">
        <v>3398</v>
      </c>
      <c r="J296" s="2190"/>
      <c r="K296" s="773"/>
      <c r="P296" s="159"/>
      <c r="R296" s="119"/>
      <c r="S296" s="119"/>
    </row>
    <row r="297" spans="1:19" s="65" customFormat="1" ht="10.5" customHeight="1">
      <c r="A297" s="55"/>
      <c r="B297" s="1189" t="s">
        <v>3352</v>
      </c>
      <c r="C297" s="510"/>
      <c r="D297" s="510"/>
      <c r="E297" s="1134"/>
      <c r="F297" s="1135"/>
      <c r="G297" s="711">
        <f>E297+F297</f>
        <v>0</v>
      </c>
      <c r="H297" s="769"/>
      <c r="I297" s="1134"/>
      <c r="J297" s="1135"/>
      <c r="K297" s="711">
        <f>I297+J297</f>
        <v>0</v>
      </c>
      <c r="M297" s="2170" t="str">
        <f>IF(AND(G297=0,K297=0),"n/a",IF(G297&gt;K297,"Yes", "No"))</f>
        <v>n/a</v>
      </c>
      <c r="N297" s="2171"/>
      <c r="O297" s="2172" t="str">
        <f>IF(AND(M297="n/a",M298="n/a",M299="n/a",M300="n/a",M301="n/a"),"n/a",IF(AND(M297="Yes",M298="Yes",M299="Yes",M300="Yes",M301="Yes"),"Yes",IF(OR(M297="No",M298="No",M299="No",M300="No",M301="No"), "No", "No")))</f>
        <v>n/a</v>
      </c>
      <c r="P297" s="218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9" t="s">
        <v>3358</v>
      </c>
      <c r="C298" s="510"/>
      <c r="D298" s="510"/>
      <c r="E298" s="1136"/>
      <c r="F298" s="1137"/>
      <c r="G298" s="712">
        <f>E298+F298</f>
        <v>0</v>
      </c>
      <c r="I298" s="1136"/>
      <c r="J298" s="1137"/>
      <c r="K298" s="712">
        <f>I298+J298</f>
        <v>0</v>
      </c>
      <c r="M298" s="2173" t="str">
        <f>IF(AND(G298=0,K298=0),"n/a",IF(G298&gt;K298,"Yes", "No"))</f>
        <v>n/a</v>
      </c>
      <c r="N298" s="2174"/>
      <c r="O298" s="2172"/>
      <c r="P298" s="2188"/>
      <c r="R298" s="51"/>
      <c r="S298" s="51"/>
    </row>
    <row r="299" spans="1:19" s="65" customFormat="1" ht="10.5" customHeight="1">
      <c r="A299" s="55"/>
      <c r="B299" s="1189" t="s">
        <v>3353</v>
      </c>
      <c r="C299" s="510"/>
      <c r="D299" s="510"/>
      <c r="E299" s="1138"/>
      <c r="F299" s="1139"/>
      <c r="G299" s="712">
        <f>E299+F299</f>
        <v>0</v>
      </c>
      <c r="I299" s="1138"/>
      <c r="J299" s="1139"/>
      <c r="K299" s="712">
        <f>I299+J299</f>
        <v>0</v>
      </c>
      <c r="M299" s="2173" t="str">
        <f>IF(AND(G299=0,K299=0),"n/a",IF(G299&gt;K299,"Yes", "No"))</f>
        <v>n/a</v>
      </c>
      <c r="N299" s="2174"/>
      <c r="O299" s="2172"/>
      <c r="P299" s="2188"/>
      <c r="R299" s="51"/>
      <c r="S299" s="51"/>
    </row>
    <row r="300" spans="1:19" s="65" customFormat="1" ht="10.5" customHeight="1">
      <c r="A300" s="55"/>
      <c r="B300" s="1189" t="s">
        <v>3354</v>
      </c>
      <c r="C300" s="510"/>
      <c r="D300" s="510"/>
      <c r="E300" s="1138"/>
      <c r="F300" s="1139"/>
      <c r="G300" s="712">
        <f>E300+F300</f>
        <v>0</v>
      </c>
      <c r="I300" s="1138"/>
      <c r="J300" s="1139"/>
      <c r="K300" s="712">
        <f>I300+J300</f>
        <v>0</v>
      </c>
      <c r="M300" s="2173" t="str">
        <f>IF(AND(G300=0,K300=0),"n/a",IF(G300&gt;K300,"Yes", "No"))</f>
        <v>n/a</v>
      </c>
      <c r="N300" s="2174"/>
      <c r="O300" s="2172"/>
      <c r="P300" s="2188"/>
      <c r="R300" s="51"/>
      <c r="S300" s="51"/>
    </row>
    <row r="301" spans="1:19" s="65" customFormat="1" ht="10.5" customHeight="1">
      <c r="A301" s="55"/>
      <c r="B301" s="1189" t="s">
        <v>3355</v>
      </c>
      <c r="C301" s="510"/>
      <c r="D301" s="510"/>
      <c r="E301" s="1140"/>
      <c r="F301" s="1141"/>
      <c r="G301" s="713">
        <f>E301+F301</f>
        <v>0</v>
      </c>
      <c r="I301" s="1140"/>
      <c r="J301" s="1141"/>
      <c r="K301" s="713">
        <f>I301+J301</f>
        <v>0</v>
      </c>
      <c r="M301" s="2175" t="str">
        <f>IF(AND(G301=0,K301=0),"n/a",IF(G301&gt;K301,"Yes", "No"))</f>
        <v>n/a</v>
      </c>
      <c r="N301" s="2176"/>
      <c r="O301" s="2172"/>
      <c r="P301" s="2188"/>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9" t="s">
        <v>3352</v>
      </c>
      <c r="C303" s="510"/>
      <c r="D303" s="510"/>
      <c r="E303" s="1427"/>
      <c r="F303" s="1428"/>
      <c r="G303" s="711">
        <f>E303+F303</f>
        <v>0</v>
      </c>
      <c r="I303" s="1427"/>
      <c r="J303" s="1428"/>
      <c r="K303" s="711">
        <f>I303+J303</f>
        <v>0</v>
      </c>
      <c r="M303" s="2170" t="str">
        <f>IF(AND(G303=0,K303=0),"n/a",IF(G303&gt;K303,"Yes", "No"))</f>
        <v>n/a</v>
      </c>
      <c r="N303" s="2171"/>
      <c r="O303" s="2172" t="str">
        <f>IF(AND(M303="n/a",M304="n/a",M305="n/a",M306="n/a",M307="n/a"),"n/a",IF(AND(M303="Yes",M304="Yes",M305="Yes",M306="Yes",M307="Yes"),"Yes",IF(OR(M303="No",M304="No",M305="No",M306="No",M307="No"), "No", "No")))</f>
        <v>n/a</v>
      </c>
      <c r="P303" s="218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9" t="s">
        <v>3358</v>
      </c>
      <c r="C304" s="510"/>
      <c r="D304" s="510"/>
      <c r="E304" s="1429"/>
      <c r="F304" s="1430"/>
      <c r="G304" s="712">
        <f>E304+F304</f>
        <v>0</v>
      </c>
      <c r="I304" s="1429"/>
      <c r="J304" s="1430"/>
      <c r="K304" s="712">
        <f>I304+J304</f>
        <v>0</v>
      </c>
      <c r="M304" s="2173" t="str">
        <f>IF(AND(G304=0,K304=0),"n/a",IF(G304&gt;K304,"Yes", "No"))</f>
        <v>n/a</v>
      </c>
      <c r="N304" s="2174"/>
      <c r="O304" s="2172"/>
      <c r="P304" s="2188"/>
      <c r="R304" s="51"/>
      <c r="S304" s="51"/>
    </row>
    <row r="305" spans="1:19" s="65" customFormat="1" ht="10.5" customHeight="1">
      <c r="A305" s="55"/>
      <c r="B305" s="1189" t="s">
        <v>3353</v>
      </c>
      <c r="C305" s="510"/>
      <c r="D305" s="510"/>
      <c r="E305" s="1431"/>
      <c r="F305" s="1432"/>
      <c r="G305" s="712">
        <f>E305+F305</f>
        <v>0</v>
      </c>
      <c r="I305" s="1431"/>
      <c r="J305" s="1432"/>
      <c r="K305" s="712">
        <f>I305+J305</f>
        <v>0</v>
      </c>
      <c r="M305" s="2173" t="str">
        <f>IF(AND(G305=0,K305=0),"n/a",IF(G305&gt;K305,"Yes", "No"))</f>
        <v>n/a</v>
      </c>
      <c r="N305" s="2174"/>
      <c r="O305" s="2172"/>
      <c r="P305" s="2188"/>
      <c r="R305" s="51"/>
      <c r="S305" s="51"/>
    </row>
    <row r="306" spans="1:19" s="65" customFormat="1" ht="10.5" customHeight="1">
      <c r="A306" s="55"/>
      <c r="B306" s="1189" t="s">
        <v>3354</v>
      </c>
      <c r="C306" s="510"/>
      <c r="D306" s="510"/>
      <c r="E306" s="1431"/>
      <c r="F306" s="1432"/>
      <c r="G306" s="712">
        <f>E306+F306</f>
        <v>0</v>
      </c>
      <c r="I306" s="1431"/>
      <c r="J306" s="1432"/>
      <c r="K306" s="712">
        <f>I306+J306</f>
        <v>0</v>
      </c>
      <c r="M306" s="2173" t="str">
        <f>IF(AND(G306=0,K306=0),"n/a",IF(G306&gt;K306,"Yes", "No"))</f>
        <v>n/a</v>
      </c>
      <c r="N306" s="2174"/>
      <c r="O306" s="2172"/>
      <c r="P306" s="2188"/>
      <c r="R306" s="51"/>
      <c r="S306" s="51"/>
    </row>
    <row r="307" spans="1:19" s="65" customFormat="1" ht="10.5" customHeight="1">
      <c r="A307" s="55"/>
      <c r="B307" s="1189" t="s">
        <v>3355</v>
      </c>
      <c r="C307" s="510"/>
      <c r="D307" s="510"/>
      <c r="E307" s="1433"/>
      <c r="F307" s="1434"/>
      <c r="G307" s="713">
        <f>E307+F307</f>
        <v>0</v>
      </c>
      <c r="I307" s="1433"/>
      <c r="J307" s="1434"/>
      <c r="K307" s="713">
        <f>I307+J307</f>
        <v>0</v>
      </c>
      <c r="M307" s="2175" t="str">
        <f>IF(AND(G307=0,K307=0),"n/a",IF(G307&gt;K307,"Yes", "No"))</f>
        <v>n/a</v>
      </c>
      <c r="N307" s="2176"/>
      <c r="O307" s="2172"/>
      <c r="P307" s="2188"/>
      <c r="R307" s="51"/>
      <c r="S307" s="51"/>
    </row>
    <row r="308" spans="1:19" s="51" customFormat="1" ht="7.5" customHeight="1">
      <c r="A308" s="165"/>
      <c r="B308" s="64"/>
      <c r="C308" s="715"/>
      <c r="D308" s="510"/>
      <c r="E308" s="1184"/>
      <c r="F308" s="1184"/>
      <c r="I308" s="1184"/>
      <c r="J308" s="1184"/>
      <c r="P308" s="159"/>
    </row>
    <row r="309" spans="1:19" s="44" customFormat="1" ht="10.5" customHeight="1">
      <c r="A309" s="55"/>
      <c r="B309" s="772"/>
      <c r="C309" s="772"/>
      <c r="D309" s="772"/>
      <c r="E309" s="2189" t="s">
        <v>3360</v>
      </c>
      <c r="F309" s="2190"/>
      <c r="G309" s="773"/>
      <c r="H309" s="773"/>
      <c r="I309" s="2189" t="s">
        <v>3398</v>
      </c>
      <c r="J309" s="2190"/>
      <c r="K309" s="773"/>
      <c r="P309" s="159"/>
      <c r="R309" s="119"/>
      <c r="S309" s="119"/>
    </row>
    <row r="310" spans="1:19" s="65" customFormat="1" ht="10.5" customHeight="1">
      <c r="A310" s="55"/>
      <c r="B310" s="1189" t="s">
        <v>3352</v>
      </c>
      <c r="C310" s="510"/>
      <c r="D310" s="510"/>
      <c r="E310" s="1134"/>
      <c r="F310" s="1135"/>
      <c r="G310" s="711">
        <f>E310+F310</f>
        <v>0</v>
      </c>
      <c r="I310" s="1134"/>
      <c r="J310" s="1135"/>
      <c r="K310" s="711">
        <f>I310+J310</f>
        <v>0</v>
      </c>
      <c r="M310" s="2170" t="str">
        <f>IF(AND(G310=0,K310=0),"n/a",IF(G310&gt;K310,"Yes", "No"))</f>
        <v>n/a</v>
      </c>
      <c r="N310" s="2171"/>
      <c r="O310" s="2172" t="str">
        <f>IF(AND(M310="n/a",M311="n/a",M312="n/a",M313="n/a",M314="n/a"),"n/a",IF(AND(M310="Yes",M311="Yes",M312="Yes",M313="Yes",M314="Yes"),"Yes",IF(OR(M310="No",M311="No",M312="No",M313="No",M314="No"), "No", "No")))</f>
        <v>n/a</v>
      </c>
      <c r="P310" s="159"/>
      <c r="R310" s="51"/>
      <c r="S310" s="51"/>
    </row>
    <row r="311" spans="1:19" s="65" customFormat="1" ht="10.5" customHeight="1">
      <c r="A311" s="55"/>
      <c r="B311" s="1189" t="s">
        <v>3358</v>
      </c>
      <c r="C311" s="510"/>
      <c r="D311" s="510"/>
      <c r="E311" s="1136"/>
      <c r="F311" s="1137"/>
      <c r="G311" s="712">
        <f>E311+F311</f>
        <v>0</v>
      </c>
      <c r="I311" s="1136"/>
      <c r="J311" s="1137"/>
      <c r="K311" s="712">
        <f>I311+J311</f>
        <v>0</v>
      </c>
      <c r="M311" s="2173" t="str">
        <f>IF(AND(G311=0,K311=0),"n/a",IF(G311&gt;K311,"Yes", "No"))</f>
        <v>n/a</v>
      </c>
      <c r="N311" s="2174"/>
      <c r="O311" s="2172"/>
      <c r="P311" s="159"/>
      <c r="R311" s="51"/>
      <c r="S311" s="51"/>
    </row>
    <row r="312" spans="1:19" s="65" customFormat="1" ht="10.5" customHeight="1">
      <c r="A312" s="55"/>
      <c r="B312" s="533" t="s">
        <v>3353</v>
      </c>
      <c r="E312" s="1138"/>
      <c r="F312" s="1139"/>
      <c r="G312" s="712">
        <f>E312+F312</f>
        <v>0</v>
      </c>
      <c r="I312" s="1138"/>
      <c r="J312" s="1139"/>
      <c r="K312" s="712">
        <f>I312+J312</f>
        <v>0</v>
      </c>
      <c r="M312" s="2173" t="str">
        <f>IF(AND(G312=0,K312=0),"n/a",IF(G312&gt;K312,"Yes", "No"))</f>
        <v>n/a</v>
      </c>
      <c r="N312" s="2174"/>
      <c r="O312" s="2172"/>
      <c r="P312" s="159"/>
      <c r="R312" s="51"/>
      <c r="S312" s="51"/>
    </row>
    <row r="313" spans="1:19" s="65" customFormat="1" ht="10.5" customHeight="1">
      <c r="A313" s="55"/>
      <c r="B313" s="533" t="s">
        <v>3354</v>
      </c>
      <c r="E313" s="1138"/>
      <c r="F313" s="1139"/>
      <c r="G313" s="712">
        <f>E313+F313</f>
        <v>0</v>
      </c>
      <c r="I313" s="1138"/>
      <c r="J313" s="1139"/>
      <c r="K313" s="712">
        <f>I313+J313</f>
        <v>0</v>
      </c>
      <c r="M313" s="2173" t="str">
        <f>IF(AND(G313=0,K313=0),"n/a",IF(G313&gt;K313,"Yes", "No"))</f>
        <v>n/a</v>
      </c>
      <c r="N313" s="2174"/>
      <c r="O313" s="2172"/>
      <c r="P313" s="159"/>
      <c r="R313" s="51"/>
      <c r="S313" s="51"/>
    </row>
    <row r="314" spans="1:19" s="65" customFormat="1" ht="10.5" customHeight="1">
      <c r="A314" s="55"/>
      <c r="B314" s="533" t="s">
        <v>3355</v>
      </c>
      <c r="E314" s="1140"/>
      <c r="F314" s="1141"/>
      <c r="G314" s="713">
        <f>E314+F314</f>
        <v>0</v>
      </c>
      <c r="I314" s="1140"/>
      <c r="J314" s="1141"/>
      <c r="K314" s="713">
        <f>I314+J314</f>
        <v>0</v>
      </c>
      <c r="M314" s="2175" t="str">
        <f>IF(AND(G314=0,K314=0),"n/a",IF(G314&gt;K314,"Yes", "No"))</f>
        <v>n/a</v>
      </c>
      <c r="N314" s="2176"/>
      <c r="O314" s="2172"/>
      <c r="P314" s="159"/>
      <c r="R314" s="51"/>
      <c r="S314" s="51"/>
    </row>
    <row r="315" spans="1:19" s="51" customFormat="1" ht="3" customHeight="1">
      <c r="A315" s="165"/>
      <c r="C315" s="1184"/>
      <c r="D315" s="1184"/>
      <c r="E315" s="774"/>
      <c r="F315" s="774"/>
      <c r="I315" s="774"/>
      <c r="J315" s="774"/>
      <c r="P315" s="768"/>
    </row>
    <row r="316" spans="1:19" s="65" customFormat="1" ht="10.5" customHeight="1">
      <c r="A316" s="55"/>
      <c r="B316" s="1189" t="s">
        <v>3352</v>
      </c>
      <c r="C316" s="510"/>
      <c r="D316" s="510"/>
      <c r="E316" s="1427"/>
      <c r="F316" s="1428"/>
      <c r="G316" s="711">
        <f>E316+F316</f>
        <v>0</v>
      </c>
      <c r="I316" s="1427"/>
      <c r="J316" s="1428"/>
      <c r="K316" s="711">
        <f>I316+J316</f>
        <v>0</v>
      </c>
      <c r="M316" s="2170" t="str">
        <f>IF(AND(G316=0,K316=0),"n/a",IF(G316&gt;K316,"Yes", "No"))</f>
        <v>n/a</v>
      </c>
      <c r="N316" s="2171"/>
      <c r="O316" s="2172" t="str">
        <f>IF(AND(M316="n/a",M317="n/a",M318="n/a",M319="n/a",M320="n/a"),"n/a",IF(AND(M316="Yes",M317="Yes",M318="Yes",M319="Yes",M320="Yes"),"Yes",IF(OR(M316="No",M317="No",M318="No",M319="No",M320="No"), "No", "No")))</f>
        <v>n/a</v>
      </c>
      <c r="P316" s="768"/>
      <c r="R316" s="51"/>
      <c r="S316" s="51"/>
    </row>
    <row r="317" spans="1:19" s="65" customFormat="1" ht="10.5" customHeight="1">
      <c r="A317" s="55"/>
      <c r="B317" s="1189" t="s">
        <v>3358</v>
      </c>
      <c r="C317" s="510"/>
      <c r="D317" s="510"/>
      <c r="E317" s="1429"/>
      <c r="F317" s="1430"/>
      <c r="G317" s="712">
        <f>E317+F317</f>
        <v>0</v>
      </c>
      <c r="I317" s="1429"/>
      <c r="J317" s="1430"/>
      <c r="K317" s="712">
        <f>I317+J317</f>
        <v>0</v>
      </c>
      <c r="M317" s="2173" t="str">
        <f>IF(AND(G317=0,K317=0),"n/a",IF(G317&gt;K317,"Yes", "No"))</f>
        <v>n/a</v>
      </c>
      <c r="N317" s="2174"/>
      <c r="O317" s="2172"/>
      <c r="P317" s="768"/>
      <c r="R317" s="51"/>
      <c r="S317" s="51"/>
    </row>
    <row r="318" spans="1:19" s="65" customFormat="1" ht="10.5" customHeight="1">
      <c r="A318" s="55"/>
      <c r="B318" s="1189" t="s">
        <v>3353</v>
      </c>
      <c r="C318" s="510"/>
      <c r="D318" s="510"/>
      <c r="E318" s="1431"/>
      <c r="F318" s="1432"/>
      <c r="G318" s="712">
        <f>E318+F318</f>
        <v>0</v>
      </c>
      <c r="I318" s="1431"/>
      <c r="J318" s="1432"/>
      <c r="K318" s="712">
        <f>I318+J318</f>
        <v>0</v>
      </c>
      <c r="M318" s="2173" t="str">
        <f>IF(AND(G318=0,K318=0),"n/a",IF(G318&gt;K318,"Yes", "No"))</f>
        <v>n/a</v>
      </c>
      <c r="N318" s="2174"/>
      <c r="O318" s="2172"/>
      <c r="P318" s="768"/>
      <c r="R318" s="51"/>
      <c r="S318" s="51"/>
    </row>
    <row r="319" spans="1:19" s="65" customFormat="1" ht="10.5" customHeight="1">
      <c r="A319" s="55"/>
      <c r="B319" s="1189" t="s">
        <v>3354</v>
      </c>
      <c r="C319" s="510"/>
      <c r="D319" s="510"/>
      <c r="E319" s="1431"/>
      <c r="F319" s="1432"/>
      <c r="G319" s="712">
        <f>E319+F319</f>
        <v>0</v>
      </c>
      <c r="I319" s="1431"/>
      <c r="J319" s="1432"/>
      <c r="K319" s="712">
        <f>I319+J319</f>
        <v>0</v>
      </c>
      <c r="M319" s="2173" t="str">
        <f>IF(AND(G319=0,K319=0),"n/a",IF(G319&gt;K319,"Yes", "No"))</f>
        <v>n/a</v>
      </c>
      <c r="N319" s="2174"/>
      <c r="O319" s="2172"/>
      <c r="P319" s="768"/>
      <c r="R319" s="51"/>
      <c r="S319" s="51"/>
    </row>
    <row r="320" spans="1:19" s="65" customFormat="1" ht="10.5" customHeight="1">
      <c r="A320" s="55"/>
      <c r="B320" s="1189" t="s">
        <v>3355</v>
      </c>
      <c r="C320" s="510"/>
      <c r="D320" s="510"/>
      <c r="E320" s="1433"/>
      <c r="F320" s="1434"/>
      <c r="G320" s="713">
        <f>E320+F320</f>
        <v>0</v>
      </c>
      <c r="I320" s="1433"/>
      <c r="J320" s="1434"/>
      <c r="K320" s="713">
        <f>I320+J320</f>
        <v>0</v>
      </c>
      <c r="M320" s="2175" t="str">
        <f>IF(AND(G320=0,K320=0),"n/a",IF(G320&gt;K320,"Yes", "No"))</f>
        <v>n/a</v>
      </c>
      <c r="N320" s="2176"/>
      <c r="O320" s="2172"/>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6"/>
    </row>
    <row r="322" spans="1:18" s="51" customFormat="1" ht="10.5" customHeight="1">
      <c r="A322" s="2008" t="s">
        <v>3785</v>
      </c>
      <c r="B322" s="2009"/>
      <c r="C322" s="2009"/>
      <c r="D322" s="2009"/>
      <c r="E322" s="2009"/>
      <c r="F322" s="2009"/>
      <c r="G322" s="2009"/>
      <c r="H322" s="2009"/>
      <c r="I322" s="2009"/>
      <c r="J322" s="2009"/>
      <c r="K322" s="2009"/>
      <c r="L322" s="2009"/>
      <c r="M322" s="2009"/>
      <c r="N322" s="2009"/>
      <c r="O322" s="2009"/>
      <c r="P322" s="2010"/>
      <c r="Q322" s="562" t="s">
        <v>1331</v>
      </c>
    </row>
    <row r="323" spans="1:18" s="51" customFormat="1" ht="10.5" customHeight="1">
      <c r="A323" s="50"/>
      <c r="B323" s="100" t="s">
        <v>1995</v>
      </c>
      <c r="C323" s="115"/>
      <c r="D323" s="100"/>
      <c r="E323" s="116"/>
      <c r="F323" s="1177"/>
      <c r="G323" s="1177"/>
      <c r="H323" s="1177"/>
      <c r="I323" s="1177"/>
      <c r="J323" s="1177"/>
      <c r="K323" s="1177"/>
      <c r="L323" s="1177"/>
      <c r="M323" s="1177"/>
      <c r="N323" s="87"/>
      <c r="O323" s="83"/>
      <c r="P323" s="2"/>
      <c r="Q323" s="529"/>
    </row>
    <row r="324" spans="1:18" s="51" customFormat="1" ht="10.5" customHeight="1">
      <c r="A324" s="2013"/>
      <c r="B324" s="2014"/>
      <c r="C324" s="2014"/>
      <c r="D324" s="2014"/>
      <c r="E324" s="2014"/>
      <c r="F324" s="2014"/>
      <c r="G324" s="2014"/>
      <c r="H324" s="2014"/>
      <c r="I324" s="2014"/>
      <c r="J324" s="2014"/>
      <c r="K324" s="2014"/>
      <c r="L324" s="2014"/>
      <c r="M324" s="2014"/>
      <c r="N324" s="2014"/>
      <c r="O324" s="2014"/>
      <c r="P324" s="2015"/>
      <c r="Q324" s="562" t="s">
        <v>1331</v>
      </c>
    </row>
    <row r="325" spans="1:18" s="51" customFormat="1" ht="1.5" customHeight="1">
      <c r="A325" s="50"/>
      <c r="C325" s="1177"/>
      <c r="D325" s="1177"/>
      <c r="E325" s="1177"/>
      <c r="F325" s="1177"/>
      <c r="G325" s="1177"/>
      <c r="H325" s="1177"/>
      <c r="I325" s="1177"/>
      <c r="J325" s="1177"/>
      <c r="K325" s="1177"/>
      <c r="L325" s="1177"/>
      <c r="M325" s="1177"/>
      <c r="N325" s="87"/>
      <c r="O325" s="83"/>
      <c r="P325" s="612"/>
    </row>
    <row r="326" spans="1:18" s="51" customFormat="1" ht="12" customHeight="1">
      <c r="A326" s="183" t="s">
        <v>3367</v>
      </c>
      <c r="B326" s="123" t="s">
        <v>3366</v>
      </c>
      <c r="C326" s="64"/>
      <c r="D326" s="136"/>
      <c r="E326" s="136"/>
      <c r="F326" s="49"/>
      <c r="G326" s="49"/>
      <c r="H326" s="49"/>
      <c r="I326" s="49"/>
      <c r="J326" s="49"/>
      <c r="K326" s="49"/>
      <c r="M326" s="8">
        <v>2</v>
      </c>
      <c r="N326" s="217"/>
      <c r="O326" s="1117">
        <v>1</v>
      </c>
      <c r="P326" s="1413"/>
      <c r="Q326" s="126" t="s">
        <v>463</v>
      </c>
      <c r="R326" s="44" t="s">
        <v>2946</v>
      </c>
    </row>
    <row r="327" spans="1:18" s="65" customFormat="1" ht="9" customHeight="1">
      <c r="H327" s="55"/>
      <c r="I327" s="55"/>
      <c r="J327" s="55"/>
      <c r="K327" s="55"/>
      <c r="L327" s="55"/>
      <c r="R327" s="693"/>
    </row>
    <row r="328" spans="1:18" s="65" customFormat="1" ht="12" customHeight="1">
      <c r="A328" s="55"/>
      <c r="I328" s="65" t="s">
        <v>3372</v>
      </c>
      <c r="K328" s="2291" t="str">
        <f>'Part I-Project Information'!F27</f>
        <v>Athens</v>
      </c>
      <c r="L328" s="2292"/>
      <c r="M328" s="2293"/>
      <c r="R328" s="693"/>
    </row>
    <row r="329" spans="1:18" s="65" customFormat="1" ht="12" customHeight="1">
      <c r="A329" s="165" t="s">
        <v>2117</v>
      </c>
      <c r="C329" s="723" t="s">
        <v>3376</v>
      </c>
      <c r="G329" s="1142">
        <v>15350</v>
      </c>
      <c r="I329" s="2275" t="s">
        <v>3373</v>
      </c>
      <c r="J329" s="2275"/>
      <c r="K329" s="2282" t="str">
        <f>'Part I-Project Information'!J28</f>
        <v>Clarke</v>
      </c>
      <c r="L329" s="2283"/>
      <c r="M329" s="2284"/>
      <c r="R329" s="693"/>
    </row>
    <row r="330" spans="1:18" s="65" customFormat="1" ht="12" customHeight="1">
      <c r="A330" s="165"/>
      <c r="C330" s="723"/>
      <c r="I330" s="533" t="s">
        <v>3374</v>
      </c>
      <c r="K330" s="2282" t="str">
        <f>'Part I-Project Information'!O29</f>
        <v>Athens-Clarke Co.</v>
      </c>
      <c r="L330" s="2283"/>
      <c r="M330" s="2284"/>
      <c r="R330" s="693"/>
    </row>
    <row r="331" spans="1:18" s="65" customFormat="1" ht="12.75" customHeight="1">
      <c r="A331" s="170" t="s">
        <v>2120</v>
      </c>
      <c r="B331" s="609" t="s">
        <v>3371</v>
      </c>
      <c r="C331" s="1189"/>
      <c r="D331" s="686"/>
      <c r="E331" s="686"/>
      <c r="G331" s="1119">
        <v>0.5</v>
      </c>
      <c r="I331" s="533" t="s">
        <v>3587</v>
      </c>
      <c r="K331" s="2282" t="str">
        <f>VLOOKUP('Part I-Project Information'!J28,'Part I-Project Information'!C179:F338,4)</f>
        <v>MSA</v>
      </c>
      <c r="L331" s="2283"/>
      <c r="M331" s="2284"/>
      <c r="R331" s="693"/>
    </row>
    <row r="332" spans="1:18" s="65" customFormat="1" ht="12.75" customHeight="1">
      <c r="A332" s="55"/>
      <c r="B332" s="609" t="s">
        <v>3370</v>
      </c>
      <c r="C332" s="1189"/>
      <c r="D332" s="686"/>
      <c r="E332" s="686"/>
      <c r="F332" s="55"/>
      <c r="G332" s="55"/>
      <c r="I332" s="65" t="s">
        <v>3588</v>
      </c>
      <c r="K332" s="2285" t="str">
        <f>'Part I-Project Information'!K29</f>
        <v>Urban</v>
      </c>
      <c r="L332" s="2286"/>
      <c r="M332" s="2287"/>
      <c r="R332" s="693"/>
    </row>
    <row r="333" spans="1:18" s="65" customFormat="1" ht="12.75" customHeight="1">
      <c r="A333" s="55"/>
      <c r="B333" s="609"/>
      <c r="C333" s="1189"/>
      <c r="D333" s="686"/>
      <c r="E333" s="686"/>
      <c r="F333" s="55"/>
      <c r="G333" s="55"/>
      <c r="I333" s="65" t="s">
        <v>3586</v>
      </c>
      <c r="K333" s="2285">
        <f>'Part I-Project Information'!H67</f>
        <v>0</v>
      </c>
      <c r="L333" s="2286"/>
      <c r="M333" s="2287"/>
      <c r="R333" s="693"/>
    </row>
    <row r="334" spans="1:18" s="65" customFormat="1" ht="15" customHeight="1">
      <c r="H334" s="55"/>
      <c r="I334" s="55"/>
      <c r="J334" s="55"/>
      <c r="K334" s="55"/>
      <c r="L334" s="55"/>
      <c r="R334" s="693"/>
    </row>
    <row r="335" spans="1:18" s="65" customFormat="1" ht="12" customHeight="1">
      <c r="A335" s="55"/>
      <c r="B335" s="55"/>
      <c r="C335" s="1191" t="s">
        <v>3368</v>
      </c>
      <c r="D335" s="2278" t="s">
        <v>3369</v>
      </c>
      <c r="E335" s="2278"/>
      <c r="F335" s="2278"/>
      <c r="G335" s="2278"/>
      <c r="H335" s="2278"/>
      <c r="I335" s="2278"/>
      <c r="J335" s="2278"/>
      <c r="K335" s="2278"/>
      <c r="L335" s="1191" t="s">
        <v>1709</v>
      </c>
      <c r="M335" s="1191" t="s">
        <v>2780</v>
      </c>
      <c r="R335" s="693"/>
    </row>
    <row r="336" spans="1:18" s="65" customFormat="1" ht="12" customHeight="1">
      <c r="A336" s="55"/>
      <c r="B336" s="55"/>
      <c r="C336" s="1143" t="s">
        <v>1281</v>
      </c>
      <c r="D336" s="2277" t="s">
        <v>3375</v>
      </c>
      <c r="E336" s="2277"/>
      <c r="F336" s="2277"/>
      <c r="G336" s="2277"/>
      <c r="H336" s="2277"/>
      <c r="I336" s="2277"/>
      <c r="J336" s="2277"/>
      <c r="K336" s="2277"/>
      <c r="L336" s="1143" t="s">
        <v>2795</v>
      </c>
      <c r="M336" s="1143" t="s">
        <v>1358</v>
      </c>
      <c r="R336" s="693"/>
    </row>
    <row r="337" spans="1:18" s="65" customFormat="1" ht="15.75" customHeight="1">
      <c r="A337" s="55"/>
      <c r="B337" s="55"/>
      <c r="C337" s="1190">
        <v>20000</v>
      </c>
      <c r="D337" s="2276">
        <v>15000</v>
      </c>
      <c r="E337" s="2276"/>
      <c r="F337" s="2276"/>
      <c r="G337" s="2276"/>
      <c r="H337" s="2276"/>
      <c r="I337" s="2276"/>
      <c r="J337" s="2276"/>
      <c r="K337" s="2276"/>
      <c r="L337" s="1190">
        <v>6000</v>
      </c>
      <c r="M337" s="1190">
        <v>3000</v>
      </c>
      <c r="R337" s="693"/>
    </row>
    <row r="338" spans="1:18" s="65" customFormat="1" ht="13.5" customHeight="1">
      <c r="A338" s="55"/>
      <c r="B338" s="617"/>
      <c r="C338" s="1184"/>
      <c r="D338" s="1184"/>
      <c r="E338" s="1184"/>
      <c r="F338" s="1184"/>
      <c r="G338" s="1184"/>
      <c r="H338" s="1184"/>
      <c r="I338" s="1184"/>
      <c r="J338" s="1184"/>
      <c r="K338" s="1184"/>
      <c r="L338" s="1184"/>
      <c r="R338" s="693"/>
    </row>
    <row r="339" spans="1:18" s="51" customFormat="1" ht="12" customHeight="1">
      <c r="A339" s="50"/>
      <c r="B339" s="57" t="s">
        <v>269</v>
      </c>
      <c r="C339" s="50"/>
      <c r="D339" s="56"/>
      <c r="E339" s="56"/>
      <c r="F339" s="56"/>
      <c r="G339" s="56"/>
      <c r="H339" s="44"/>
      <c r="I339" s="44"/>
      <c r="J339" s="44"/>
      <c r="K339" s="44"/>
      <c r="M339" s="54"/>
      <c r="N339" s="73"/>
      <c r="O339" s="4"/>
      <c r="P339" s="1176"/>
    </row>
    <row r="340" spans="1:18" s="51" customFormat="1" ht="27.75" customHeight="1">
      <c r="A340" s="2008" t="s">
        <v>3829</v>
      </c>
      <c r="B340" s="2009"/>
      <c r="C340" s="2009"/>
      <c r="D340" s="2009"/>
      <c r="E340" s="2009"/>
      <c r="F340" s="2009"/>
      <c r="G340" s="2009"/>
      <c r="H340" s="2009"/>
      <c r="I340" s="2009"/>
      <c r="J340" s="2009"/>
      <c r="K340" s="2009"/>
      <c r="L340" s="2009"/>
      <c r="M340" s="2009"/>
      <c r="N340" s="2009"/>
      <c r="O340" s="2009"/>
      <c r="P340" s="2010"/>
      <c r="Q340" s="562" t="s">
        <v>1331</v>
      </c>
    </row>
    <row r="341" spans="1:18" s="51" customFormat="1" ht="11.25" customHeight="1">
      <c r="A341" s="50"/>
      <c r="B341" s="100" t="s">
        <v>1995</v>
      </c>
      <c r="C341" s="115"/>
      <c r="D341" s="100"/>
      <c r="E341" s="116"/>
      <c r="F341" s="1177"/>
      <c r="G341" s="1177"/>
      <c r="H341" s="1177"/>
      <c r="I341" s="1177"/>
      <c r="J341" s="1177"/>
      <c r="K341" s="1177"/>
      <c r="L341" s="1177"/>
      <c r="M341" s="1177"/>
      <c r="N341" s="87"/>
      <c r="O341" s="83"/>
      <c r="P341" s="2"/>
      <c r="Q341" s="529"/>
    </row>
    <row r="342" spans="1:18" s="51" customFormat="1" ht="12.75" customHeight="1">
      <c r="A342" s="2013"/>
      <c r="B342" s="2014"/>
      <c r="C342" s="2014"/>
      <c r="D342" s="2014"/>
      <c r="E342" s="2014"/>
      <c r="F342" s="2014"/>
      <c r="G342" s="2014"/>
      <c r="H342" s="2014"/>
      <c r="I342" s="2014"/>
      <c r="J342" s="2014"/>
      <c r="K342" s="2014"/>
      <c r="L342" s="2014"/>
      <c r="M342" s="2014"/>
      <c r="N342" s="2014"/>
      <c r="O342" s="2014"/>
      <c r="P342" s="2015"/>
      <c r="Q342" s="562" t="s">
        <v>1331</v>
      </c>
    </row>
    <row r="343" spans="1:18" s="51" customFormat="1" ht="16.5" customHeight="1">
      <c r="A343" s="50"/>
      <c r="C343" s="1177"/>
      <c r="D343" s="1177"/>
      <c r="E343" s="1177"/>
      <c r="F343" s="1177"/>
      <c r="G343" s="1177"/>
      <c r="H343" s="1177"/>
      <c r="I343" s="1177"/>
      <c r="J343" s="1177"/>
      <c r="K343" s="1177"/>
      <c r="L343" s="1177"/>
      <c r="M343" s="1177"/>
      <c r="N343" s="87"/>
      <c r="O343" s="83"/>
      <c r="P343" s="612"/>
    </row>
    <row r="344" spans="1:18" s="119" customFormat="1" ht="11.25" customHeight="1">
      <c r="A344" s="183" t="s">
        <v>3365</v>
      </c>
      <c r="B344" s="122" t="s">
        <v>1791</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2719</v>
      </c>
      <c r="M345" s="50"/>
      <c r="N345" s="50"/>
      <c r="O345" s="1094" t="s">
        <v>3698</v>
      </c>
      <c r="P345" s="1390"/>
    </row>
    <row r="346" spans="1:18" ht="12.6" customHeight="1">
      <c r="A346" s="165" t="s">
        <v>2117</v>
      </c>
      <c r="B346" s="221" t="s">
        <v>1531</v>
      </c>
      <c r="D346" s="40"/>
      <c r="E346" s="40"/>
      <c r="F346" s="40"/>
      <c r="G346" s="40"/>
      <c r="H346" s="40"/>
      <c r="I346" s="40"/>
      <c r="J346" s="40"/>
      <c r="K346" s="40"/>
      <c r="L346" s="40"/>
      <c r="M346" s="134"/>
      <c r="N346" s="594" t="s">
        <v>2117</v>
      </c>
      <c r="O346" s="1144">
        <v>10</v>
      </c>
      <c r="P346" s="1435"/>
      <c r="Q346" s="213" t="s">
        <v>2946</v>
      </c>
    </row>
    <row r="347" spans="1:18" s="51" customFormat="1" ht="11.25" customHeight="1">
      <c r="A347" s="50"/>
      <c r="B347" s="57" t="s">
        <v>269</v>
      </c>
      <c r="C347" s="50"/>
      <c r="D347" s="56"/>
      <c r="E347" s="56"/>
      <c r="F347" s="56"/>
      <c r="G347" s="56"/>
      <c r="H347" s="44"/>
      <c r="I347" s="44"/>
      <c r="J347" s="44"/>
      <c r="K347" s="44"/>
      <c r="M347" s="54"/>
      <c r="N347" s="73"/>
      <c r="O347" s="4"/>
      <c r="P347" s="1176"/>
    </row>
    <row r="348" spans="1:18" s="51" customFormat="1" ht="26.25" customHeight="1">
      <c r="A348" s="2008"/>
      <c r="B348" s="2009"/>
      <c r="C348" s="2009"/>
      <c r="D348" s="2009"/>
      <c r="E348" s="2009"/>
      <c r="F348" s="2009"/>
      <c r="G348" s="2009"/>
      <c r="H348" s="2009"/>
      <c r="I348" s="2009"/>
      <c r="J348" s="2009"/>
      <c r="K348" s="2009"/>
      <c r="L348" s="2009"/>
      <c r="M348" s="2009"/>
      <c r="N348" s="2009"/>
      <c r="O348" s="2009"/>
      <c r="P348" s="2010"/>
      <c r="Q348" s="562" t="s">
        <v>1331</v>
      </c>
      <c r="R348" s="563"/>
    </row>
    <row r="349" spans="1:18" s="119" customFormat="1" ht="11.25" customHeight="1">
      <c r="A349" s="79"/>
      <c r="B349" s="79" t="s">
        <v>1995</v>
      </c>
      <c r="C349" s="58"/>
      <c r="D349" s="79"/>
      <c r="E349" s="1171"/>
      <c r="F349" s="1171"/>
      <c r="G349" s="1171"/>
      <c r="H349" s="1171"/>
      <c r="I349" s="1171"/>
      <c r="J349" s="1171"/>
      <c r="K349" s="1171"/>
      <c r="L349" s="1171"/>
      <c r="M349" s="1171"/>
      <c r="N349" s="110"/>
      <c r="O349" s="224"/>
      <c r="P349" s="2"/>
    </row>
    <row r="350" spans="1:18" s="51" customFormat="1" ht="12.75" customHeight="1">
      <c r="A350" s="2013"/>
      <c r="B350" s="2014"/>
      <c r="C350" s="2014"/>
      <c r="D350" s="2014"/>
      <c r="E350" s="2014"/>
      <c r="F350" s="2014"/>
      <c r="G350" s="2014"/>
      <c r="H350" s="2014"/>
      <c r="I350" s="2014"/>
      <c r="J350" s="2014"/>
      <c r="K350" s="2014"/>
      <c r="L350" s="2014"/>
      <c r="M350" s="2014"/>
      <c r="N350" s="2014"/>
      <c r="O350" s="2014"/>
      <c r="P350" s="2015"/>
      <c r="Q350" s="562" t="s">
        <v>1331</v>
      </c>
      <c r="R350" s="563"/>
    </row>
    <row r="351" spans="1:18" s="51" customFormat="1" ht="18.75" customHeight="1" thickBot="1">
      <c r="A351" s="50"/>
      <c r="B351" s="50"/>
      <c r="C351" s="1177"/>
      <c r="D351" s="1177"/>
      <c r="E351" s="1177"/>
      <c r="F351" s="1177"/>
      <c r="G351" s="1177"/>
      <c r="H351" s="1177"/>
      <c r="I351" s="1177"/>
      <c r="J351" s="1177"/>
      <c r="K351" s="1177"/>
      <c r="L351" s="1177"/>
      <c r="M351" s="1177"/>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52</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3600</v>
      </c>
      <c r="J353" s="81"/>
      <c r="K353" s="81"/>
      <c r="L353" s="51"/>
      <c r="M353" s="43"/>
      <c r="N353" s="2"/>
      <c r="O353" s="592"/>
      <c r="P353" s="592">
        <f>P158</f>
        <v>0</v>
      </c>
    </row>
    <row r="354" spans="1:16" s="50" customFormat="1" ht="13.5" customHeight="1">
      <c r="A354" s="64"/>
      <c r="B354" s="80"/>
      <c r="C354" s="64"/>
      <c r="D354" s="43"/>
      <c r="E354" s="43"/>
      <c r="F354" s="82"/>
      <c r="G354" s="82"/>
      <c r="I354" s="205" t="s">
        <v>3601</v>
      </c>
      <c r="J354" s="81"/>
      <c r="K354" s="81"/>
      <c r="L354" s="51"/>
      <c r="M354" s="43"/>
      <c r="N354" s="2"/>
      <c r="O354" s="2"/>
      <c r="P354" s="592">
        <f>P218</f>
        <v>0</v>
      </c>
    </row>
    <row r="355" spans="1:16" s="51" customFormat="1" ht="13.5" customHeight="1">
      <c r="A355" s="50"/>
      <c r="B355" s="50"/>
      <c r="C355" s="1177"/>
      <c r="D355" s="1177"/>
      <c r="E355" s="1177"/>
      <c r="F355" s="1177"/>
      <c r="G355" s="1177"/>
      <c r="I355" s="205" t="s">
        <v>3602</v>
      </c>
      <c r="J355" s="1177"/>
      <c r="K355" s="1177"/>
      <c r="L355" s="1177"/>
      <c r="M355" s="1177"/>
      <c r="N355" s="87"/>
      <c r="O355" s="83"/>
      <c r="P355" s="592">
        <f>P252</f>
        <v>0</v>
      </c>
    </row>
    <row r="356" spans="1:16" s="51" customFormat="1" ht="13.5" customHeight="1">
      <c r="A356" s="50"/>
      <c r="D356" s="47"/>
      <c r="E356" s="44"/>
      <c r="F356" s="612"/>
      <c r="G356" s="612"/>
      <c r="H356" s="5" t="s">
        <v>3603</v>
      </c>
      <c r="I356" s="612"/>
      <c r="J356" s="38"/>
      <c r="K356" s="38"/>
      <c r="L356" s="38"/>
      <c r="M356" s="71"/>
      <c r="N356" s="612"/>
      <c r="O356" s="1176"/>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8"/>
      <c r="P358" s="1168"/>
    </row>
    <row r="359" spans="1:16" s="189" customFormat="1">
      <c r="C359" s="567" t="s">
        <v>1761</v>
      </c>
      <c r="D359" s="567"/>
      <c r="E359" s="567"/>
      <c r="F359" s="567"/>
      <c r="G359" s="567"/>
      <c r="H359" s="567"/>
      <c r="I359" s="567"/>
      <c r="J359" s="567" t="s">
        <v>1073</v>
      </c>
      <c r="K359" s="567"/>
      <c r="L359" s="624"/>
      <c r="M359" s="624"/>
      <c r="N359" s="695"/>
      <c r="O359" s="696"/>
      <c r="P359" s="696"/>
    </row>
    <row r="360" spans="1:16" s="189" customFormat="1">
      <c r="C360" s="624" t="s">
        <v>2226</v>
      </c>
      <c r="D360" s="624"/>
      <c r="E360" s="624"/>
      <c r="F360" s="624"/>
      <c r="G360" s="624"/>
      <c r="H360" s="624"/>
      <c r="I360" s="624"/>
      <c r="J360" s="624" t="s">
        <v>1894</v>
      </c>
      <c r="K360" s="624"/>
      <c r="L360" s="624"/>
      <c r="M360" s="624"/>
      <c r="N360" s="695"/>
      <c r="O360" s="696"/>
      <c r="P360" s="696"/>
    </row>
    <row r="361" spans="1:16" s="189" customFormat="1" ht="15">
      <c r="C361" s="567" t="s">
        <v>2725</v>
      </c>
      <c r="D361" s="567"/>
      <c r="E361" s="567"/>
      <c r="F361" s="567"/>
      <c r="G361" s="567"/>
      <c r="H361" s="567"/>
      <c r="I361" s="567"/>
      <c r="J361" s="697" t="s">
        <v>241</v>
      </c>
      <c r="K361" s="567"/>
      <c r="L361" s="624"/>
      <c r="M361" s="624"/>
      <c r="N361" s="695"/>
      <c r="O361" s="696"/>
      <c r="P361" s="696"/>
    </row>
    <row r="362" spans="1:16" s="189" customFormat="1" ht="15">
      <c r="C362" s="567" t="s">
        <v>2227</v>
      </c>
      <c r="D362" s="567"/>
      <c r="E362" s="567"/>
      <c r="F362" s="567"/>
      <c r="G362" s="567"/>
      <c r="H362" s="567"/>
      <c r="I362" s="567"/>
      <c r="J362" s="697" t="s">
        <v>1763</v>
      </c>
      <c r="K362" s="567"/>
      <c r="L362" s="624"/>
      <c r="M362" s="624"/>
      <c r="N362" s="695"/>
      <c r="O362" s="696"/>
      <c r="P362" s="696"/>
    </row>
    <row r="363" spans="1:16" s="189" customFormat="1" ht="15">
      <c r="C363" s="567" t="s">
        <v>2228</v>
      </c>
      <c r="D363" s="567"/>
      <c r="E363" s="567"/>
      <c r="F363" s="567"/>
      <c r="G363" s="567"/>
      <c r="H363" s="567"/>
      <c r="I363" s="567"/>
      <c r="J363" s="697" t="s">
        <v>1764</v>
      </c>
      <c r="K363" s="567"/>
      <c r="L363" s="624"/>
      <c r="M363" s="624"/>
      <c r="N363" s="695"/>
      <c r="O363" s="696"/>
      <c r="P363" s="696"/>
    </row>
    <row r="364" spans="1:16" s="189" customFormat="1" ht="15">
      <c r="C364" s="698" t="s">
        <v>2229</v>
      </c>
      <c r="D364" s="567"/>
      <c r="E364" s="567"/>
      <c r="F364" s="567"/>
      <c r="G364" s="567"/>
      <c r="H364" s="567"/>
      <c r="I364" s="567"/>
      <c r="J364" s="697" t="s">
        <v>2672</v>
      </c>
      <c r="K364" s="567"/>
      <c r="L364" s="624"/>
      <c r="M364" s="624"/>
      <c r="N364" s="695"/>
      <c r="O364" s="696"/>
      <c r="P364" s="696"/>
    </row>
    <row r="365" spans="1:16" s="189" customFormat="1" ht="15">
      <c r="C365" s="698" t="s">
        <v>2230</v>
      </c>
      <c r="D365" s="567"/>
      <c r="E365" s="567"/>
      <c r="F365" s="567"/>
      <c r="G365" s="567"/>
      <c r="H365" s="567"/>
      <c r="I365" s="567"/>
      <c r="J365" s="697" t="s">
        <v>1765</v>
      </c>
      <c r="K365" s="567"/>
      <c r="L365" s="624"/>
      <c r="M365" s="624"/>
      <c r="N365" s="695"/>
      <c r="O365" s="696"/>
      <c r="P365" s="696"/>
    </row>
    <row r="366" spans="1:16" s="189" customFormat="1" ht="15">
      <c r="C366" s="698"/>
      <c r="D366" s="567"/>
      <c r="E366" s="567"/>
      <c r="F366" s="567"/>
      <c r="G366" s="567"/>
      <c r="H366" s="567"/>
      <c r="I366" s="567"/>
      <c r="J366" s="697" t="s">
        <v>1766</v>
      </c>
      <c r="K366" s="567"/>
      <c r="L366" s="624"/>
      <c r="M366" s="624"/>
      <c r="N366" s="695"/>
      <c r="O366" s="696"/>
      <c r="P366" s="696"/>
    </row>
    <row r="367" spans="1:16" s="189" customFormat="1" ht="15">
      <c r="C367" s="624" t="s">
        <v>1894</v>
      </c>
      <c r="D367" s="567"/>
      <c r="E367" s="567"/>
      <c r="F367" s="567"/>
      <c r="G367" s="567"/>
      <c r="H367" s="567"/>
      <c r="I367" s="567"/>
      <c r="J367" s="697" t="s">
        <v>1767</v>
      </c>
      <c r="K367" s="567"/>
      <c r="L367" s="624"/>
      <c r="M367" s="624"/>
      <c r="N367" s="695"/>
      <c r="O367" s="696"/>
      <c r="P367" s="696"/>
    </row>
    <row r="368" spans="1:16" s="189" customFormat="1" ht="15">
      <c r="C368" s="699" t="s">
        <v>1479</v>
      </c>
      <c r="D368" s="567"/>
      <c r="E368" s="567"/>
      <c r="F368" s="567"/>
      <c r="G368" s="567"/>
      <c r="H368" s="567"/>
      <c r="I368" s="567"/>
      <c r="J368" s="697" t="s">
        <v>1768</v>
      </c>
      <c r="K368" s="567"/>
      <c r="L368" s="624"/>
      <c r="M368" s="624"/>
      <c r="N368" s="695"/>
      <c r="O368" s="696"/>
      <c r="P368" s="696"/>
    </row>
    <row r="369" spans="3:16" s="189" customFormat="1" ht="15">
      <c r="C369" s="699" t="s">
        <v>1480</v>
      </c>
      <c r="D369" s="567"/>
      <c r="E369" s="567"/>
      <c r="F369" s="567"/>
      <c r="G369" s="567"/>
      <c r="H369" s="567"/>
      <c r="I369" s="567"/>
      <c r="J369" s="697" t="s">
        <v>1769</v>
      </c>
      <c r="K369" s="567"/>
      <c r="L369" s="624"/>
      <c r="M369" s="624"/>
      <c r="N369" s="695"/>
      <c r="O369" s="696"/>
      <c r="P369" s="696"/>
    </row>
    <row r="370" spans="3:16" s="189" customFormat="1" ht="15">
      <c r="C370" s="700" t="s">
        <v>2270</v>
      </c>
      <c r="D370" s="567"/>
      <c r="E370" s="567"/>
      <c r="F370" s="567"/>
      <c r="G370" s="567"/>
      <c r="H370" s="567"/>
      <c r="I370" s="567"/>
      <c r="J370" s="697" t="s">
        <v>1770</v>
      </c>
      <c r="K370" s="567"/>
      <c r="L370" s="624"/>
      <c r="M370" s="624"/>
      <c r="N370" s="695"/>
      <c r="O370" s="696"/>
      <c r="P370" s="696"/>
    </row>
    <row r="371" spans="3:16" s="189" customFormat="1" ht="15">
      <c r="C371" s="700" t="s">
        <v>1476</v>
      </c>
      <c r="D371" s="567"/>
      <c r="E371" s="567"/>
      <c r="F371" s="567"/>
      <c r="G371" s="567"/>
      <c r="H371" s="567"/>
      <c r="I371" s="567"/>
      <c r="J371" s="697" t="s">
        <v>628</v>
      </c>
      <c r="K371" s="567"/>
      <c r="L371" s="624"/>
      <c r="M371" s="624"/>
      <c r="N371" s="695"/>
      <c r="O371" s="696"/>
      <c r="P371" s="696"/>
    </row>
    <row r="372" spans="3:16" s="189" customFormat="1" ht="15">
      <c r="C372" s="700" t="s">
        <v>1477</v>
      </c>
      <c r="D372" s="567"/>
      <c r="E372" s="567"/>
      <c r="F372" s="567"/>
      <c r="G372" s="567"/>
      <c r="H372" s="567"/>
      <c r="I372" s="567"/>
      <c r="J372" s="697" t="s">
        <v>1771</v>
      </c>
      <c r="K372" s="567"/>
      <c r="L372" s="624"/>
      <c r="M372" s="624"/>
      <c r="N372" s="695"/>
      <c r="O372" s="696"/>
      <c r="P372" s="696"/>
    </row>
    <row r="373" spans="3:16" s="189" customFormat="1" ht="15">
      <c r="C373" s="699" t="s">
        <v>2265</v>
      </c>
      <c r="D373" s="567"/>
      <c r="E373" s="567"/>
      <c r="F373" s="567"/>
      <c r="G373" s="567"/>
      <c r="H373" s="567"/>
      <c r="I373" s="567"/>
      <c r="J373" s="697" t="s">
        <v>1772</v>
      </c>
      <c r="K373" s="567"/>
      <c r="L373" s="624"/>
      <c r="M373" s="624"/>
      <c r="N373" s="695"/>
      <c r="O373" s="696"/>
      <c r="P373" s="696"/>
    </row>
    <row r="374" spans="3:16" s="189" customFormat="1" ht="15">
      <c r="C374" s="699" t="s">
        <v>2266</v>
      </c>
      <c r="D374" s="567"/>
      <c r="E374" s="567"/>
      <c r="F374" s="567"/>
      <c r="G374" s="567"/>
      <c r="H374" s="567"/>
      <c r="I374" s="567"/>
      <c r="J374" s="697" t="s">
        <v>1773</v>
      </c>
      <c r="K374" s="624"/>
      <c r="L374" s="624"/>
      <c r="M374" s="624"/>
      <c r="N374" s="695"/>
      <c r="O374" s="696"/>
      <c r="P374" s="696"/>
    </row>
    <row r="375" spans="3:16" s="189" customFormat="1" ht="15">
      <c r="C375" s="699" t="s">
        <v>2267</v>
      </c>
      <c r="D375" s="624"/>
      <c r="E375" s="624"/>
      <c r="F375" s="624"/>
      <c r="G375" s="624"/>
      <c r="H375" s="624"/>
      <c r="I375" s="624"/>
      <c r="J375" s="697" t="s">
        <v>37</v>
      </c>
      <c r="K375" s="624"/>
      <c r="L375" s="624"/>
      <c r="M375" s="624"/>
      <c r="N375" s="695"/>
      <c r="O375" s="696"/>
      <c r="P375" s="696"/>
    </row>
    <row r="376" spans="3:16" s="189" customFormat="1" ht="15">
      <c r="C376" s="699" t="s">
        <v>2268</v>
      </c>
      <c r="D376" s="624"/>
      <c r="E376" s="624"/>
      <c r="F376" s="624"/>
      <c r="G376" s="624"/>
      <c r="H376" s="624"/>
      <c r="I376" s="624"/>
      <c r="J376" s="701"/>
      <c r="K376" s="624"/>
      <c r="L376" s="624"/>
      <c r="M376" s="624"/>
      <c r="N376" s="695"/>
      <c r="O376" s="696"/>
      <c r="P376" s="696"/>
    </row>
    <row r="377" spans="3:16" s="189" customFormat="1">
      <c r="C377" s="699" t="s">
        <v>2269</v>
      </c>
      <c r="D377" s="624"/>
      <c r="E377" s="624"/>
      <c r="F377" s="624"/>
      <c r="G377" s="624"/>
      <c r="H377" s="624"/>
      <c r="I377" s="624"/>
      <c r="J377" s="624"/>
      <c r="K377" s="624"/>
      <c r="L377" s="624"/>
      <c r="M377" s="624"/>
      <c r="N377" s="695"/>
      <c r="O377" s="696"/>
      <c r="P377" s="696"/>
    </row>
    <row r="378" spans="3:16" s="189" customFormat="1">
      <c r="C378" s="699" t="s">
        <v>1478</v>
      </c>
      <c r="D378" s="624"/>
      <c r="E378" s="624"/>
      <c r="F378" s="624"/>
      <c r="G378" s="624"/>
      <c r="H378" s="624"/>
      <c r="I378" s="624"/>
      <c r="J378" s="624"/>
      <c r="K378" s="624"/>
      <c r="L378" s="624"/>
      <c r="M378" s="624"/>
      <c r="N378" s="695"/>
      <c r="O378" s="696"/>
      <c r="P378" s="696"/>
    </row>
    <row r="379" spans="3:16" s="189" customFormat="1">
      <c r="C379" s="699" t="s">
        <v>2429</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3239</v>
      </c>
      <c r="D382" s="624"/>
      <c r="E382" s="624"/>
      <c r="F382" s="624"/>
      <c r="G382" s="703" t="s">
        <v>1604</v>
      </c>
      <c r="H382" s="703" t="s">
        <v>1605</v>
      </c>
      <c r="I382" s="703" t="s">
        <v>1606</v>
      </c>
      <c r="J382" s="624"/>
      <c r="K382" s="624"/>
      <c r="L382" s="624"/>
      <c r="M382" s="624"/>
      <c r="N382" s="695"/>
      <c r="O382" s="696"/>
      <c r="P382" s="696"/>
    </row>
    <row r="383" spans="3:16" s="189" customFormat="1" ht="38.25">
      <c r="C383" s="704" t="s">
        <v>3241</v>
      </c>
      <c r="D383" s="624"/>
      <c r="E383" s="624"/>
      <c r="F383" s="624"/>
      <c r="G383" s="705" t="s">
        <v>2692</v>
      </c>
      <c r="H383" s="705" t="s">
        <v>2693</v>
      </c>
      <c r="I383" s="705" t="s">
        <v>1262</v>
      </c>
      <c r="J383" s="624"/>
      <c r="K383" s="624"/>
      <c r="L383" s="624"/>
      <c r="M383" s="624"/>
      <c r="N383" s="695"/>
      <c r="O383" s="696"/>
      <c r="P383" s="696"/>
    </row>
    <row r="384" spans="3:16" s="189" customFormat="1">
      <c r="C384" s="704" t="s">
        <v>3242</v>
      </c>
      <c r="D384" s="624"/>
      <c r="E384" s="624"/>
      <c r="F384" s="624"/>
      <c r="G384" s="705" t="s">
        <v>1905</v>
      </c>
      <c r="H384" s="706" t="s">
        <v>1066</v>
      </c>
      <c r="I384" s="706" t="s">
        <v>1402</v>
      </c>
      <c r="J384" s="624"/>
      <c r="K384" s="624"/>
      <c r="L384" s="624"/>
      <c r="M384" s="624"/>
      <c r="N384" s="695"/>
      <c r="O384" s="696"/>
      <c r="P384" s="696"/>
    </row>
    <row r="385" spans="3:16" s="189" customFormat="1" ht="25.5">
      <c r="C385" s="704" t="s">
        <v>3243</v>
      </c>
      <c r="D385" s="624"/>
      <c r="E385" s="624"/>
      <c r="F385" s="624"/>
      <c r="G385" s="705" t="s">
        <v>1746</v>
      </c>
      <c r="H385" s="706" t="s">
        <v>1417</v>
      </c>
      <c r="I385" s="706" t="s">
        <v>1414</v>
      </c>
      <c r="J385" s="624"/>
      <c r="K385" s="624"/>
      <c r="L385" s="624"/>
      <c r="M385" s="624"/>
      <c r="N385" s="695"/>
      <c r="O385" s="696"/>
      <c r="P385" s="696"/>
    </row>
    <row r="386" spans="3:16" s="189" customFormat="1">
      <c r="C386" s="704" t="s">
        <v>3244</v>
      </c>
      <c r="D386" s="624"/>
      <c r="E386" s="624"/>
      <c r="F386" s="624"/>
      <c r="G386" s="705" t="s">
        <v>2208</v>
      </c>
      <c r="H386" s="706" t="s">
        <v>2712</v>
      </c>
      <c r="I386" s="706" t="s">
        <v>1417</v>
      </c>
      <c r="J386" s="624"/>
      <c r="K386" s="624"/>
      <c r="L386" s="624"/>
      <c r="M386" s="624"/>
      <c r="N386" s="695"/>
      <c r="O386" s="696"/>
      <c r="P386" s="696"/>
    </row>
    <row r="387" spans="3:16" s="189" customFormat="1" ht="25.5">
      <c r="C387" s="704" t="s">
        <v>3245</v>
      </c>
      <c r="D387" s="624"/>
      <c r="E387" s="624"/>
      <c r="F387" s="624"/>
      <c r="G387" s="705" t="s">
        <v>1747</v>
      </c>
      <c r="H387" s="706" t="s">
        <v>2713</v>
      </c>
      <c r="I387" s="706" t="s">
        <v>2648</v>
      </c>
      <c r="J387" s="624"/>
      <c r="K387" s="624"/>
      <c r="L387" s="624"/>
      <c r="M387" s="624"/>
      <c r="N387" s="695"/>
      <c r="O387" s="696"/>
      <c r="P387" s="696"/>
    </row>
    <row r="388" spans="3:16" s="189" customFormat="1">
      <c r="C388" s="704" t="s">
        <v>3246</v>
      </c>
      <c r="D388" s="624"/>
      <c r="E388" s="624"/>
      <c r="F388" s="624"/>
      <c r="G388" s="705" t="s">
        <v>12</v>
      </c>
      <c r="H388" s="706" t="s">
        <v>2061</v>
      </c>
      <c r="I388" s="706" t="s">
        <v>2654</v>
      </c>
      <c r="J388" s="624"/>
      <c r="K388" s="624"/>
      <c r="L388" s="624"/>
      <c r="M388" s="624"/>
      <c r="N388" s="695"/>
      <c r="O388" s="696"/>
      <c r="P388" s="696"/>
    </row>
    <row r="389" spans="3:16" s="189" customFormat="1">
      <c r="C389" s="704"/>
      <c r="D389" s="624"/>
      <c r="E389" s="624"/>
      <c r="F389" s="624"/>
      <c r="G389" s="705" t="s">
        <v>1417</v>
      </c>
      <c r="H389" s="706" t="s">
        <v>2426</v>
      </c>
      <c r="I389" s="706" t="s">
        <v>2656</v>
      </c>
      <c r="J389" s="624"/>
      <c r="K389" s="624"/>
      <c r="L389" s="624"/>
      <c r="M389" s="624"/>
      <c r="N389" s="695"/>
      <c r="O389" s="696"/>
      <c r="P389" s="696"/>
    </row>
    <row r="390" spans="3:16" s="189" customFormat="1">
      <c r="C390" s="704"/>
      <c r="D390" s="624"/>
      <c r="E390" s="624"/>
      <c r="F390" s="624"/>
      <c r="G390" s="705" t="s">
        <v>1607</v>
      </c>
      <c r="H390" s="706" t="s">
        <v>2714</v>
      </c>
      <c r="I390" s="706" t="s">
        <v>2701</v>
      </c>
      <c r="J390" s="624"/>
      <c r="K390" s="624"/>
      <c r="L390" s="624"/>
      <c r="M390" s="624"/>
      <c r="N390" s="695"/>
      <c r="O390" s="696"/>
      <c r="P390" s="696"/>
    </row>
    <row r="391" spans="3:16" s="189" customFormat="1">
      <c r="C391" s="704"/>
      <c r="D391" s="624"/>
      <c r="E391" s="624"/>
      <c r="F391" s="624"/>
      <c r="G391" s="705" t="s">
        <v>1083</v>
      </c>
      <c r="H391" s="706" t="s">
        <v>704</v>
      </c>
      <c r="I391" s="706" t="s">
        <v>204</v>
      </c>
      <c r="J391" s="624"/>
      <c r="K391" s="624"/>
      <c r="L391" s="624"/>
      <c r="M391" s="624"/>
      <c r="N391" s="695"/>
      <c r="O391" s="696"/>
      <c r="P391" s="696"/>
    </row>
    <row r="392" spans="3:16" s="189" customFormat="1">
      <c r="C392" s="624"/>
      <c r="D392" s="624"/>
      <c r="E392" s="624"/>
      <c r="F392" s="624"/>
      <c r="G392" s="705" t="s">
        <v>2656</v>
      </c>
      <c r="H392" s="706" t="s">
        <v>1760</v>
      </c>
      <c r="I392" s="706" t="s">
        <v>1009</v>
      </c>
      <c r="J392" s="624"/>
      <c r="K392" s="624"/>
      <c r="L392" s="624"/>
      <c r="M392" s="624"/>
      <c r="N392" s="695"/>
      <c r="O392" s="696"/>
      <c r="P392" s="696"/>
    </row>
    <row r="393" spans="3:16" s="189" customFormat="1" ht="25.5">
      <c r="C393" s="624"/>
      <c r="D393" s="624"/>
      <c r="E393" s="624"/>
      <c r="F393" s="624"/>
      <c r="G393" s="705" t="s">
        <v>2195</v>
      </c>
      <c r="H393" s="706" t="s">
        <v>2715</v>
      </c>
      <c r="I393" s="706" t="s">
        <v>1011</v>
      </c>
      <c r="J393" s="624"/>
      <c r="K393" s="624"/>
      <c r="L393" s="624"/>
      <c r="M393" s="624"/>
      <c r="N393" s="695"/>
      <c r="O393" s="696"/>
      <c r="P393" s="696"/>
    </row>
    <row r="394" spans="3:16" s="189" customFormat="1" ht="25.5">
      <c r="C394" s="702" t="s">
        <v>3248</v>
      </c>
      <c r="D394" s="624"/>
      <c r="E394" s="624"/>
      <c r="F394" s="624"/>
      <c r="G394" s="705" t="s">
        <v>641</v>
      </c>
      <c r="H394" s="706" t="s">
        <v>1608</v>
      </c>
      <c r="I394" s="706" t="s">
        <v>928</v>
      </c>
      <c r="J394" s="624"/>
      <c r="K394" s="624"/>
      <c r="L394" s="624"/>
      <c r="M394" s="624"/>
      <c r="N394" s="695"/>
      <c r="O394" s="696"/>
      <c r="P394" s="696"/>
    </row>
    <row r="395" spans="3:16" s="189" customFormat="1">
      <c r="C395" s="702" t="s">
        <v>3299</v>
      </c>
      <c r="D395" s="624"/>
      <c r="E395" s="624"/>
      <c r="F395" s="624"/>
      <c r="G395" s="705" t="s">
        <v>353</v>
      </c>
      <c r="H395" s="706" t="s">
        <v>2415</v>
      </c>
      <c r="I395" s="706" t="s">
        <v>932</v>
      </c>
      <c r="J395" s="624"/>
      <c r="K395" s="624"/>
      <c r="L395" s="624"/>
      <c r="M395" s="624"/>
      <c r="N395" s="695"/>
      <c r="O395" s="696"/>
      <c r="P395" s="696"/>
    </row>
    <row r="396" spans="3:16" s="189" customFormat="1">
      <c r="C396" s="704" t="s">
        <v>3300</v>
      </c>
      <c r="D396" s="624"/>
      <c r="E396" s="624"/>
      <c r="F396" s="624"/>
      <c r="G396" s="705" t="s">
        <v>927</v>
      </c>
      <c r="H396" s="706" t="s">
        <v>2022</v>
      </c>
      <c r="I396" s="706" t="s">
        <v>709</v>
      </c>
      <c r="J396" s="624"/>
      <c r="K396" s="624"/>
      <c r="L396" s="624"/>
      <c r="M396" s="624"/>
      <c r="N396" s="695"/>
      <c r="O396" s="696"/>
      <c r="P396" s="696"/>
    </row>
    <row r="397" spans="3:16" s="189" customFormat="1" ht="51">
      <c r="C397" s="704" t="s">
        <v>3301</v>
      </c>
      <c r="D397" s="624"/>
      <c r="E397" s="624"/>
      <c r="F397" s="624"/>
      <c r="G397" s="705" t="s">
        <v>2057</v>
      </c>
      <c r="H397" s="706" t="s">
        <v>2718</v>
      </c>
      <c r="I397" s="706" t="s">
        <v>714</v>
      </c>
      <c r="J397" s="624"/>
      <c r="K397" s="624"/>
      <c r="L397" s="624"/>
      <c r="M397" s="624"/>
      <c r="N397" s="695"/>
      <c r="O397" s="696"/>
      <c r="P397" s="696"/>
    </row>
    <row r="398" spans="3:16" s="189" customFormat="1">
      <c r="C398" s="704" t="s">
        <v>3303</v>
      </c>
      <c r="D398" s="624"/>
      <c r="E398" s="624"/>
      <c r="F398" s="624"/>
      <c r="G398" s="705" t="s">
        <v>479</v>
      </c>
      <c r="H398" s="706" t="s">
        <v>2711</v>
      </c>
      <c r="I398" s="706" t="s">
        <v>330</v>
      </c>
      <c r="J398" s="624"/>
      <c r="K398" s="624"/>
      <c r="L398" s="624"/>
      <c r="M398" s="624"/>
      <c r="N398" s="695"/>
      <c r="O398" s="696"/>
      <c r="P398" s="696"/>
    </row>
    <row r="399" spans="3:16" s="189" customFormat="1" ht="25.5">
      <c r="C399" s="704" t="s">
        <v>3302</v>
      </c>
      <c r="D399" s="624"/>
      <c r="E399" s="624"/>
      <c r="F399" s="624"/>
      <c r="G399" s="705" t="s">
        <v>245</v>
      </c>
      <c r="H399" s="706" t="s">
        <v>2716</v>
      </c>
      <c r="I399" s="706" t="s">
        <v>339</v>
      </c>
      <c r="J399" s="624"/>
      <c r="K399" s="624"/>
      <c r="L399" s="624"/>
      <c r="M399" s="624"/>
      <c r="N399" s="695"/>
      <c r="O399" s="696"/>
      <c r="P399" s="696"/>
    </row>
    <row r="400" spans="3:16" s="189" customFormat="1">
      <c r="C400" s="704" t="s">
        <v>3304</v>
      </c>
      <c r="D400" s="624"/>
      <c r="E400" s="624"/>
      <c r="F400" s="624"/>
      <c r="G400" s="705" t="s">
        <v>1297</v>
      </c>
      <c r="H400" s="706" t="s">
        <v>2717</v>
      </c>
      <c r="I400" s="706" t="s">
        <v>346</v>
      </c>
      <c r="J400" s="624"/>
      <c r="K400" s="624"/>
      <c r="L400" s="624"/>
      <c r="M400" s="624"/>
      <c r="N400" s="695"/>
      <c r="O400" s="696"/>
      <c r="P400" s="696"/>
    </row>
    <row r="401" spans="3:16" s="189" customFormat="1">
      <c r="C401" s="704"/>
      <c r="D401" s="624"/>
      <c r="E401" s="624"/>
      <c r="F401" s="624"/>
      <c r="G401" s="705" t="s">
        <v>1299</v>
      </c>
      <c r="H401" s="706" t="s">
        <v>1609</v>
      </c>
      <c r="I401" s="706" t="s">
        <v>348</v>
      </c>
      <c r="J401" s="624"/>
      <c r="K401" s="624"/>
      <c r="L401" s="624"/>
      <c r="M401" s="624"/>
      <c r="N401" s="695"/>
      <c r="O401" s="696"/>
      <c r="P401" s="696"/>
    </row>
    <row r="402" spans="3:16" s="189" customFormat="1" ht="25.5">
      <c r="C402" s="704"/>
      <c r="D402" s="624"/>
      <c r="E402" s="624"/>
      <c r="F402" s="624"/>
      <c r="G402" s="705" t="s">
        <v>1748</v>
      </c>
      <c r="H402" s="706"/>
      <c r="I402" s="706" t="s">
        <v>1550</v>
      </c>
      <c r="J402" s="624"/>
      <c r="K402" s="624"/>
      <c r="L402" s="624"/>
      <c r="M402" s="624"/>
      <c r="N402" s="695"/>
      <c r="O402" s="696"/>
      <c r="P402" s="696"/>
    </row>
    <row r="403" spans="3:16" s="189" customFormat="1">
      <c r="C403" s="704"/>
      <c r="D403" s="624"/>
      <c r="E403" s="624"/>
      <c r="F403" s="624"/>
      <c r="G403" s="705" t="s">
        <v>1044</v>
      </c>
      <c r="H403" s="706"/>
      <c r="I403" s="706" t="s">
        <v>1552</v>
      </c>
      <c r="J403" s="624"/>
      <c r="K403" s="624"/>
      <c r="L403" s="624"/>
      <c r="M403" s="624"/>
      <c r="N403" s="695"/>
      <c r="O403" s="696"/>
      <c r="P403" s="696"/>
    </row>
    <row r="404" spans="3:16" s="189" customFormat="1">
      <c r="C404" s="704"/>
      <c r="D404" s="624"/>
      <c r="E404" s="624"/>
      <c r="F404" s="624"/>
      <c r="G404" s="705" t="s">
        <v>609</v>
      </c>
      <c r="H404" s="706"/>
      <c r="I404" s="706" t="s">
        <v>1405</v>
      </c>
      <c r="J404" s="624"/>
      <c r="K404" s="624"/>
      <c r="L404" s="624"/>
      <c r="M404" s="624"/>
      <c r="N404" s="695"/>
      <c r="O404" s="696"/>
      <c r="P404" s="696"/>
    </row>
    <row r="405" spans="3:16" s="189" customFormat="1">
      <c r="C405" s="624"/>
      <c r="D405" s="624"/>
      <c r="E405" s="624"/>
      <c r="F405" s="624"/>
      <c r="G405" s="705" t="s">
        <v>1749</v>
      </c>
      <c r="H405" s="706"/>
      <c r="I405" s="706" t="s">
        <v>375</v>
      </c>
      <c r="J405" s="624"/>
      <c r="K405" s="624"/>
      <c r="L405" s="624"/>
      <c r="M405" s="624"/>
      <c r="N405" s="695"/>
      <c r="O405" s="696"/>
      <c r="P405" s="696"/>
    </row>
    <row r="406" spans="3:16" s="189" customFormat="1">
      <c r="C406" s="624"/>
      <c r="D406" s="624"/>
      <c r="E406" s="624"/>
      <c r="F406" s="624"/>
      <c r="G406" s="705" t="s">
        <v>1797</v>
      </c>
      <c r="H406" s="706"/>
      <c r="I406" s="706" t="s">
        <v>2008</v>
      </c>
      <c r="J406" s="624"/>
      <c r="K406" s="624"/>
      <c r="L406" s="624"/>
      <c r="M406" s="624"/>
      <c r="N406" s="695"/>
      <c r="O406" s="696"/>
      <c r="P406" s="696"/>
    </row>
    <row r="407" spans="3:16" s="189" customFormat="1">
      <c r="C407" s="624"/>
      <c r="D407" s="624"/>
      <c r="E407" s="624"/>
      <c r="F407" s="624"/>
      <c r="G407" s="705" t="s">
        <v>1862</v>
      </c>
      <c r="H407" s="706"/>
      <c r="I407" s="706" t="s">
        <v>2010</v>
      </c>
      <c r="J407" s="624"/>
      <c r="K407" s="624"/>
      <c r="L407" s="624"/>
      <c r="M407" s="624"/>
      <c r="N407" s="695"/>
      <c r="O407" s="696"/>
      <c r="P407" s="696"/>
    </row>
    <row r="408" spans="3:16" s="189" customFormat="1">
      <c r="C408" s="624"/>
      <c r="D408" s="624"/>
      <c r="E408" s="624"/>
      <c r="F408" s="624"/>
      <c r="G408" s="705" t="s">
        <v>874</v>
      </c>
      <c r="H408" s="706"/>
      <c r="I408" s="706" t="s">
        <v>1741</v>
      </c>
      <c r="J408" s="624"/>
      <c r="K408" s="624"/>
      <c r="L408" s="624"/>
      <c r="M408" s="624"/>
      <c r="N408" s="695"/>
      <c r="O408" s="696"/>
      <c r="P408" s="696"/>
    </row>
    <row r="409" spans="3:16" s="189" customFormat="1">
      <c r="C409" s="624"/>
      <c r="D409" s="624"/>
      <c r="E409" s="624"/>
      <c r="F409" s="624"/>
      <c r="G409" s="705" t="s">
        <v>553</v>
      </c>
      <c r="H409" s="706"/>
      <c r="I409" s="706" t="s">
        <v>1743</v>
      </c>
      <c r="J409" s="624"/>
      <c r="K409" s="624"/>
      <c r="L409" s="624"/>
      <c r="M409" s="624"/>
      <c r="N409" s="695"/>
      <c r="O409" s="696"/>
      <c r="P409" s="696"/>
    </row>
    <row r="410" spans="3:16" s="189" customFormat="1">
      <c r="C410" s="624"/>
      <c r="D410" s="624"/>
      <c r="E410" s="624"/>
      <c r="F410" s="624"/>
      <c r="G410" s="705" t="s">
        <v>561</v>
      </c>
      <c r="H410" s="706"/>
      <c r="I410" s="706" t="s">
        <v>1171</v>
      </c>
      <c r="J410" s="624"/>
      <c r="K410" s="624"/>
      <c r="L410" s="624"/>
      <c r="M410" s="624"/>
      <c r="N410" s="695"/>
      <c r="O410" s="696"/>
      <c r="P410" s="696"/>
    </row>
    <row r="411" spans="3:16" s="189" customFormat="1">
      <c r="C411" s="624"/>
      <c r="D411" s="624"/>
      <c r="E411" s="624"/>
      <c r="F411" s="624"/>
      <c r="G411" s="705" t="s">
        <v>2232</v>
      </c>
      <c r="H411" s="706"/>
      <c r="I411" s="706" t="s">
        <v>1175</v>
      </c>
      <c r="J411" s="624"/>
      <c r="K411" s="624"/>
      <c r="L411" s="624"/>
      <c r="M411" s="624"/>
      <c r="N411" s="695"/>
      <c r="O411" s="696"/>
      <c r="P411" s="696"/>
    </row>
    <row r="412" spans="3:16" s="189" customFormat="1">
      <c r="C412" s="624"/>
      <c r="D412" s="624"/>
      <c r="E412" s="624"/>
      <c r="F412" s="624"/>
      <c r="G412" s="705" t="s">
        <v>417</v>
      </c>
      <c r="H412" s="706"/>
      <c r="I412" s="706" t="s">
        <v>2309</v>
      </c>
      <c r="J412" s="624"/>
      <c r="K412" s="624"/>
      <c r="L412" s="624"/>
      <c r="M412" s="624"/>
      <c r="N412" s="695"/>
      <c r="O412" s="696"/>
      <c r="P412" s="696"/>
    </row>
    <row r="413" spans="3:16" s="189" customFormat="1">
      <c r="C413" s="624"/>
      <c r="D413" s="624"/>
      <c r="E413" s="624"/>
      <c r="F413" s="624"/>
      <c r="G413" s="705" t="s">
        <v>2259</v>
      </c>
      <c r="H413" s="706"/>
      <c r="I413" s="706" t="s">
        <v>2314</v>
      </c>
      <c r="J413" s="624"/>
      <c r="K413" s="624"/>
      <c r="L413" s="624"/>
      <c r="M413" s="624"/>
      <c r="N413" s="695"/>
      <c r="O413" s="696"/>
      <c r="P413" s="696"/>
    </row>
    <row r="414" spans="3:16" s="189" customFormat="1">
      <c r="C414" s="624"/>
      <c r="D414" s="624"/>
      <c r="E414" s="624"/>
      <c r="F414" s="624"/>
      <c r="G414" s="705" t="s">
        <v>1535</v>
      </c>
      <c r="H414" s="706"/>
      <c r="I414" s="706" t="s">
        <v>2316</v>
      </c>
      <c r="J414" s="624"/>
      <c r="K414" s="624"/>
      <c r="L414" s="624"/>
      <c r="M414" s="624"/>
      <c r="N414" s="695"/>
      <c r="O414" s="696"/>
      <c r="P414" s="696"/>
    </row>
    <row r="415" spans="3:16" s="189" customFormat="1" ht="13.5">
      <c r="C415" s="624"/>
      <c r="D415" s="707"/>
      <c r="E415" s="624"/>
      <c r="F415" s="624"/>
      <c r="G415" s="705" t="s">
        <v>258</v>
      </c>
      <c r="H415" s="708"/>
      <c r="I415" s="706" t="s">
        <v>2320</v>
      </c>
      <c r="J415" s="624"/>
      <c r="K415" s="624"/>
      <c r="L415" s="624"/>
      <c r="M415" s="624"/>
      <c r="N415" s="695"/>
      <c r="O415" s="696"/>
      <c r="P415" s="696"/>
    </row>
    <row r="416" spans="3:16" s="189" customFormat="1" ht="13.5">
      <c r="C416" s="707"/>
      <c r="D416" s="707"/>
      <c r="E416" s="624"/>
      <c r="F416" s="624"/>
      <c r="G416" s="705" t="s">
        <v>70</v>
      </c>
      <c r="H416" s="708"/>
      <c r="I416" s="706" t="s">
        <v>2324</v>
      </c>
      <c r="J416" s="624"/>
      <c r="K416" s="624"/>
      <c r="L416" s="624"/>
      <c r="M416" s="624"/>
      <c r="N416" s="695"/>
      <c r="O416" s="696"/>
      <c r="P416" s="696"/>
    </row>
    <row r="417" spans="1:16" s="189" customFormat="1" ht="13.5">
      <c r="C417" s="707"/>
      <c r="D417" s="709"/>
      <c r="E417" s="624"/>
      <c r="F417" s="624"/>
      <c r="G417" s="705" t="s">
        <v>2415</v>
      </c>
      <c r="H417" s="708"/>
      <c r="I417" s="706" t="s">
        <v>1777</v>
      </c>
      <c r="J417" s="624"/>
      <c r="K417" s="624"/>
      <c r="L417" s="624"/>
      <c r="M417" s="624"/>
      <c r="N417" s="695"/>
      <c r="O417" s="696"/>
      <c r="P417" s="696"/>
    </row>
    <row r="418" spans="1:16" s="189" customFormat="1">
      <c r="C418" s="707"/>
      <c r="D418" s="709"/>
      <c r="E418" s="709"/>
      <c r="F418" s="624"/>
      <c r="G418" s="705" t="s">
        <v>2302</v>
      </c>
      <c r="H418" s="624"/>
      <c r="I418" s="706" t="s">
        <v>1778</v>
      </c>
      <c r="J418" s="624"/>
      <c r="K418" s="624"/>
      <c r="L418" s="624"/>
      <c r="M418" s="624"/>
      <c r="N418" s="695"/>
      <c r="O418" s="696"/>
      <c r="P418" s="696"/>
    </row>
    <row r="419" spans="1:16" s="189" customFormat="1" ht="51">
      <c r="C419" s="707"/>
      <c r="D419" s="624"/>
      <c r="E419" s="624"/>
      <c r="F419" s="624"/>
      <c r="G419" s="705" t="s">
        <v>1750</v>
      </c>
      <c r="H419" s="624"/>
      <c r="I419" s="706" t="s">
        <v>2052</v>
      </c>
      <c r="J419" s="624"/>
      <c r="K419" s="624"/>
      <c r="L419" s="624"/>
      <c r="M419" s="624"/>
      <c r="N419" s="695"/>
      <c r="O419" s="696"/>
      <c r="P419" s="696"/>
    </row>
    <row r="420" spans="1:16" s="189" customFormat="1">
      <c r="C420" s="707"/>
      <c r="D420" s="624"/>
      <c r="E420" s="624"/>
      <c r="F420" s="624"/>
      <c r="G420" s="705" t="s">
        <v>2405</v>
      </c>
      <c r="H420" s="624"/>
      <c r="I420" s="625" t="s">
        <v>107</v>
      </c>
      <c r="J420" s="624"/>
      <c r="K420" s="624"/>
      <c r="L420" s="624"/>
      <c r="M420" s="624"/>
      <c r="N420" s="695"/>
      <c r="O420" s="696"/>
      <c r="P420" s="696"/>
    </row>
    <row r="421" spans="1:16" s="189" customFormat="1" ht="13.5">
      <c r="C421" s="707"/>
      <c r="D421" s="624"/>
      <c r="E421" s="624"/>
      <c r="F421" s="624"/>
      <c r="G421" s="705" t="s">
        <v>2407</v>
      </c>
      <c r="H421" s="624"/>
      <c r="I421" s="708" t="s">
        <v>113</v>
      </c>
      <c r="J421" s="624"/>
      <c r="K421" s="624"/>
      <c r="L421" s="624"/>
      <c r="M421" s="624"/>
      <c r="N421" s="695"/>
      <c r="O421" s="696"/>
      <c r="P421" s="696"/>
    </row>
    <row r="422" spans="1:16" s="189" customFormat="1" ht="13.5">
      <c r="C422" s="707"/>
      <c r="D422" s="624"/>
      <c r="E422" s="624"/>
      <c r="F422" s="624"/>
      <c r="G422" s="710" t="s">
        <v>2264</v>
      </c>
      <c r="H422" s="624"/>
      <c r="I422" s="708" t="s">
        <v>2555</v>
      </c>
      <c r="J422" s="624"/>
      <c r="K422" s="624"/>
      <c r="L422" s="624"/>
      <c r="M422" s="624"/>
      <c r="N422" s="695"/>
      <c r="O422" s="696"/>
      <c r="P422" s="696"/>
    </row>
    <row r="423" spans="1:16" s="189" customFormat="1" ht="13.5">
      <c r="C423" s="709"/>
      <c r="D423" s="624"/>
      <c r="E423" s="624"/>
      <c r="F423" s="624"/>
      <c r="G423" s="710" t="s">
        <v>1751</v>
      </c>
      <c r="H423" s="624"/>
      <c r="I423" s="708" t="s">
        <v>2557</v>
      </c>
      <c r="J423" s="624"/>
      <c r="K423" s="624"/>
      <c r="L423" s="624"/>
      <c r="M423" s="624"/>
      <c r="N423" s="695"/>
      <c r="O423" s="696"/>
      <c r="P423" s="696"/>
    </row>
    <row r="424" spans="1:16" s="189" customFormat="1" ht="13.5">
      <c r="C424" s="709"/>
      <c r="D424" s="624"/>
      <c r="E424" s="624"/>
      <c r="F424" s="624"/>
      <c r="G424" s="710" t="s">
        <v>2483</v>
      </c>
      <c r="H424" s="624"/>
      <c r="I424" s="708" t="s">
        <v>2559</v>
      </c>
      <c r="J424" s="624"/>
      <c r="K424" s="624"/>
      <c r="L424" s="624"/>
      <c r="M424" s="624"/>
      <c r="N424" s="695"/>
      <c r="O424" s="696"/>
      <c r="P424" s="696"/>
    </row>
    <row r="425" spans="1:16" s="189" customFormat="1" ht="13.5">
      <c r="C425" s="624"/>
      <c r="D425" s="624"/>
      <c r="E425" s="624"/>
      <c r="F425" s="624"/>
      <c r="G425" s="710" t="s">
        <v>2408</v>
      </c>
      <c r="H425" s="624"/>
      <c r="I425" s="624"/>
      <c r="J425" s="624"/>
      <c r="K425" s="624"/>
      <c r="L425" s="624"/>
      <c r="M425" s="624"/>
      <c r="N425" s="695"/>
      <c r="O425" s="696"/>
      <c r="P425" s="696"/>
    </row>
    <row r="426" spans="1:16" s="189" customFormat="1" ht="13.5">
      <c r="C426" s="624"/>
      <c r="D426" s="624"/>
      <c r="E426" s="624"/>
      <c r="F426" s="624"/>
      <c r="G426" s="710" t="s">
        <v>1814</v>
      </c>
      <c r="H426" s="624"/>
      <c r="I426" s="624"/>
      <c r="J426" s="624"/>
      <c r="K426" s="624"/>
      <c r="L426" s="624"/>
      <c r="M426" s="624"/>
      <c r="N426" s="695"/>
      <c r="O426" s="696"/>
      <c r="P426" s="696"/>
    </row>
    <row r="427" spans="1:16" s="189" customFormat="1" ht="13.5">
      <c r="C427" s="624"/>
      <c r="D427" s="624"/>
      <c r="E427" s="624"/>
      <c r="F427" s="624"/>
      <c r="G427" s="710" t="s">
        <v>1819</v>
      </c>
      <c r="H427" s="624"/>
      <c r="I427" s="624"/>
      <c r="J427" s="624"/>
      <c r="K427" s="624"/>
      <c r="L427" s="624"/>
      <c r="M427" s="624"/>
      <c r="N427" s="695"/>
      <c r="O427" s="696"/>
      <c r="P427" s="696"/>
    </row>
    <row r="428" spans="1:16" s="189" customFormat="1" ht="13.5">
      <c r="C428" s="624"/>
      <c r="D428" s="624"/>
      <c r="E428" s="624"/>
      <c r="F428" s="624"/>
      <c r="G428" s="710" t="s">
        <v>1822</v>
      </c>
      <c r="H428" s="624"/>
      <c r="I428" s="624"/>
      <c r="J428" s="624"/>
      <c r="K428" s="624"/>
      <c r="L428" s="624"/>
      <c r="M428" s="624"/>
      <c r="N428" s="695"/>
      <c r="O428" s="696"/>
      <c r="P428" s="696"/>
    </row>
    <row r="429" spans="1:16" s="189" customFormat="1">
      <c r="C429" s="624"/>
      <c r="D429" s="624"/>
      <c r="E429" s="624"/>
      <c r="F429" s="624"/>
      <c r="G429" s="626" t="s">
        <v>1827</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1650</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7"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2"/>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1" t="s">
        <v>3597</v>
      </c>
    </row>
    <row r="2" spans="1:6" ht="16.5">
      <c r="A2" s="1292" t="str">
        <f>'Part I-Project Information'!F23</f>
        <v>North Grove Apartments</v>
      </c>
    </row>
    <row r="3" spans="1:6" ht="16.5">
      <c r="A3" s="1292" t="str">
        <f>CONCATENATE('Part I-Project Information'!F27,", ", 'Part I-Project Information'!J28," County")</f>
        <v>Athens, Clarke County</v>
      </c>
    </row>
    <row r="4" spans="1:6" ht="16.5">
      <c r="A4" s="1436" t="str">
        <f>IF('Part IX A-Scoring Criteria'!$O$219="Yes",CONCATENATE("Part A - ",'Part IX A-Scoring Criteria'!$B$219),IF('Part IX A-Scoring Criteria'!$O$223="Yes",CONCATENATE("Part B - ",'Part IX A-Scoring Criteria'!$B$222),""))</f>
        <v/>
      </c>
    </row>
    <row r="5" spans="1:6" ht="6.75" customHeight="1"/>
    <row r="6" spans="1:6" ht="113.25" customHeight="1">
      <c r="A6" s="1492" t="s">
        <v>2919</v>
      </c>
      <c r="B6" s="2297" t="s">
        <v>2920</v>
      </c>
      <c r="C6" s="1491"/>
      <c r="D6" s="1491"/>
      <c r="E6" s="1491"/>
      <c r="F6" s="1491"/>
    </row>
    <row r="7" spans="1:6" ht="6.6" customHeight="1">
      <c r="A7" s="1492"/>
      <c r="B7" s="2297"/>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4"/>
  <dimension ref="A1:Z58"/>
  <sheetViews>
    <sheetView showGridLines="0" view="pageBreakPreview" topLeftCell="A31" zoomScale="115" zoomScaleNormal="100" zoomScaleSheetLayoutView="115" workbookViewId="0">
      <selection activeCell="A31" sqref="A1:XFD1048576"/>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1599</v>
      </c>
      <c r="O1" s="1440"/>
      <c r="P1" s="1440"/>
      <c r="Q1" s="1440"/>
      <c r="R1" s="1440"/>
      <c r="S1" s="1440"/>
      <c r="T1" s="1440"/>
      <c r="U1" s="1440"/>
      <c r="V1" s="1440"/>
      <c r="W1" s="1440"/>
      <c r="X1" s="1440"/>
      <c r="Y1" s="1440"/>
      <c r="Z1" s="1440"/>
    </row>
    <row r="3" spans="1:26">
      <c r="N3" s="1441" t="s">
        <v>1600</v>
      </c>
      <c r="O3" s="1441"/>
      <c r="P3" s="1441"/>
      <c r="Q3" s="1441"/>
      <c r="R3" s="1441"/>
      <c r="S3" s="1441"/>
      <c r="T3" s="1441"/>
      <c r="U3" s="1441"/>
      <c r="V3" s="1441"/>
      <c r="W3" s="1441"/>
      <c r="X3" s="1441"/>
      <c r="Y3" s="1441"/>
      <c r="Z3" s="1441"/>
    </row>
    <row r="4" spans="1:26">
      <c r="N4" s="1442" t="s">
        <v>1601</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749</v>
      </c>
    </row>
    <row r="7" spans="1:26" ht="57" customHeight="1">
      <c r="A7" s="2299" t="s">
        <v>3120</v>
      </c>
      <c r="B7" s="2299"/>
      <c r="C7" s="2299"/>
      <c r="D7" s="2299"/>
      <c r="E7" s="2299"/>
      <c r="F7" s="2299"/>
      <c r="G7" s="2299"/>
      <c r="H7" s="2299"/>
      <c r="I7" s="2299"/>
      <c r="J7" s="2299"/>
      <c r="K7" s="2299"/>
      <c r="L7" s="2299"/>
      <c r="M7" s="2299"/>
    </row>
    <row r="8" spans="1:26" ht="11.45" customHeight="1">
      <c r="A8" s="1443"/>
      <c r="B8" s="1443"/>
      <c r="C8" s="1443"/>
      <c r="D8" s="1443"/>
      <c r="E8" s="1443"/>
      <c r="F8" s="1443"/>
      <c r="G8" s="1443"/>
      <c r="H8" s="1443"/>
      <c r="I8" s="1443"/>
      <c r="J8" s="1443"/>
      <c r="K8" s="1443"/>
      <c r="L8" s="1443"/>
      <c r="M8" s="1443"/>
    </row>
    <row r="9" spans="1:26">
      <c r="A9" s="1443" t="s">
        <v>754</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300" t="s">
        <v>2038</v>
      </c>
      <c r="B11" s="2300"/>
      <c r="C11" s="2300"/>
      <c r="D11" s="2300"/>
      <c r="E11" s="2300"/>
      <c r="F11" s="2300"/>
      <c r="G11" s="2300"/>
      <c r="H11" s="2300"/>
      <c r="I11" s="2300"/>
      <c r="J11" s="2300"/>
      <c r="K11" s="2300"/>
      <c r="L11" s="2300"/>
      <c r="M11" s="2300"/>
    </row>
    <row r="12" spans="1:26" ht="6.75" customHeight="1">
      <c r="A12" s="2300"/>
      <c r="B12" s="2300"/>
      <c r="C12" s="2300"/>
      <c r="D12" s="2300"/>
      <c r="E12" s="2300"/>
      <c r="F12" s="2300"/>
      <c r="G12" s="2300"/>
      <c r="H12" s="2300"/>
      <c r="I12" s="2300"/>
      <c r="J12" s="2300"/>
      <c r="K12" s="2300"/>
      <c r="L12" s="2300"/>
      <c r="M12" s="2300"/>
    </row>
    <row r="13" spans="1:26" ht="44.25" customHeight="1">
      <c r="A13" s="2301" t="s">
        <v>3380</v>
      </c>
      <c r="B13" s="2301"/>
      <c r="C13" s="2301"/>
      <c r="D13" s="2301"/>
      <c r="E13" s="2301"/>
      <c r="F13" s="2301"/>
      <c r="G13" s="2301"/>
      <c r="H13" s="2301"/>
      <c r="I13" s="2301"/>
      <c r="J13" s="2301"/>
      <c r="K13" s="2301"/>
      <c r="L13" s="2301"/>
      <c r="M13" s="2301"/>
    </row>
    <row r="14" spans="1:26" ht="3" customHeight="1">
      <c r="A14" s="2300"/>
      <c r="B14" s="2300"/>
      <c r="C14" s="2300"/>
      <c r="D14" s="2300"/>
      <c r="E14" s="2300"/>
      <c r="F14" s="2300"/>
      <c r="G14" s="2300"/>
      <c r="H14" s="2300"/>
      <c r="I14" s="2300"/>
      <c r="J14" s="2300"/>
      <c r="K14" s="2300"/>
      <c r="L14" s="2300"/>
      <c r="M14" s="2300"/>
    </row>
    <row r="15" spans="1:26" ht="87.75" customHeight="1">
      <c r="A15" s="1445" t="s">
        <v>1858</v>
      </c>
      <c r="B15" s="2298" t="s">
        <v>3121</v>
      </c>
      <c r="C15" s="2298"/>
      <c r="D15" s="2298"/>
      <c r="E15" s="2298"/>
      <c r="F15" s="2298"/>
      <c r="G15" s="2298"/>
      <c r="H15" s="2298"/>
      <c r="I15" s="2298"/>
      <c r="J15" s="2298"/>
      <c r="K15" s="2298"/>
      <c r="L15" s="2298"/>
      <c r="M15" s="2298"/>
    </row>
    <row r="16" spans="1:26" ht="3" customHeight="1">
      <c r="A16" s="2300"/>
      <c r="B16" s="2300"/>
      <c r="C16" s="2300"/>
      <c r="D16" s="2300"/>
      <c r="E16" s="2300"/>
      <c r="F16" s="2300"/>
      <c r="G16" s="2300"/>
      <c r="H16" s="2300"/>
      <c r="I16" s="2300"/>
      <c r="J16" s="2300"/>
      <c r="K16" s="2300"/>
      <c r="L16" s="2300"/>
      <c r="M16" s="2300"/>
    </row>
    <row r="17" spans="1:13" ht="58.5" customHeight="1">
      <c r="A17" s="1445" t="s">
        <v>1859</v>
      </c>
      <c r="B17" s="2298" t="s">
        <v>3122</v>
      </c>
      <c r="C17" s="2298"/>
      <c r="D17" s="2298"/>
      <c r="E17" s="2298"/>
      <c r="F17" s="2298"/>
      <c r="G17" s="2298"/>
      <c r="H17" s="2298"/>
      <c r="I17" s="2298"/>
      <c r="J17" s="2298"/>
      <c r="K17" s="2298"/>
      <c r="L17" s="2298"/>
      <c r="M17" s="2298"/>
    </row>
    <row r="18" spans="1:13" ht="3" customHeight="1">
      <c r="A18" s="2300"/>
      <c r="B18" s="2300"/>
      <c r="C18" s="2300"/>
      <c r="D18" s="2300"/>
      <c r="E18" s="2300"/>
      <c r="F18" s="2300"/>
      <c r="G18" s="2300"/>
      <c r="H18" s="2300"/>
      <c r="I18" s="2300"/>
      <c r="J18" s="2300"/>
      <c r="K18" s="2300"/>
      <c r="L18" s="2300"/>
      <c r="M18" s="2300"/>
    </row>
    <row r="19" spans="1:13" ht="115.5" customHeight="1">
      <c r="A19" s="1445" t="s">
        <v>1860</v>
      </c>
      <c r="B19" s="2298" t="s">
        <v>684</v>
      </c>
      <c r="C19" s="2298"/>
      <c r="D19" s="2298"/>
      <c r="E19" s="2298"/>
      <c r="F19" s="2298"/>
      <c r="G19" s="2298"/>
      <c r="H19" s="2298"/>
      <c r="I19" s="2298"/>
      <c r="J19" s="2298"/>
      <c r="K19" s="2298"/>
      <c r="L19" s="2298"/>
      <c r="M19" s="2298"/>
    </row>
    <row r="20" spans="1:13" ht="3" customHeight="1">
      <c r="A20" s="2300"/>
      <c r="B20" s="2300"/>
      <c r="C20" s="2300"/>
      <c r="D20" s="2300"/>
      <c r="E20" s="2300"/>
      <c r="F20" s="2300"/>
      <c r="G20" s="2300"/>
      <c r="H20" s="2300"/>
      <c r="I20" s="2300"/>
      <c r="J20" s="2300"/>
      <c r="K20" s="2300"/>
      <c r="L20" s="2300"/>
      <c r="M20" s="2300"/>
    </row>
    <row r="21" spans="1:13" ht="149.25" customHeight="1">
      <c r="A21" s="1445" t="s">
        <v>2518</v>
      </c>
      <c r="B21" s="2298" t="s">
        <v>3581</v>
      </c>
      <c r="C21" s="2298"/>
      <c r="D21" s="2298"/>
      <c r="E21" s="2298"/>
      <c r="F21" s="2298"/>
      <c r="G21" s="2298"/>
      <c r="H21" s="2298"/>
      <c r="I21" s="2298"/>
      <c r="J21" s="2298"/>
      <c r="K21" s="2298"/>
      <c r="L21" s="2298"/>
      <c r="M21" s="2298"/>
    </row>
    <row r="22" spans="1:13" ht="3" customHeight="1">
      <c r="A22" s="2300"/>
      <c r="B22" s="2300"/>
      <c r="C22" s="2300"/>
      <c r="D22" s="2300"/>
      <c r="E22" s="2300"/>
      <c r="F22" s="2300"/>
      <c r="G22" s="2300"/>
      <c r="H22" s="2300"/>
      <c r="I22" s="2300"/>
      <c r="J22" s="2300"/>
      <c r="K22" s="2300"/>
      <c r="L22" s="2300"/>
      <c r="M22" s="2300"/>
    </row>
    <row r="23" spans="1:13" ht="44.25" customHeight="1">
      <c r="A23" s="1445" t="s">
        <v>1656</v>
      </c>
      <c r="B23" s="2298" t="s">
        <v>728</v>
      </c>
      <c r="C23" s="2298"/>
      <c r="D23" s="2298"/>
      <c r="E23" s="2298"/>
      <c r="F23" s="2298"/>
      <c r="G23" s="2298"/>
      <c r="H23" s="2298"/>
      <c r="I23" s="2298"/>
      <c r="J23" s="2298"/>
      <c r="K23" s="2298"/>
      <c r="L23" s="2298"/>
      <c r="M23" s="2298"/>
    </row>
    <row r="24" spans="1:13" ht="165" customHeight="1">
      <c r="A24" s="1445" t="s">
        <v>1657</v>
      </c>
      <c r="B24" s="2298" t="s">
        <v>3582</v>
      </c>
      <c r="C24" s="2298"/>
      <c r="D24" s="2298"/>
      <c r="E24" s="2298"/>
      <c r="F24" s="2298"/>
      <c r="G24" s="2298"/>
      <c r="H24" s="2298"/>
      <c r="I24" s="2298"/>
      <c r="J24" s="2298"/>
      <c r="K24" s="2298"/>
      <c r="L24" s="2298"/>
      <c r="M24" s="2298"/>
    </row>
    <row r="25" spans="1:13" ht="3" customHeight="1">
      <c r="A25" s="2300"/>
      <c r="B25" s="2300"/>
      <c r="C25" s="2300"/>
      <c r="D25" s="2300"/>
      <c r="E25" s="2300"/>
      <c r="F25" s="2300"/>
      <c r="G25" s="2300"/>
      <c r="H25" s="2300"/>
      <c r="I25" s="2300"/>
      <c r="J25" s="2300"/>
      <c r="K25" s="2300"/>
      <c r="L25" s="2300"/>
      <c r="M25" s="2300"/>
    </row>
    <row r="26" spans="1:13" ht="44.25" customHeight="1">
      <c r="A26" s="1445" t="s">
        <v>101</v>
      </c>
      <c r="B26" s="2298" t="s">
        <v>3123</v>
      </c>
      <c r="C26" s="2298"/>
      <c r="D26" s="2298"/>
      <c r="E26" s="2298"/>
      <c r="F26" s="2298"/>
      <c r="G26" s="2298"/>
      <c r="H26" s="2298"/>
      <c r="I26" s="2298"/>
      <c r="J26" s="2298"/>
      <c r="K26" s="2298"/>
      <c r="L26" s="2298"/>
      <c r="M26" s="2298"/>
    </row>
    <row r="27" spans="1:13" ht="3" customHeight="1">
      <c r="A27" s="2300"/>
      <c r="B27" s="2300"/>
      <c r="C27" s="2300"/>
      <c r="D27" s="2300"/>
      <c r="E27" s="2300"/>
      <c r="F27" s="2300"/>
      <c r="G27" s="2300"/>
      <c r="H27" s="2300"/>
      <c r="I27" s="2300"/>
      <c r="J27" s="2300"/>
      <c r="K27" s="2300"/>
      <c r="L27" s="2300"/>
      <c r="M27" s="2300"/>
    </row>
    <row r="28" spans="1:13" ht="15" customHeight="1">
      <c r="A28" s="1445" t="s">
        <v>543</v>
      </c>
      <c r="B28" s="2298" t="s">
        <v>1560</v>
      </c>
      <c r="C28" s="2298"/>
      <c r="D28" s="2298"/>
      <c r="E28" s="2298"/>
      <c r="F28" s="2298"/>
      <c r="G28" s="2298"/>
      <c r="H28" s="2298"/>
      <c r="I28" s="2298"/>
      <c r="J28" s="2298"/>
      <c r="K28" s="2298"/>
      <c r="L28" s="2298"/>
      <c r="M28" s="2298"/>
    </row>
    <row r="29" spans="1:13" ht="4.5" customHeight="1">
      <c r="A29" s="2300"/>
      <c r="B29" s="2300"/>
      <c r="C29" s="2300"/>
      <c r="D29" s="2300"/>
      <c r="E29" s="2300"/>
      <c r="F29" s="2300"/>
      <c r="G29" s="2300"/>
      <c r="H29" s="2300"/>
      <c r="I29" s="2300"/>
      <c r="J29" s="2300"/>
      <c r="K29" s="2300"/>
      <c r="L29" s="2300"/>
      <c r="M29" s="2300"/>
    </row>
    <row r="30" spans="1:13" ht="15" customHeight="1">
      <c r="A30" s="2300" t="s">
        <v>1561</v>
      </c>
      <c r="B30" s="2300"/>
      <c r="C30" s="2300"/>
      <c r="D30" s="2300"/>
      <c r="E30" s="2300"/>
      <c r="F30" s="2300"/>
      <c r="G30" s="2300"/>
      <c r="H30" s="2300"/>
      <c r="I30" s="2300"/>
      <c r="J30" s="2300"/>
      <c r="K30" s="2300"/>
      <c r="L30" s="2300"/>
      <c r="M30" s="2300"/>
    </row>
    <row r="31" spans="1:13" ht="3" customHeight="1">
      <c r="A31" s="2300"/>
      <c r="B31" s="2300"/>
      <c r="C31" s="2300"/>
      <c r="D31" s="2300"/>
      <c r="E31" s="2300"/>
      <c r="F31" s="2300"/>
      <c r="G31" s="2300"/>
      <c r="H31" s="2300"/>
      <c r="I31" s="2300"/>
      <c r="J31" s="2300"/>
      <c r="K31" s="2300"/>
      <c r="L31" s="2300"/>
      <c r="M31" s="2300"/>
    </row>
    <row r="32" spans="1:13" ht="28.5" customHeight="1">
      <c r="A32" s="1446" t="s">
        <v>1562</v>
      </c>
      <c r="B32" s="2298" t="s">
        <v>3124</v>
      </c>
      <c r="C32" s="2298"/>
      <c r="D32" s="2298"/>
      <c r="E32" s="2298"/>
      <c r="F32" s="2298"/>
      <c r="G32" s="2298"/>
      <c r="H32" s="2298"/>
      <c r="I32" s="2298"/>
      <c r="J32" s="2298"/>
      <c r="K32" s="2298"/>
      <c r="L32" s="2298"/>
      <c r="M32" s="2298"/>
    </row>
    <row r="33" spans="1:13" ht="3" customHeight="1">
      <c r="A33" s="2300"/>
      <c r="B33" s="2300"/>
      <c r="C33" s="2300"/>
      <c r="D33" s="2300"/>
      <c r="E33" s="2300"/>
      <c r="F33" s="2300"/>
      <c r="G33" s="2300"/>
      <c r="H33" s="2300"/>
      <c r="I33" s="2300"/>
      <c r="J33" s="2300"/>
      <c r="K33" s="2300"/>
      <c r="L33" s="2300"/>
      <c r="M33" s="2300"/>
    </row>
    <row r="34" spans="1:13" ht="43.5" customHeight="1">
      <c r="A34" s="1446" t="s">
        <v>1562</v>
      </c>
      <c r="B34" s="2298" t="s">
        <v>3125</v>
      </c>
      <c r="C34" s="2298"/>
      <c r="D34" s="2298"/>
      <c r="E34" s="2298"/>
      <c r="F34" s="2298"/>
      <c r="G34" s="2298"/>
      <c r="H34" s="2298"/>
      <c r="I34" s="2298"/>
      <c r="J34" s="2298"/>
      <c r="K34" s="2298"/>
      <c r="L34" s="2298"/>
      <c r="M34" s="2298"/>
    </row>
    <row r="35" spans="1:13" ht="3" customHeight="1">
      <c r="A35" s="2300"/>
      <c r="B35" s="2300"/>
      <c r="C35" s="2300"/>
      <c r="D35" s="2300"/>
      <c r="E35" s="2300"/>
      <c r="F35" s="2300"/>
      <c r="G35" s="2300"/>
      <c r="H35" s="2300"/>
      <c r="I35" s="2300"/>
      <c r="J35" s="2300"/>
      <c r="K35" s="2300"/>
      <c r="L35" s="2300"/>
      <c r="M35" s="2300"/>
    </row>
    <row r="36" spans="1:13" ht="72.75" customHeight="1">
      <c r="A36" s="1446" t="s">
        <v>1562</v>
      </c>
      <c r="B36" s="2298" t="s">
        <v>3126</v>
      </c>
      <c r="C36" s="2298"/>
      <c r="D36" s="2298"/>
      <c r="E36" s="2298"/>
      <c r="F36" s="2298"/>
      <c r="G36" s="2298"/>
      <c r="H36" s="2298"/>
      <c r="I36" s="2298"/>
      <c r="J36" s="2298"/>
      <c r="K36" s="2298"/>
      <c r="L36" s="2298"/>
      <c r="M36" s="2298"/>
    </row>
    <row r="37" spans="1:13" ht="9" customHeight="1">
      <c r="A37" s="2300"/>
      <c r="B37" s="2300"/>
      <c r="C37" s="2300"/>
      <c r="D37" s="2300"/>
      <c r="E37" s="2300"/>
      <c r="F37" s="2300"/>
      <c r="G37" s="2300"/>
      <c r="H37" s="2300"/>
      <c r="I37" s="2300"/>
      <c r="J37" s="2300"/>
      <c r="K37" s="2300"/>
      <c r="L37" s="2300"/>
      <c r="M37" s="2300"/>
    </row>
    <row r="38" spans="1:13" ht="29.25" customHeight="1">
      <c r="A38" s="2298" t="s">
        <v>1001</v>
      </c>
      <c r="B38" s="2298"/>
      <c r="C38" s="2298"/>
      <c r="D38" s="2298"/>
      <c r="E38" s="2298"/>
      <c r="F38" s="2298"/>
      <c r="G38" s="2298"/>
      <c r="H38" s="2298"/>
      <c r="I38" s="2298"/>
      <c r="J38" s="2298"/>
      <c r="K38" s="2298"/>
      <c r="L38" s="2298"/>
      <c r="M38" s="2298"/>
    </row>
    <row r="39" spans="1:13" ht="3" customHeight="1">
      <c r="A39" s="2300"/>
      <c r="B39" s="2300"/>
      <c r="C39" s="2300"/>
      <c r="D39" s="2300"/>
      <c r="E39" s="2300"/>
      <c r="F39" s="2300"/>
      <c r="G39" s="2300"/>
      <c r="H39" s="2300"/>
      <c r="I39" s="2300"/>
      <c r="J39" s="2300"/>
      <c r="K39" s="2300"/>
      <c r="L39" s="2300"/>
      <c r="M39" s="2300"/>
    </row>
    <row r="40" spans="1:13" ht="29.25" customHeight="1">
      <c r="A40" s="2298" t="s">
        <v>3127</v>
      </c>
      <c r="B40" s="2298"/>
      <c r="C40" s="2298"/>
      <c r="D40" s="2298"/>
      <c r="E40" s="2298"/>
      <c r="F40" s="2298"/>
      <c r="G40" s="2298"/>
      <c r="H40" s="2298"/>
      <c r="I40" s="2298"/>
      <c r="J40" s="2298"/>
      <c r="K40" s="2298"/>
      <c r="L40" s="2298"/>
      <c r="M40" s="2298"/>
    </row>
    <row r="41" spans="1:13" ht="3" customHeight="1">
      <c r="A41" s="2300"/>
      <c r="B41" s="2300"/>
      <c r="C41" s="2300"/>
      <c r="D41" s="2300"/>
      <c r="E41" s="2300"/>
      <c r="F41" s="2300"/>
      <c r="G41" s="2300"/>
      <c r="H41" s="2300"/>
      <c r="I41" s="2300"/>
      <c r="J41" s="2300"/>
      <c r="K41" s="2300"/>
      <c r="L41" s="2300"/>
      <c r="M41" s="2300"/>
    </row>
    <row r="42" spans="1:13">
      <c r="A42" s="2300" t="s">
        <v>977</v>
      </c>
      <c r="B42" s="2300"/>
      <c r="C42" s="2300"/>
      <c r="D42" s="2300"/>
      <c r="E42" s="2300"/>
      <c r="F42" s="2300"/>
      <c r="G42" s="2300"/>
      <c r="H42" s="2300"/>
      <c r="I42" s="2300"/>
      <c r="J42" s="2300"/>
      <c r="K42" s="2300"/>
      <c r="L42" s="2300"/>
      <c r="M42" s="2300"/>
    </row>
    <row r="43" spans="1:13">
      <c r="A43" s="1447"/>
      <c r="B43" s="1447"/>
      <c r="C43" s="1447"/>
      <c r="D43" s="1447"/>
      <c r="E43" s="1447"/>
      <c r="F43" s="1447"/>
      <c r="G43" s="1447"/>
      <c r="H43" s="1447"/>
      <c r="I43" s="1447"/>
      <c r="J43" s="1447"/>
      <c r="K43" s="1447"/>
      <c r="L43" s="1447"/>
      <c r="M43" s="1447"/>
    </row>
    <row r="44" spans="1:13">
      <c r="A44" s="2303"/>
      <c r="B44" s="2303"/>
      <c r="C44" s="2303"/>
      <c r="D44" s="2303"/>
      <c r="E44" s="2303"/>
      <c r="F44" s="2303"/>
      <c r="G44" s="1448"/>
      <c r="H44" s="2303"/>
      <c r="I44" s="2303"/>
      <c r="J44" s="2303"/>
      <c r="K44" s="2303"/>
      <c r="L44" s="2303"/>
      <c r="M44" s="2303"/>
    </row>
    <row r="45" spans="1:13" ht="12" customHeight="1">
      <c r="A45" s="2304" t="s">
        <v>978</v>
      </c>
      <c r="B45" s="2304"/>
      <c r="C45" s="2304"/>
      <c r="D45" s="2304"/>
      <c r="E45" s="2304"/>
      <c r="F45" s="2304"/>
      <c r="G45" s="1448"/>
      <c r="H45" s="2304" t="s">
        <v>2114</v>
      </c>
      <c r="I45" s="2304"/>
      <c r="J45" s="2304"/>
      <c r="K45" s="2304"/>
      <c r="L45" s="2304"/>
      <c r="M45" s="2304"/>
    </row>
    <row r="46" spans="1:13">
      <c r="A46" s="1448"/>
      <c r="B46" s="1448"/>
      <c r="C46" s="1448"/>
      <c r="D46" s="1448"/>
      <c r="E46" s="1448"/>
      <c r="F46" s="1448"/>
      <c r="G46" s="1448"/>
      <c r="H46" s="1448"/>
      <c r="I46" s="1448"/>
      <c r="J46" s="1448"/>
      <c r="K46" s="1448"/>
      <c r="L46" s="1448"/>
      <c r="M46" s="1448"/>
    </row>
    <row r="47" spans="1:13">
      <c r="A47" s="2303"/>
      <c r="B47" s="2303"/>
      <c r="C47" s="2303"/>
      <c r="D47" s="2303"/>
      <c r="E47" s="2303"/>
      <c r="F47" s="2303"/>
      <c r="G47" s="1448"/>
      <c r="H47" s="2305"/>
      <c r="I47" s="2305"/>
      <c r="J47" s="2305"/>
      <c r="K47" s="2305"/>
      <c r="L47" s="2305"/>
      <c r="M47" s="2305"/>
    </row>
    <row r="48" spans="1:13" ht="12" customHeight="1">
      <c r="A48" s="2304" t="s">
        <v>979</v>
      </c>
      <c r="B48" s="2304"/>
      <c r="C48" s="2304"/>
      <c r="D48" s="2304"/>
      <c r="E48" s="2304"/>
      <c r="F48" s="2304"/>
      <c r="G48" s="1448"/>
      <c r="H48" s="2304" t="s">
        <v>980</v>
      </c>
      <c r="I48" s="2304"/>
      <c r="J48" s="2304"/>
      <c r="K48" s="2304"/>
      <c r="L48" s="2304"/>
      <c r="M48" s="2304"/>
    </row>
    <row r="49" spans="1:13" ht="11.45" customHeight="1">
      <c r="A49" s="2300"/>
      <c r="B49" s="2300"/>
      <c r="C49" s="2300"/>
      <c r="D49" s="2300"/>
      <c r="E49" s="2300"/>
      <c r="F49" s="2300"/>
      <c r="G49" s="2300"/>
      <c r="H49" s="2300"/>
      <c r="I49" s="2300"/>
      <c r="J49" s="2300"/>
      <c r="K49" s="2300"/>
      <c r="L49" s="2300"/>
      <c r="M49" s="2300"/>
    </row>
    <row r="50" spans="1:13" ht="11.45" customHeight="1">
      <c r="A50" s="1443"/>
      <c r="B50" s="1443"/>
      <c r="C50" s="1443"/>
      <c r="D50" s="1443"/>
      <c r="E50" s="1443"/>
      <c r="F50" s="1443"/>
      <c r="G50" s="1443"/>
      <c r="H50" s="2302" t="s">
        <v>981</v>
      </c>
      <c r="I50" s="2302"/>
      <c r="J50" s="2302"/>
      <c r="K50" s="2302"/>
      <c r="L50" s="2302"/>
      <c r="M50" s="2302"/>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1">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309" t="s">
        <v>770</v>
      </c>
      <c r="B2" s="2310"/>
      <c r="C2" s="2310"/>
      <c r="D2" s="2310"/>
      <c r="E2" s="2310"/>
      <c r="F2" s="2310"/>
      <c r="G2" s="2310"/>
      <c r="H2" s="2310"/>
      <c r="I2" s="2310"/>
      <c r="J2" s="2310"/>
      <c r="K2" s="2310"/>
      <c r="L2" s="2310"/>
      <c r="M2" s="2310"/>
      <c r="N2" s="2310"/>
      <c r="O2" s="2310"/>
      <c r="P2" s="2310"/>
      <c r="Q2" s="2310"/>
      <c r="R2" s="2311"/>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539</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3406</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1333</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2571</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2539</v>
      </c>
      <c r="K10" s="210"/>
      <c r="L10" s="210"/>
      <c r="M10" s="210"/>
      <c r="N10" s="210"/>
      <c r="O10" s="210"/>
      <c r="P10" s="208"/>
      <c r="Q10" s="338" t="s">
        <v>1854</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515</v>
      </c>
      <c r="K11" s="342" t="s">
        <v>2603</v>
      </c>
      <c r="L11" s="342" t="s">
        <v>2604</v>
      </c>
      <c r="M11" s="342" t="s">
        <v>2605</v>
      </c>
      <c r="N11" s="342" t="s">
        <v>2606</v>
      </c>
      <c r="O11" s="210"/>
      <c r="P11" s="208"/>
      <c r="Q11" s="343"/>
      <c r="R11" s="343"/>
      <c r="S11" s="340"/>
      <c r="T11" s="340"/>
      <c r="U11" s="208"/>
      <c r="V11" s="341"/>
      <c r="W11" s="341"/>
      <c r="X11" s="341"/>
    </row>
    <row r="12" spans="1:26" s="332" customFormat="1" ht="11.45" customHeight="1">
      <c r="A12" s="210"/>
      <c r="B12" s="210"/>
      <c r="C12" s="210"/>
      <c r="D12" s="208"/>
      <c r="E12" s="208"/>
      <c r="F12" s="210" t="s">
        <v>1334</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21517016</v>
      </c>
      <c r="S12" s="359" t="s">
        <v>823</v>
      </c>
      <c r="T12" s="340"/>
      <c r="U12" s="208"/>
      <c r="V12" s="341"/>
      <c r="W12" s="341"/>
      <c r="X12" s="341"/>
    </row>
    <row r="13" spans="1:26" s="332" customFormat="1" ht="11.45" customHeight="1">
      <c r="A13" s="210"/>
      <c r="B13" s="210"/>
      <c r="C13" s="210"/>
      <c r="D13" s="208"/>
      <c r="E13" s="208"/>
      <c r="F13" s="210" t="s">
        <v>1335</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23668712</v>
      </c>
      <c r="S13" s="359" t="s">
        <v>823</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1266</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1266</v>
      </c>
      <c r="C16" s="210"/>
      <c r="D16" s="208"/>
      <c r="E16" s="208"/>
      <c r="F16" s="210" t="s">
        <v>1267</v>
      </c>
      <c r="G16" s="210" t="s">
        <v>1281</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2039</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2883</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1268</v>
      </c>
      <c r="C20" s="210"/>
      <c r="D20" s="208"/>
      <c r="E20" s="208"/>
      <c r="F20" s="210" t="s">
        <v>291</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1269</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1270</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1222</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1271</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1272</v>
      </c>
      <c r="C26" s="210"/>
      <c r="D26" s="210"/>
      <c r="E26" s="208"/>
      <c r="F26" s="213" t="s">
        <v>1273</v>
      </c>
      <c r="G26" s="210"/>
      <c r="H26" s="208"/>
      <c r="I26" s="208"/>
      <c r="J26" s="210" t="s">
        <v>1274</v>
      </c>
      <c r="K26" s="210"/>
      <c r="L26" s="210"/>
      <c r="M26" s="210"/>
      <c r="N26" s="210"/>
      <c r="O26" s="210"/>
      <c r="P26" s="208"/>
      <c r="Q26" s="2307">
        <v>6500</v>
      </c>
      <c r="R26" s="2308"/>
      <c r="S26" s="348"/>
      <c r="T26" s="348"/>
      <c r="U26" s="348"/>
    </row>
    <row r="27" spans="1:21" s="332" customFormat="1" ht="11.45" customHeight="1">
      <c r="A27" s="210"/>
      <c r="B27" s="210"/>
      <c r="C27" s="210"/>
      <c r="D27" s="210"/>
      <c r="E27" s="208"/>
      <c r="F27" s="213" t="s">
        <v>1273</v>
      </c>
      <c r="G27" s="210"/>
      <c r="H27" s="208"/>
      <c r="I27" s="208"/>
      <c r="J27" s="210" t="s">
        <v>1275</v>
      </c>
      <c r="K27" s="210"/>
      <c r="L27" s="210"/>
      <c r="M27" s="210"/>
      <c r="N27" s="210"/>
      <c r="O27" s="210"/>
      <c r="P27" s="208"/>
      <c r="Q27" s="2307">
        <v>5500</v>
      </c>
      <c r="R27" s="2308"/>
      <c r="S27" s="348"/>
      <c r="T27" s="348"/>
      <c r="U27" s="348"/>
    </row>
    <row r="28" spans="1:21" s="332" customFormat="1" ht="11.45" customHeight="1">
      <c r="A28" s="208"/>
      <c r="B28" s="208"/>
      <c r="C28" s="210"/>
      <c r="D28" s="210"/>
      <c r="E28" s="208"/>
      <c r="F28" s="213" t="s">
        <v>1276</v>
      </c>
      <c r="G28" s="210"/>
      <c r="H28" s="208"/>
      <c r="I28" s="208"/>
      <c r="J28" s="210" t="s">
        <v>1274</v>
      </c>
      <c r="K28" s="210"/>
      <c r="L28" s="210"/>
      <c r="M28" s="210"/>
      <c r="N28" s="210"/>
      <c r="O28" s="210"/>
      <c r="P28" s="208"/>
      <c r="Q28" s="2307">
        <v>1000</v>
      </c>
      <c r="R28" s="2308"/>
      <c r="S28" s="348"/>
      <c r="T28" s="348"/>
      <c r="U28" s="348"/>
    </row>
    <row r="29" spans="1:21" s="332" customFormat="1" ht="11.45" customHeight="1">
      <c r="A29" s="210"/>
      <c r="B29" s="210"/>
      <c r="C29" s="210"/>
      <c r="D29" s="210"/>
      <c r="E29" s="208"/>
      <c r="F29" s="213" t="s">
        <v>1276</v>
      </c>
      <c r="G29" s="210"/>
      <c r="H29" s="208"/>
      <c r="I29" s="208"/>
      <c r="J29" s="210" t="s">
        <v>1275</v>
      </c>
      <c r="K29" s="210"/>
      <c r="L29" s="210"/>
      <c r="M29" s="210"/>
      <c r="N29" s="210"/>
      <c r="O29" s="210"/>
      <c r="P29" s="208"/>
      <c r="Q29" s="2307">
        <v>500</v>
      </c>
      <c r="R29" s="2308"/>
      <c r="S29" s="348"/>
      <c r="T29" s="348"/>
      <c r="U29" s="348"/>
    </row>
    <row r="30" spans="1:21" s="332" customFormat="1" ht="11.45" customHeight="1">
      <c r="A30" s="210"/>
      <c r="B30" s="210"/>
      <c r="C30" s="210"/>
      <c r="D30" s="210"/>
      <c r="E30" s="208"/>
      <c r="F30" s="213" t="s">
        <v>809</v>
      </c>
      <c r="G30" s="210"/>
      <c r="H30" s="208"/>
      <c r="I30" s="208"/>
      <c r="J30" s="210" t="s">
        <v>1274</v>
      </c>
      <c r="K30" s="210"/>
      <c r="L30" s="210"/>
      <c r="M30" s="210"/>
      <c r="N30" s="210"/>
      <c r="O30" s="210"/>
      <c r="P30" s="208"/>
      <c r="Q30" s="2307">
        <v>7000</v>
      </c>
      <c r="R30" s="2308"/>
      <c r="S30" s="348"/>
      <c r="T30" s="348"/>
      <c r="U30" s="348"/>
    </row>
    <row r="31" spans="1:21" s="332" customFormat="1" ht="11.45" customHeight="1">
      <c r="A31" s="210"/>
      <c r="B31" s="210"/>
      <c r="C31" s="210"/>
      <c r="D31" s="210"/>
      <c r="E31" s="208"/>
      <c r="F31" s="213" t="s">
        <v>809</v>
      </c>
      <c r="G31" s="210"/>
      <c r="H31" s="208"/>
      <c r="I31" s="208"/>
      <c r="J31" s="210" t="s">
        <v>1275</v>
      </c>
      <c r="K31" s="210"/>
      <c r="L31" s="210"/>
      <c r="M31" s="210"/>
      <c r="N31" s="210"/>
      <c r="O31" s="210"/>
      <c r="P31" s="208"/>
      <c r="Q31" s="2307">
        <v>6000</v>
      </c>
      <c r="R31" s="2308"/>
      <c r="S31" s="348"/>
      <c r="T31" s="348"/>
      <c r="U31" s="348"/>
    </row>
    <row r="32" spans="1:21" s="332" customFormat="1" ht="11.45" customHeight="1">
      <c r="A32" s="210"/>
      <c r="B32" s="210" t="s">
        <v>810</v>
      </c>
      <c r="C32" s="210"/>
      <c r="D32" s="208"/>
      <c r="E32" s="208"/>
      <c r="F32" s="210" t="s">
        <v>291</v>
      </c>
      <c r="G32" s="210"/>
      <c r="H32" s="208"/>
      <c r="I32" s="208"/>
      <c r="J32" s="210" t="s">
        <v>2952</v>
      </c>
      <c r="K32" s="210"/>
      <c r="L32" s="210"/>
      <c r="M32" s="210"/>
      <c r="N32" s="210"/>
      <c r="O32" s="210"/>
      <c r="P32" s="208"/>
      <c r="Q32" s="338">
        <v>25000</v>
      </c>
      <c r="R32" s="347" t="s">
        <v>538</v>
      </c>
      <c r="S32" s="348"/>
      <c r="T32" s="348"/>
      <c r="U32" s="348"/>
    </row>
    <row r="33" spans="1:21" s="332" customFormat="1" ht="11.45" customHeight="1">
      <c r="A33" s="210"/>
      <c r="B33" s="210" t="s">
        <v>2095</v>
      </c>
      <c r="C33" s="210"/>
      <c r="D33" s="208"/>
      <c r="E33" s="208"/>
      <c r="F33" s="210" t="s">
        <v>1269</v>
      </c>
      <c r="G33" s="210"/>
      <c r="H33" s="208"/>
      <c r="I33" s="208"/>
      <c r="J33" s="210" t="s">
        <v>1027</v>
      </c>
      <c r="K33" s="210"/>
      <c r="L33" s="210"/>
      <c r="M33" s="210"/>
      <c r="N33" s="210"/>
      <c r="O33" s="210"/>
      <c r="P33" s="208"/>
      <c r="Q33" s="350" t="s">
        <v>1028</v>
      </c>
      <c r="R33" s="350">
        <v>0.05</v>
      </c>
      <c r="S33" s="348"/>
      <c r="T33" s="348"/>
      <c r="U33" s="348"/>
    </row>
    <row r="34" spans="1:21" s="332" customFormat="1" ht="11.45" customHeight="1">
      <c r="A34" s="210"/>
      <c r="B34" s="210"/>
      <c r="C34" s="210"/>
      <c r="D34" s="208"/>
      <c r="E34" s="208"/>
      <c r="F34" s="210"/>
      <c r="G34" s="210"/>
      <c r="H34" s="208"/>
      <c r="I34" s="208"/>
      <c r="J34" s="210" t="s">
        <v>2167</v>
      </c>
      <c r="K34" s="210"/>
      <c r="L34" s="210"/>
      <c r="M34" s="210"/>
      <c r="N34" s="210"/>
      <c r="O34" s="210"/>
      <c r="P34" s="208"/>
      <c r="Q34" s="350" t="s">
        <v>1028</v>
      </c>
      <c r="R34" s="338">
        <v>500000</v>
      </c>
      <c r="S34" s="348"/>
      <c r="T34" s="348"/>
      <c r="U34" s="348"/>
    </row>
    <row r="35" spans="1:21" s="332" customFormat="1" ht="11.45" customHeight="1">
      <c r="A35" s="210"/>
      <c r="B35" s="210"/>
      <c r="C35" s="210"/>
      <c r="D35" s="208"/>
      <c r="E35" s="208"/>
      <c r="F35" s="210" t="s">
        <v>291</v>
      </c>
      <c r="G35" s="210"/>
      <c r="H35" s="208"/>
      <c r="I35" s="208"/>
      <c r="J35" s="210" t="s">
        <v>1027</v>
      </c>
      <c r="K35" s="210"/>
      <c r="L35" s="210"/>
      <c r="M35" s="210"/>
      <c r="N35" s="210"/>
      <c r="O35" s="210"/>
      <c r="P35" s="208"/>
      <c r="Q35" s="350" t="s">
        <v>1028</v>
      </c>
      <c r="R35" s="350">
        <v>7.0000000000000007E-2</v>
      </c>
      <c r="S35" s="348"/>
      <c r="T35" s="348"/>
      <c r="U35" s="348"/>
    </row>
    <row r="36" spans="1:21" s="332" customFormat="1" ht="11.45" customHeight="1">
      <c r="A36" s="210"/>
      <c r="B36" s="210"/>
      <c r="C36" s="210"/>
      <c r="D36" s="208"/>
      <c r="E36" s="208"/>
      <c r="F36" s="210"/>
      <c r="G36" s="210"/>
      <c r="H36" s="208"/>
      <c r="I36" s="208"/>
      <c r="J36" s="210" t="s">
        <v>2167</v>
      </c>
      <c r="K36" s="210"/>
      <c r="L36" s="210"/>
      <c r="M36" s="210"/>
      <c r="N36" s="210"/>
      <c r="O36" s="210"/>
      <c r="P36" s="208"/>
      <c r="Q36" s="350" t="s">
        <v>1028</v>
      </c>
      <c r="R36" s="338">
        <v>500000</v>
      </c>
      <c r="S36" s="348"/>
      <c r="T36" s="348"/>
      <c r="U36" s="348"/>
    </row>
    <row r="37" spans="1:21" s="332" customFormat="1" ht="11.45" customHeight="1">
      <c r="A37" s="210"/>
      <c r="B37" s="210" t="s">
        <v>2174</v>
      </c>
      <c r="C37" s="210"/>
      <c r="D37" s="208"/>
      <c r="E37" s="208"/>
      <c r="F37" s="210" t="s">
        <v>1854</v>
      </c>
      <c r="G37" s="210"/>
      <c r="H37" s="208"/>
      <c r="I37" s="208"/>
      <c r="J37" s="210" t="s">
        <v>376</v>
      </c>
      <c r="K37" s="210"/>
      <c r="L37" s="210"/>
      <c r="M37" s="210"/>
      <c r="N37" s="210"/>
      <c r="O37" s="210"/>
      <c r="P37" s="208"/>
      <c r="Q37" s="347" t="s">
        <v>1854</v>
      </c>
      <c r="R37" s="350">
        <v>0.06</v>
      </c>
      <c r="S37" s="348"/>
      <c r="T37" s="348"/>
      <c r="U37" s="348"/>
    </row>
    <row r="38" spans="1:21" s="332" customFormat="1" ht="11.45" customHeight="1">
      <c r="A38" s="210"/>
      <c r="B38" s="210" t="s">
        <v>2175</v>
      </c>
      <c r="C38" s="210"/>
      <c r="D38" s="208"/>
      <c r="E38" s="208"/>
      <c r="F38" s="210" t="s">
        <v>1854</v>
      </c>
      <c r="G38" s="210"/>
      <c r="H38" s="208"/>
      <c r="I38" s="208"/>
      <c r="J38" s="210" t="s">
        <v>376</v>
      </c>
      <c r="K38" s="210"/>
      <c r="L38" s="210"/>
      <c r="M38" s="210"/>
      <c r="N38" s="210"/>
      <c r="O38" s="210"/>
      <c r="P38" s="208"/>
      <c r="Q38" s="347" t="s">
        <v>1854</v>
      </c>
      <c r="R38" s="350">
        <v>0.02</v>
      </c>
      <c r="S38" s="348"/>
      <c r="T38" s="348"/>
      <c r="U38" s="348"/>
    </row>
    <row r="39" spans="1:21" s="332" customFormat="1" ht="11.45" customHeight="1">
      <c r="A39" s="210"/>
      <c r="B39" s="210" t="s">
        <v>3290</v>
      </c>
      <c r="C39" s="210"/>
      <c r="D39" s="208"/>
      <c r="E39" s="208"/>
      <c r="F39" s="210" t="s">
        <v>1854</v>
      </c>
      <c r="G39" s="210"/>
      <c r="H39" s="208"/>
      <c r="I39" s="208"/>
      <c r="J39" s="210" t="s">
        <v>376</v>
      </c>
      <c r="K39" s="210"/>
      <c r="L39" s="210"/>
      <c r="M39" s="210"/>
      <c r="N39" s="210"/>
      <c r="O39" s="210"/>
      <c r="P39" s="208"/>
      <c r="Q39" s="347" t="s">
        <v>1854</v>
      </c>
      <c r="R39" s="350">
        <v>0.06</v>
      </c>
      <c r="S39" s="348"/>
      <c r="T39" s="348"/>
      <c r="U39" s="348"/>
    </row>
    <row r="40" spans="1:21" s="332" customFormat="1" ht="11.45" customHeight="1">
      <c r="A40" s="210"/>
      <c r="B40" s="213" t="s">
        <v>1003</v>
      </c>
      <c r="C40" s="210"/>
      <c r="D40" s="208"/>
      <c r="E40" s="208"/>
      <c r="F40" s="210" t="s">
        <v>1004</v>
      </c>
      <c r="G40" s="210"/>
      <c r="H40" s="208"/>
      <c r="I40" s="208"/>
      <c r="J40" s="210" t="s">
        <v>1005</v>
      </c>
      <c r="K40" s="210"/>
      <c r="L40" s="210"/>
      <c r="M40" s="210"/>
      <c r="N40" s="210"/>
      <c r="O40" s="210"/>
      <c r="P40" s="208"/>
      <c r="Q40" s="2306">
        <v>0.08</v>
      </c>
      <c r="R40" s="2306"/>
      <c r="S40" s="348"/>
      <c r="T40" s="348"/>
      <c r="U40" s="348"/>
    </row>
    <row r="41" spans="1:21" s="332" customFormat="1" ht="11.45" customHeight="1">
      <c r="A41" s="210"/>
      <c r="B41" s="213" t="s">
        <v>1006</v>
      </c>
      <c r="C41" s="210"/>
      <c r="D41" s="208"/>
      <c r="E41" s="208"/>
      <c r="F41" s="210" t="s">
        <v>1004</v>
      </c>
      <c r="G41" s="210"/>
      <c r="H41" s="208"/>
      <c r="I41" s="208"/>
      <c r="J41" s="210" t="s">
        <v>1005</v>
      </c>
      <c r="K41" s="210"/>
      <c r="L41" s="210"/>
      <c r="M41" s="210"/>
      <c r="N41" s="210"/>
      <c r="O41" s="210"/>
      <c r="P41" s="208"/>
      <c r="Q41" s="2306">
        <v>0.08</v>
      </c>
      <c r="R41" s="2306"/>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307">
        <v>2700</v>
      </c>
      <c r="R42" s="2308"/>
      <c r="S42" s="348"/>
      <c r="T42" s="348"/>
      <c r="U42" s="348"/>
    </row>
    <row r="43" spans="1:21" s="332" customFormat="1" ht="11.45" customHeight="1">
      <c r="A43" s="210"/>
      <c r="B43" s="213" t="s">
        <v>2948</v>
      </c>
      <c r="C43" s="210"/>
      <c r="D43" s="208"/>
      <c r="E43" s="208"/>
      <c r="F43" s="210"/>
      <c r="G43" s="210"/>
      <c r="H43" s="208"/>
      <c r="I43" s="208"/>
      <c r="J43" s="210"/>
      <c r="K43" s="210"/>
      <c r="L43" s="210"/>
      <c r="M43" s="210"/>
      <c r="N43" s="210"/>
      <c r="O43" s="210"/>
      <c r="P43" s="208"/>
      <c r="Q43" s="2307">
        <v>1500</v>
      </c>
      <c r="R43" s="2308"/>
      <c r="S43" s="348"/>
      <c r="T43" s="348"/>
      <c r="U43" s="348"/>
    </row>
    <row r="44" spans="1:21" s="332" customFormat="1" ht="11.45" customHeight="1">
      <c r="A44" s="210"/>
      <c r="B44" s="210" t="s">
        <v>1007</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2886</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3296</v>
      </c>
      <c r="G46" s="210"/>
      <c r="H46" s="208"/>
      <c r="I46" s="208"/>
      <c r="J46" s="210" t="s">
        <v>2884</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3294</v>
      </c>
      <c r="G47" s="210"/>
      <c r="H47" s="208"/>
      <c r="I47" s="208"/>
      <c r="J47" s="210" t="s">
        <v>1635</v>
      </c>
      <c r="K47" s="210"/>
      <c r="L47" s="210" t="s">
        <v>3295</v>
      </c>
      <c r="M47" s="210"/>
      <c r="N47" s="210"/>
      <c r="O47" s="210"/>
      <c r="P47" s="208"/>
      <c r="Q47" s="2307">
        <v>55</v>
      </c>
      <c r="R47" s="2308"/>
      <c r="S47" s="348"/>
      <c r="T47" s="348"/>
      <c r="U47" s="348"/>
    </row>
    <row r="48" spans="1:21" s="332" customFormat="1" ht="11.45" customHeight="1">
      <c r="A48" s="210"/>
      <c r="B48" s="210" t="s">
        <v>1990</v>
      </c>
      <c r="C48" s="210"/>
      <c r="D48" s="208"/>
      <c r="E48" s="208"/>
      <c r="F48" s="210"/>
      <c r="G48" s="210"/>
      <c r="H48" s="210"/>
      <c r="I48" s="208"/>
      <c r="J48" s="210" t="s">
        <v>1851</v>
      </c>
      <c r="K48" s="210"/>
      <c r="L48" s="210"/>
      <c r="M48" s="210"/>
      <c r="N48" s="210"/>
      <c r="O48" s="210"/>
      <c r="P48" s="208"/>
      <c r="Q48" s="2307">
        <v>1800000</v>
      </c>
      <c r="R48" s="2308"/>
      <c r="S48" s="348"/>
      <c r="T48" s="348"/>
      <c r="U48" s="348"/>
    </row>
    <row r="49" spans="1:21" s="332" customFormat="1" ht="11.45" customHeight="1">
      <c r="A49" s="210"/>
      <c r="B49" s="210"/>
      <c r="C49" s="210"/>
      <c r="D49" s="208"/>
      <c r="E49" s="208"/>
      <c r="F49" s="210" t="s">
        <v>1833</v>
      </c>
      <c r="G49" s="210"/>
      <c r="H49" s="210" t="s">
        <v>2443</v>
      </c>
      <c r="I49" s="208"/>
      <c r="J49" s="210" t="s">
        <v>1034</v>
      </c>
      <c r="K49" s="210"/>
      <c r="L49" s="210"/>
      <c r="M49" s="210"/>
      <c r="N49" s="210"/>
      <c r="O49" s="210"/>
      <c r="P49" s="208"/>
      <c r="Q49" s="2306">
        <v>0.15</v>
      </c>
      <c r="R49" s="2306"/>
      <c r="S49" s="348"/>
      <c r="T49" s="348"/>
      <c r="U49" s="348"/>
    </row>
    <row r="50" spans="1:21" s="332" customFormat="1" ht="11.45" customHeight="1">
      <c r="A50" s="210"/>
      <c r="B50" s="466"/>
      <c r="C50" s="210"/>
      <c r="D50" s="208"/>
      <c r="E50" s="208"/>
      <c r="F50" s="210"/>
      <c r="G50" s="210"/>
      <c r="H50" s="210" t="s">
        <v>1030</v>
      </c>
      <c r="I50" s="210" t="s">
        <v>1031</v>
      </c>
      <c r="J50" s="210" t="s">
        <v>1033</v>
      </c>
      <c r="K50" s="210"/>
      <c r="L50" s="210"/>
      <c r="M50" s="210"/>
      <c r="N50" s="210"/>
      <c r="O50" s="210"/>
      <c r="P50" s="208"/>
      <c r="Q50" s="2306">
        <v>0.15</v>
      </c>
      <c r="R50" s="2306"/>
      <c r="S50" s="348"/>
      <c r="T50" s="348"/>
      <c r="U50" s="348"/>
    </row>
    <row r="51" spans="1:21" s="332" customFormat="1" ht="11.45" customHeight="1">
      <c r="A51" s="210"/>
      <c r="B51" s="466"/>
      <c r="C51" s="210"/>
      <c r="D51" s="208"/>
      <c r="E51" s="208"/>
      <c r="F51" s="210"/>
      <c r="G51" s="210"/>
      <c r="H51" s="210"/>
      <c r="I51" s="210" t="s">
        <v>1032</v>
      </c>
      <c r="J51" s="210" t="s">
        <v>1035</v>
      </c>
      <c r="K51" s="210"/>
      <c r="L51" s="210"/>
      <c r="M51" s="210"/>
      <c r="N51" s="210"/>
      <c r="O51" s="210"/>
      <c r="P51" s="208"/>
      <c r="Q51" s="2306">
        <v>0.15</v>
      </c>
      <c r="R51" s="2306"/>
      <c r="S51" s="348"/>
      <c r="T51" s="348"/>
      <c r="U51" s="348"/>
    </row>
    <row r="52" spans="1:21" s="332" customFormat="1" ht="11.45" customHeight="1">
      <c r="A52" s="210"/>
      <c r="B52" s="466"/>
      <c r="C52" s="210"/>
      <c r="D52" s="208"/>
      <c r="E52" s="208"/>
      <c r="F52" s="210"/>
      <c r="G52" s="210"/>
      <c r="H52" s="210" t="s">
        <v>1029</v>
      </c>
      <c r="I52" s="208"/>
      <c r="J52" s="210" t="s">
        <v>1035</v>
      </c>
      <c r="K52" s="210"/>
      <c r="L52" s="210"/>
      <c r="M52" s="210"/>
      <c r="N52" s="210"/>
      <c r="O52" s="210"/>
      <c r="P52" s="208"/>
      <c r="Q52" s="2306">
        <v>0.15</v>
      </c>
      <c r="R52" s="2306"/>
      <c r="S52" s="348"/>
      <c r="T52" s="348"/>
      <c r="U52" s="348"/>
    </row>
    <row r="53" spans="1:21" s="332" customFormat="1" ht="11.45" customHeight="1">
      <c r="A53" s="210"/>
      <c r="B53" s="466"/>
      <c r="C53" s="210"/>
      <c r="D53" s="208"/>
      <c r="E53" s="208"/>
      <c r="F53" s="210"/>
      <c r="G53" s="210"/>
      <c r="H53" s="210"/>
      <c r="I53" s="210" t="s">
        <v>1036</v>
      </c>
      <c r="J53" s="210" t="s">
        <v>1037</v>
      </c>
      <c r="K53" s="210"/>
      <c r="L53" s="210"/>
      <c r="M53" s="210"/>
      <c r="N53" s="210"/>
      <c r="O53" s="210"/>
      <c r="P53" s="208"/>
      <c r="Q53" s="2306">
        <v>0.15</v>
      </c>
      <c r="R53" s="2306"/>
      <c r="S53" s="348"/>
      <c r="T53" s="348"/>
      <c r="U53" s="348"/>
    </row>
    <row r="54" spans="1:21" s="332" customFormat="1" ht="11.45" customHeight="1">
      <c r="A54" s="210"/>
      <c r="B54" s="466"/>
      <c r="C54" s="210"/>
      <c r="D54" s="208"/>
      <c r="E54" s="208"/>
      <c r="F54" s="210" t="s">
        <v>1881</v>
      </c>
      <c r="G54" s="210"/>
      <c r="H54" s="210"/>
      <c r="I54" s="208"/>
      <c r="J54" s="210" t="s">
        <v>2526</v>
      </c>
      <c r="K54" s="210"/>
      <c r="L54" s="210"/>
      <c r="M54" s="210"/>
      <c r="N54" s="210"/>
      <c r="O54" s="210"/>
      <c r="P54" s="208"/>
      <c r="Q54" s="2306">
        <v>0.15</v>
      </c>
      <c r="R54" s="2306"/>
      <c r="S54" s="348"/>
      <c r="T54" s="348"/>
      <c r="U54" s="348"/>
    </row>
    <row r="55" spans="1:21" s="332" customFormat="1" ht="11.45" customHeight="1">
      <c r="A55" s="210"/>
      <c r="B55" s="466"/>
      <c r="C55" s="210"/>
      <c r="D55" s="208"/>
      <c r="E55" s="208"/>
      <c r="G55" s="210"/>
      <c r="H55" s="210"/>
      <c r="I55" s="208"/>
      <c r="J55" s="210" t="s">
        <v>2527</v>
      </c>
      <c r="K55" s="210"/>
      <c r="L55" s="210"/>
      <c r="M55" s="210"/>
      <c r="N55" s="210"/>
      <c r="O55" s="210"/>
      <c r="P55" s="208"/>
      <c r="Q55" s="2306" t="s">
        <v>2528</v>
      </c>
      <c r="R55" s="2306"/>
      <c r="S55" s="348"/>
      <c r="T55" s="348"/>
      <c r="U55" s="348"/>
    </row>
    <row r="56" spans="1:21" s="332" customFormat="1" ht="11.45" customHeight="1">
      <c r="A56" s="210"/>
      <c r="B56" s="466"/>
      <c r="C56" s="210"/>
      <c r="D56" s="208"/>
      <c r="E56" s="208"/>
      <c r="F56" s="210" t="s">
        <v>2169</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2168</v>
      </c>
      <c r="G57" s="210"/>
      <c r="I57" s="208"/>
      <c r="J57" s="210"/>
      <c r="K57" s="210"/>
      <c r="L57" s="210"/>
      <c r="M57" s="210"/>
      <c r="N57" s="210"/>
      <c r="O57" s="210"/>
      <c r="P57" s="208"/>
      <c r="Q57" s="350">
        <v>0</v>
      </c>
      <c r="R57" s="350">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1">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1">
        <v>6</v>
      </c>
      <c r="R59" s="347" t="s">
        <v>1854</v>
      </c>
      <c r="S59" s="348"/>
      <c r="T59" s="348"/>
      <c r="U59" s="348"/>
    </row>
    <row r="60" spans="1:21" s="332" customFormat="1" ht="11.45" customHeight="1">
      <c r="A60" s="210"/>
      <c r="B60" s="469" t="s">
        <v>2170</v>
      </c>
      <c r="C60" s="210"/>
      <c r="D60" s="208"/>
      <c r="E60" s="208"/>
      <c r="F60" s="210"/>
      <c r="G60" s="210"/>
      <c r="I60" s="208"/>
      <c r="J60" s="210" t="s">
        <v>2171</v>
      </c>
      <c r="K60" s="210"/>
      <c r="L60" s="210"/>
      <c r="M60" s="210"/>
      <c r="N60" s="210"/>
      <c r="O60" s="210"/>
      <c r="P60" s="208"/>
      <c r="Q60" s="351">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2307">
        <v>3000</v>
      </c>
      <c r="R61" s="2308"/>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2573</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1888</v>
      </c>
      <c r="C66" s="210"/>
      <c r="D66" s="210"/>
      <c r="E66" s="210"/>
      <c r="F66" s="210"/>
      <c r="G66" s="210"/>
      <c r="H66" s="210"/>
      <c r="J66" s="210" t="s">
        <v>1889</v>
      </c>
      <c r="K66" s="210"/>
      <c r="L66" s="210"/>
      <c r="M66" s="210"/>
      <c r="N66" s="210"/>
      <c r="O66" s="210"/>
      <c r="Q66" s="2306">
        <v>0.02</v>
      </c>
      <c r="R66" s="2306"/>
    </row>
    <row r="67" spans="1:26" s="348" customFormat="1" ht="11.45" customHeight="1">
      <c r="A67" s="210"/>
      <c r="B67" s="210" t="s">
        <v>1890</v>
      </c>
      <c r="C67" s="210"/>
      <c r="D67" s="210"/>
      <c r="E67" s="210"/>
      <c r="F67" s="210"/>
      <c r="G67" s="210"/>
      <c r="H67" s="210"/>
      <c r="J67" s="210" t="s">
        <v>1889</v>
      </c>
      <c r="K67" s="210"/>
      <c r="L67" s="210"/>
      <c r="M67" s="210"/>
      <c r="N67" s="210"/>
      <c r="O67" s="210"/>
      <c r="Q67" s="2306">
        <v>7.0000000000000007E-2</v>
      </c>
      <c r="R67" s="2306"/>
    </row>
    <row r="68" spans="1:26" s="348" customFormat="1" ht="11.45" customHeight="1">
      <c r="A68" s="210"/>
      <c r="B68" s="210" t="s">
        <v>1891</v>
      </c>
      <c r="C68" s="210"/>
      <c r="D68" s="210"/>
      <c r="E68" s="210"/>
      <c r="F68" s="210"/>
      <c r="G68" s="210"/>
      <c r="H68" s="210"/>
      <c r="J68" s="210" t="s">
        <v>1889</v>
      </c>
      <c r="K68" s="210"/>
      <c r="L68" s="210"/>
      <c r="M68" s="210"/>
      <c r="N68" s="210"/>
      <c r="O68" s="210"/>
      <c r="Q68" s="2306">
        <v>7.0000000000000007E-2</v>
      </c>
      <c r="R68" s="2306"/>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2306">
        <v>0.03</v>
      </c>
      <c r="R69" s="2306"/>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2306">
        <v>0.03</v>
      </c>
      <c r="R70" s="2306"/>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2306">
        <v>0</v>
      </c>
      <c r="R71" s="2306"/>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2879</v>
      </c>
      <c r="B73" s="210"/>
      <c r="C73" s="210"/>
      <c r="D73" s="208"/>
      <c r="E73" s="208"/>
      <c r="F73" s="210" t="s">
        <v>2781</v>
      </c>
      <c r="G73" s="210"/>
      <c r="H73" s="208"/>
      <c r="I73" s="208"/>
      <c r="J73" s="210" t="s">
        <v>2881</v>
      </c>
      <c r="K73" s="210"/>
      <c r="L73" s="210"/>
      <c r="M73" s="210"/>
      <c r="N73" s="210"/>
      <c r="O73" s="210"/>
      <c r="P73" s="208"/>
      <c r="Q73" s="2306">
        <v>0.1</v>
      </c>
      <c r="R73" s="2306"/>
      <c r="S73" s="208"/>
      <c r="T73" s="208"/>
      <c r="U73" s="208"/>
      <c r="V73" s="339"/>
      <c r="W73" s="339"/>
      <c r="X73" s="211"/>
    </row>
    <row r="74" spans="1:26" s="332" customFormat="1" ht="11.45" customHeight="1">
      <c r="A74" s="210"/>
      <c r="B74" s="210"/>
      <c r="C74" s="210"/>
      <c r="D74" s="208"/>
      <c r="E74" s="208"/>
      <c r="F74" s="210" t="s">
        <v>2880</v>
      </c>
      <c r="G74" s="210"/>
      <c r="H74" s="208"/>
      <c r="I74" s="208"/>
      <c r="J74" s="210" t="s">
        <v>2882</v>
      </c>
      <c r="K74" s="210"/>
      <c r="L74" s="210"/>
      <c r="M74" s="210"/>
      <c r="N74" s="210"/>
      <c r="O74" s="210"/>
      <c r="P74" s="208"/>
      <c r="Q74" s="2306">
        <v>0.15</v>
      </c>
      <c r="R74" s="2306"/>
      <c r="S74" s="340"/>
      <c r="T74" s="340"/>
      <c r="U74" s="208"/>
      <c r="V74" s="341"/>
      <c r="W74" s="341"/>
      <c r="X74" s="341"/>
    </row>
    <row r="75" spans="1:26" ht="4.5" customHeight="1"/>
    <row r="76" spans="1:26">
      <c r="A76" s="337" t="s">
        <v>3291</v>
      </c>
      <c r="F76" s="210" t="s">
        <v>2780</v>
      </c>
      <c r="G76" s="210"/>
      <c r="H76" s="208"/>
      <c r="I76" s="208"/>
      <c r="J76" s="210" t="s">
        <v>2881</v>
      </c>
      <c r="K76" s="210"/>
      <c r="L76" s="210"/>
      <c r="M76" s="210"/>
      <c r="N76" s="210"/>
      <c r="O76" s="210"/>
      <c r="P76" s="208"/>
      <c r="Q76" s="2306">
        <v>0.35</v>
      </c>
      <c r="R76" s="2306"/>
    </row>
    <row r="77" spans="1:26" s="332" customFormat="1" ht="12.75" customHeight="1">
      <c r="A77" s="337"/>
      <c r="B77" s="210"/>
      <c r="C77" s="210"/>
      <c r="D77" s="208"/>
      <c r="E77" s="208"/>
      <c r="F77" s="210" t="s">
        <v>3292</v>
      </c>
      <c r="G77" s="210"/>
      <c r="H77" s="208"/>
      <c r="I77" s="208"/>
      <c r="J77" s="210" t="s">
        <v>2881</v>
      </c>
      <c r="K77" s="210"/>
      <c r="L77" s="210"/>
      <c r="M77" s="210"/>
      <c r="N77" s="210"/>
      <c r="O77" s="210"/>
      <c r="P77" s="208"/>
      <c r="Q77" s="2306" t="s">
        <v>3293</v>
      </c>
      <c r="R77" s="2306"/>
      <c r="S77" s="208"/>
      <c r="T77" s="208"/>
      <c r="U77" s="208"/>
      <c r="V77" s="339"/>
      <c r="W77" s="339"/>
      <c r="X77" s="211"/>
    </row>
    <row r="78" spans="1:26" ht="13.15" customHeight="1">
      <c r="C78" s="355"/>
      <c r="D78" s="355"/>
      <c r="E78" s="355"/>
      <c r="F78" s="355"/>
      <c r="G78" s="355"/>
      <c r="H78" s="355"/>
      <c r="I78" s="355"/>
    </row>
    <row r="80" spans="1:26" ht="13.5">
      <c r="D80" s="487">
        <v>2014</v>
      </c>
      <c r="J80" s="463" t="s">
        <v>857</v>
      </c>
      <c r="K80" s="463"/>
      <c r="L80" s="330"/>
    </row>
    <row r="81" spans="3:12" ht="13.5">
      <c r="C81" s="643" t="s">
        <v>1358</v>
      </c>
      <c r="D81" s="462" t="s">
        <v>1096</v>
      </c>
      <c r="J81" s="464" t="s">
        <v>860</v>
      </c>
      <c r="K81" s="464" t="s">
        <v>858</v>
      </c>
      <c r="L81" s="465" t="s">
        <v>859</v>
      </c>
    </row>
    <row r="82" spans="3:12" ht="10.5" customHeight="1">
      <c r="C82" s="460" t="s">
        <v>1905</v>
      </c>
      <c r="D82" s="560">
        <v>41500</v>
      </c>
      <c r="E82" s="348"/>
      <c r="F82" s="348"/>
      <c r="J82" s="488">
        <v>0</v>
      </c>
      <c r="K82" s="488">
        <v>0.7</v>
      </c>
      <c r="L82" s="488">
        <v>1</v>
      </c>
    </row>
    <row r="83" spans="3:12" ht="10.5" customHeight="1">
      <c r="C83" s="460" t="s">
        <v>1288</v>
      </c>
      <c r="D83" s="560">
        <v>43700</v>
      </c>
      <c r="E83" s="348"/>
      <c r="F83" s="348"/>
      <c r="J83" s="488">
        <v>1</v>
      </c>
      <c r="K83" s="488">
        <v>0.75</v>
      </c>
      <c r="L83" s="488">
        <v>1.5</v>
      </c>
    </row>
    <row r="84" spans="3:12" ht="10.5" customHeight="1">
      <c r="C84" s="460" t="s">
        <v>1097</v>
      </c>
      <c r="D84" s="560">
        <v>55500</v>
      </c>
      <c r="E84" s="348"/>
      <c r="F84" s="348"/>
      <c r="J84" s="488">
        <v>2</v>
      </c>
      <c r="K84" s="488">
        <v>0.9</v>
      </c>
      <c r="L84" s="488">
        <v>3</v>
      </c>
    </row>
    <row r="85" spans="3:12" ht="10.5" customHeight="1">
      <c r="C85" s="460" t="s">
        <v>1901</v>
      </c>
      <c r="D85" s="560">
        <v>36700</v>
      </c>
      <c r="E85" s="348"/>
      <c r="F85" s="348"/>
      <c r="J85" s="488">
        <v>3</v>
      </c>
      <c r="K85" s="488">
        <v>1.04</v>
      </c>
      <c r="L85" s="488">
        <v>4.5</v>
      </c>
    </row>
    <row r="86" spans="3:12" ht="10.5" customHeight="1">
      <c r="C86" s="460" t="s">
        <v>814</v>
      </c>
      <c r="D86" s="560">
        <v>64400</v>
      </c>
      <c r="E86" s="348"/>
      <c r="F86" s="348"/>
      <c r="J86" s="488">
        <v>4</v>
      </c>
      <c r="K86" s="488">
        <v>1.1599999999999999</v>
      </c>
      <c r="L86" s="488">
        <v>6</v>
      </c>
    </row>
    <row r="87" spans="3:12" ht="10.5" customHeight="1">
      <c r="C87" s="460" t="s">
        <v>815</v>
      </c>
      <c r="D87" s="560">
        <v>55900</v>
      </c>
      <c r="E87" s="348"/>
      <c r="F87" s="348"/>
      <c r="J87" s="488">
        <v>5</v>
      </c>
      <c r="K87" s="488">
        <v>1.28</v>
      </c>
      <c r="L87" s="488">
        <v>7.5</v>
      </c>
    </row>
    <row r="88" spans="3:12" ht="10.5" customHeight="1">
      <c r="C88" s="460" t="s">
        <v>1903</v>
      </c>
      <c r="D88" s="560">
        <v>44500</v>
      </c>
      <c r="E88" s="348"/>
      <c r="F88" s="348"/>
    </row>
    <row r="89" spans="3:12" ht="10.5" customHeight="1">
      <c r="C89" s="460" t="s">
        <v>163</v>
      </c>
      <c r="D89" s="560">
        <v>51300</v>
      </c>
      <c r="E89" s="348"/>
      <c r="F89" s="348"/>
    </row>
    <row r="90" spans="3:12" ht="10.5" customHeight="1">
      <c r="C90" s="460" t="s">
        <v>1397</v>
      </c>
      <c r="D90" s="560">
        <v>51300</v>
      </c>
      <c r="E90" s="348"/>
      <c r="F90" s="348"/>
    </row>
    <row r="91" spans="3:12" ht="10.5" customHeight="1">
      <c r="C91" s="461" t="s">
        <v>1100</v>
      </c>
      <c r="D91" s="560">
        <v>39800</v>
      </c>
      <c r="E91" s="348"/>
      <c r="F91" s="348"/>
    </row>
    <row r="92" spans="3:12" ht="10.5" customHeight="1">
      <c r="C92" s="461" t="s">
        <v>1403</v>
      </c>
      <c r="D92" s="560">
        <v>43200</v>
      </c>
      <c r="E92" s="348"/>
      <c r="F92" s="348"/>
    </row>
    <row r="93" spans="3:12" ht="10.5" customHeight="1">
      <c r="C93" s="461" t="s">
        <v>1407</v>
      </c>
      <c r="D93" s="560">
        <v>53700</v>
      </c>
      <c r="E93" s="348"/>
      <c r="F93" s="348"/>
    </row>
    <row r="94" spans="3:12" ht="10.5" customHeight="1">
      <c r="C94" s="460" t="s">
        <v>12</v>
      </c>
      <c r="D94" s="560">
        <v>54800</v>
      </c>
      <c r="E94" s="348"/>
      <c r="F94" s="348"/>
    </row>
    <row r="95" spans="3:12" ht="10.5" customHeight="1">
      <c r="C95" s="461" t="s">
        <v>1413</v>
      </c>
      <c r="D95" s="560">
        <v>52700</v>
      </c>
      <c r="E95" s="348"/>
      <c r="F95" s="348"/>
    </row>
    <row r="96" spans="3:12" ht="10.5" customHeight="1">
      <c r="C96" s="460" t="s">
        <v>1098</v>
      </c>
      <c r="D96" s="560">
        <v>63500</v>
      </c>
      <c r="E96" s="348"/>
      <c r="F96" s="348"/>
    </row>
    <row r="97" spans="3:6" ht="10.5" customHeight="1">
      <c r="C97" s="461" t="s">
        <v>1418</v>
      </c>
      <c r="D97" s="560">
        <v>47300</v>
      </c>
      <c r="E97" s="348"/>
      <c r="F97" s="348"/>
    </row>
    <row r="98" spans="3:6" ht="10.5" customHeight="1">
      <c r="C98" s="461" t="s">
        <v>779</v>
      </c>
      <c r="D98" s="560">
        <v>62400</v>
      </c>
      <c r="E98" s="348"/>
      <c r="F98" s="348"/>
    </row>
    <row r="99" spans="3:6" ht="10.5" customHeight="1">
      <c r="C99" s="461" t="s">
        <v>781</v>
      </c>
      <c r="D99" s="560">
        <v>43100</v>
      </c>
      <c r="E99" s="348"/>
      <c r="F99" s="348"/>
    </row>
    <row r="100" spans="3:6" ht="10.5" customHeight="1">
      <c r="C100" s="460" t="s">
        <v>165</v>
      </c>
      <c r="D100" s="560">
        <v>50700</v>
      </c>
      <c r="E100" s="348"/>
      <c r="F100" s="348"/>
    </row>
    <row r="101" spans="3:6" ht="10.5" customHeight="1">
      <c r="C101" s="460" t="s">
        <v>1626</v>
      </c>
      <c r="D101" s="560">
        <v>54200</v>
      </c>
      <c r="E101" s="348"/>
      <c r="F101" s="348"/>
    </row>
    <row r="102" spans="3:6" ht="10.5" customHeight="1">
      <c r="C102" s="460" t="s">
        <v>170</v>
      </c>
      <c r="D102" s="560">
        <v>40700</v>
      </c>
      <c r="E102" s="348"/>
      <c r="F102" s="348"/>
    </row>
    <row r="103" spans="3:6" ht="10.5" customHeight="1">
      <c r="C103" s="460" t="s">
        <v>2649</v>
      </c>
      <c r="D103" s="560">
        <v>32600</v>
      </c>
      <c r="E103" s="348"/>
      <c r="F103" s="348"/>
    </row>
    <row r="104" spans="3:6" ht="10.5" customHeight="1">
      <c r="C104" s="461" t="s">
        <v>2652</v>
      </c>
      <c r="D104" s="560">
        <v>45300</v>
      </c>
      <c r="E104" s="348"/>
      <c r="F104" s="348"/>
    </row>
    <row r="105" spans="3:6" ht="10.5" customHeight="1">
      <c r="C105" s="461" t="s">
        <v>2655</v>
      </c>
      <c r="D105" s="560">
        <v>40800</v>
      </c>
      <c r="E105" s="348"/>
      <c r="F105" s="348"/>
    </row>
    <row r="106" spans="3:6" ht="10.5" customHeight="1">
      <c r="C106" s="461" t="s">
        <v>2699</v>
      </c>
      <c r="D106" s="560">
        <v>42600</v>
      </c>
      <c r="E106" s="348"/>
      <c r="F106" s="348"/>
    </row>
    <row r="107" spans="3:6" ht="10.5" customHeight="1">
      <c r="C107" s="460" t="s">
        <v>168</v>
      </c>
      <c r="D107" s="560">
        <v>51000</v>
      </c>
      <c r="E107" s="348"/>
      <c r="F107" s="348"/>
    </row>
    <row r="108" spans="3:6" ht="10.5" customHeight="1">
      <c r="C108" s="461" t="s">
        <v>2702</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1008</v>
      </c>
      <c r="D112" s="560">
        <v>46300</v>
      </c>
      <c r="E112" s="348"/>
      <c r="F112" s="348"/>
    </row>
    <row r="113" spans="3:6" ht="10.5" customHeight="1">
      <c r="C113" s="461" t="s">
        <v>1010</v>
      </c>
      <c r="D113" s="560">
        <v>44400</v>
      </c>
      <c r="E113" s="348"/>
      <c r="F113" s="348"/>
    </row>
    <row r="114" spans="3:6" ht="10.5" customHeight="1">
      <c r="C114" s="460" t="s">
        <v>929</v>
      </c>
      <c r="D114" s="560">
        <v>42600</v>
      </c>
      <c r="E114" s="348"/>
      <c r="F114" s="348"/>
    </row>
    <row r="115" spans="3:6" ht="10.5" customHeight="1">
      <c r="C115" s="461" t="s">
        <v>933</v>
      </c>
      <c r="D115" s="560">
        <v>38900</v>
      </c>
      <c r="E115" s="348"/>
      <c r="F115" s="348"/>
    </row>
    <row r="116" spans="3:6" ht="10.5" customHeight="1">
      <c r="C116" s="461" t="s">
        <v>2390</v>
      </c>
      <c r="D116" s="560">
        <v>38700</v>
      </c>
      <c r="E116" s="348"/>
      <c r="F116" s="348"/>
    </row>
    <row r="117" spans="3:6" ht="10.5" customHeight="1">
      <c r="C117" s="461" t="s">
        <v>699</v>
      </c>
      <c r="D117" s="560">
        <v>46700</v>
      </c>
      <c r="E117" s="348"/>
      <c r="F117" s="348"/>
    </row>
    <row r="118" spans="3:6" ht="10.5" customHeight="1">
      <c r="C118" s="461" t="s">
        <v>701</v>
      </c>
      <c r="D118" s="560">
        <v>43700</v>
      </c>
      <c r="E118" s="348"/>
      <c r="F118" s="348"/>
    </row>
    <row r="119" spans="3:6" ht="10.5" customHeight="1">
      <c r="C119" s="461" t="s">
        <v>706</v>
      </c>
      <c r="D119" s="560">
        <v>45600</v>
      </c>
      <c r="E119" s="348"/>
      <c r="F119" s="348"/>
    </row>
    <row r="120" spans="3:6" ht="10.5" customHeight="1">
      <c r="C120" s="461" t="s">
        <v>1297</v>
      </c>
      <c r="D120" s="560">
        <v>56100</v>
      </c>
      <c r="E120" s="348"/>
      <c r="F120" s="348"/>
    </row>
    <row r="121" spans="3:6" ht="10.5" customHeight="1">
      <c r="C121" s="461" t="s">
        <v>708</v>
      </c>
      <c r="D121" s="560">
        <v>46200</v>
      </c>
      <c r="E121" s="348"/>
      <c r="F121" s="348"/>
    </row>
    <row r="122" spans="3:6" ht="10.5" customHeight="1">
      <c r="C122" s="461" t="s">
        <v>710</v>
      </c>
      <c r="D122" s="560">
        <v>50100</v>
      </c>
      <c r="E122" s="348"/>
      <c r="F122" s="348"/>
    </row>
    <row r="123" spans="3:6" ht="10.5" customHeight="1">
      <c r="C123" s="461" t="s">
        <v>713</v>
      </c>
      <c r="D123" s="560">
        <v>52000</v>
      </c>
      <c r="E123" s="348"/>
      <c r="F123" s="348"/>
    </row>
    <row r="124" spans="3:6" ht="10.5" customHeight="1">
      <c r="C124" s="461" t="s">
        <v>715</v>
      </c>
      <c r="D124" s="560">
        <v>42900</v>
      </c>
      <c r="E124" s="348"/>
      <c r="F124" s="348"/>
    </row>
    <row r="125" spans="3:6" ht="10.5" customHeight="1">
      <c r="C125" s="461" t="s">
        <v>717</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816</v>
      </c>
      <c r="D128" s="560">
        <v>46300</v>
      </c>
      <c r="E128" s="348"/>
      <c r="F128" s="348"/>
    </row>
    <row r="129" spans="3:6" ht="10.5" customHeight="1">
      <c r="C129" s="461" t="s">
        <v>335</v>
      </c>
      <c r="D129" s="560">
        <v>48900</v>
      </c>
      <c r="E129" s="348"/>
      <c r="F129" s="348"/>
    </row>
    <row r="130" spans="3:6" ht="10.5" customHeight="1">
      <c r="C130" s="461" t="s">
        <v>1099</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817</v>
      </c>
      <c r="D137" s="560">
        <v>46600</v>
      </c>
      <c r="E137" s="348"/>
      <c r="F137" s="348"/>
    </row>
    <row r="138" spans="3:6" ht="10.5" customHeight="1">
      <c r="C138" s="461" t="s">
        <v>1549</v>
      </c>
      <c r="D138" s="560">
        <v>47400</v>
      </c>
      <c r="E138" s="348"/>
      <c r="F138" s="348"/>
    </row>
    <row r="139" spans="3:6" ht="10.5" customHeight="1">
      <c r="C139" s="461" t="s">
        <v>1553</v>
      </c>
      <c r="D139" s="560">
        <v>46500</v>
      </c>
      <c r="E139" s="348"/>
      <c r="F139" s="348"/>
    </row>
    <row r="140" spans="3:6" ht="10.5" customHeight="1">
      <c r="C140" s="461" t="s">
        <v>1555</v>
      </c>
      <c r="D140" s="560">
        <v>49700</v>
      </c>
      <c r="E140" s="348"/>
      <c r="F140" s="348"/>
    </row>
    <row r="141" spans="3:6" ht="10.5" customHeight="1">
      <c r="C141" s="461" t="s">
        <v>184</v>
      </c>
      <c r="D141" s="560">
        <v>55200</v>
      </c>
      <c r="E141" s="348"/>
      <c r="F141" s="348"/>
    </row>
    <row r="142" spans="3:6" ht="10.5" customHeight="1">
      <c r="C142" s="461" t="s">
        <v>1405</v>
      </c>
      <c r="D142" s="560">
        <v>49800</v>
      </c>
      <c r="E142" s="348"/>
      <c r="F142" s="348"/>
    </row>
    <row r="143" spans="3:6" ht="10.5" customHeight="1">
      <c r="C143" s="461" t="s">
        <v>185</v>
      </c>
      <c r="D143" s="560">
        <v>38100</v>
      </c>
      <c r="E143" s="348"/>
      <c r="F143" s="348"/>
    </row>
    <row r="144" spans="3:6" ht="10.5" customHeight="1">
      <c r="C144" s="461" t="s">
        <v>819</v>
      </c>
      <c r="D144" s="560">
        <v>47500</v>
      </c>
      <c r="E144" s="348"/>
      <c r="F144" s="348"/>
    </row>
    <row r="145" spans="3:6" ht="10.5" customHeight="1">
      <c r="C145" s="461" t="s">
        <v>1742</v>
      </c>
      <c r="D145" s="560">
        <v>42800</v>
      </c>
      <c r="E145" s="348"/>
      <c r="F145" s="348"/>
    </row>
    <row r="146" spans="3:6" ht="10.5" customHeight="1">
      <c r="C146" s="461" t="s">
        <v>1744</v>
      </c>
      <c r="D146" s="560">
        <v>47700</v>
      </c>
      <c r="E146" s="348"/>
      <c r="F146" s="348"/>
    </row>
    <row r="147" spans="3:6" ht="10.5" customHeight="1">
      <c r="C147" s="461" t="s">
        <v>2179</v>
      </c>
      <c r="D147" s="560">
        <v>63200</v>
      </c>
      <c r="E147" s="348"/>
      <c r="F147" s="348"/>
    </row>
    <row r="148" spans="3:6" ht="10.5" customHeight="1">
      <c r="C148" s="461" t="s">
        <v>192</v>
      </c>
      <c r="D148" s="560">
        <v>46200</v>
      </c>
      <c r="E148" s="348"/>
      <c r="F148" s="348"/>
    </row>
    <row r="149" spans="3:6" ht="10.5" customHeight="1">
      <c r="C149" s="460" t="s">
        <v>2766</v>
      </c>
      <c r="D149" s="560">
        <v>62400</v>
      </c>
      <c r="E149" s="348"/>
      <c r="F149" s="348"/>
    </row>
    <row r="150" spans="3:6" ht="10.5" customHeight="1">
      <c r="C150" s="461" t="s">
        <v>2768</v>
      </c>
      <c r="D150" s="560">
        <v>44200</v>
      </c>
      <c r="E150" s="348"/>
      <c r="F150" s="348"/>
    </row>
    <row r="151" spans="3:6" ht="10.5" customHeight="1">
      <c r="C151" s="461" t="s">
        <v>1156</v>
      </c>
      <c r="D151" s="560">
        <v>55600</v>
      </c>
      <c r="E151" s="348"/>
      <c r="F151" s="348"/>
    </row>
    <row r="152" spans="3:6" ht="10.5" customHeight="1">
      <c r="C152" s="461" t="s">
        <v>1159</v>
      </c>
      <c r="D152" s="560">
        <v>48700</v>
      </c>
      <c r="E152" s="348"/>
      <c r="F152" s="348"/>
    </row>
    <row r="153" spans="3:6" ht="10.5" customHeight="1">
      <c r="C153" s="461" t="s">
        <v>1162</v>
      </c>
      <c r="D153" s="560">
        <v>49100</v>
      </c>
      <c r="E153" s="348"/>
      <c r="F153" s="348"/>
    </row>
    <row r="154" spans="3:6" ht="10.5" customHeight="1">
      <c r="C154" s="460" t="s">
        <v>1164</v>
      </c>
      <c r="D154" s="560">
        <v>47500</v>
      </c>
      <c r="E154" s="348"/>
      <c r="F154" s="348"/>
    </row>
    <row r="155" spans="3:6" ht="10.5" customHeight="1">
      <c r="C155" s="461" t="s">
        <v>1166</v>
      </c>
      <c r="D155" s="560">
        <v>51100</v>
      </c>
      <c r="E155" s="348"/>
      <c r="F155" s="348"/>
    </row>
    <row r="156" spans="3:6" ht="10.5" customHeight="1">
      <c r="C156" s="461" t="s">
        <v>1168</v>
      </c>
      <c r="D156" s="560">
        <v>38300</v>
      </c>
      <c r="E156" s="348"/>
      <c r="F156" s="348"/>
    </row>
    <row r="157" spans="3:6" ht="10.5" customHeight="1">
      <c r="C157" s="461" t="s">
        <v>1170</v>
      </c>
      <c r="D157" s="560">
        <v>52300</v>
      </c>
      <c r="E157" s="348"/>
      <c r="F157" s="348"/>
    </row>
    <row r="158" spans="3:6" ht="10.5" customHeight="1">
      <c r="C158" s="460" t="s">
        <v>1172</v>
      </c>
      <c r="D158" s="560">
        <v>36600</v>
      </c>
      <c r="E158" s="348"/>
      <c r="F158" s="348"/>
    </row>
    <row r="159" spans="3:6" ht="10.5" customHeight="1">
      <c r="C159" s="460" t="s">
        <v>2415</v>
      </c>
      <c r="D159" s="560">
        <v>52300</v>
      </c>
      <c r="E159" s="348"/>
      <c r="F159" s="348"/>
    </row>
    <row r="160" spans="3:6" ht="10.5" customHeight="1">
      <c r="C160" s="461" t="s">
        <v>1411</v>
      </c>
      <c r="D160" s="560">
        <v>58500</v>
      </c>
      <c r="E160" s="348"/>
      <c r="F160" s="348"/>
    </row>
    <row r="161" spans="3:6" ht="10.5" customHeight="1">
      <c r="C161" s="461" t="s">
        <v>2306</v>
      </c>
      <c r="D161" s="560">
        <v>51500</v>
      </c>
      <c r="E161" s="348"/>
      <c r="F161" s="348"/>
    </row>
    <row r="162" spans="3:6" ht="10.5" customHeight="1">
      <c r="C162" s="461" t="s">
        <v>2308</v>
      </c>
      <c r="D162" s="560">
        <v>46700</v>
      </c>
      <c r="E162" s="348"/>
      <c r="F162" s="348"/>
    </row>
    <row r="163" spans="3:6" ht="10.5" customHeight="1">
      <c r="C163" s="461" t="s">
        <v>2310</v>
      </c>
      <c r="D163" s="560">
        <v>40400</v>
      </c>
      <c r="E163" s="348"/>
      <c r="F163" s="348"/>
    </row>
    <row r="164" spans="3:6" ht="10.5" customHeight="1">
      <c r="C164" s="461" t="s">
        <v>2313</v>
      </c>
      <c r="D164" s="560">
        <v>49300</v>
      </c>
      <c r="E164" s="348"/>
      <c r="F164" s="348"/>
    </row>
    <row r="165" spans="3:6" ht="10.5" customHeight="1">
      <c r="C165" s="460" t="s">
        <v>2315</v>
      </c>
      <c r="D165" s="560">
        <v>41100</v>
      </c>
      <c r="E165" s="348"/>
      <c r="F165" s="348"/>
    </row>
    <row r="166" spans="3:6" ht="10.5" customHeight="1">
      <c r="C166" s="460" t="s">
        <v>2317</v>
      </c>
      <c r="D166" s="560">
        <v>45200</v>
      </c>
      <c r="E166" s="348"/>
      <c r="F166" s="348"/>
    </row>
    <row r="167" spans="3:6" ht="10.5" customHeight="1">
      <c r="C167" s="461" t="s">
        <v>2319</v>
      </c>
      <c r="D167" s="560">
        <v>46100</v>
      </c>
      <c r="E167" s="348"/>
      <c r="F167" s="348"/>
    </row>
    <row r="168" spans="3:6" ht="10.5" customHeight="1">
      <c r="C168" s="461" t="s">
        <v>2321</v>
      </c>
      <c r="D168" s="560">
        <v>32300</v>
      </c>
      <c r="E168" s="348"/>
      <c r="F168" s="348"/>
    </row>
    <row r="169" spans="3:6" ht="10.5" customHeight="1">
      <c r="C169" s="461" t="s">
        <v>2323</v>
      </c>
      <c r="D169" s="560">
        <v>46900</v>
      </c>
      <c r="E169" s="348"/>
      <c r="F169" s="348"/>
    </row>
    <row r="170" spans="3:6" ht="10.5" customHeight="1">
      <c r="C170" s="461" t="s">
        <v>924</v>
      </c>
      <c r="D170" s="560">
        <v>40400</v>
      </c>
      <c r="E170" s="348"/>
      <c r="F170" s="348"/>
    </row>
    <row r="171" spans="3:6" ht="10.5" customHeight="1">
      <c r="C171" s="461" t="s">
        <v>926</v>
      </c>
      <c r="D171" s="560">
        <v>32900</v>
      </c>
      <c r="E171" s="348"/>
      <c r="F171" s="348"/>
    </row>
    <row r="172" spans="3:6" ht="10.5" customHeight="1">
      <c r="C172" s="461" t="s">
        <v>1779</v>
      </c>
      <c r="D172" s="560">
        <v>47100</v>
      </c>
      <c r="E172" s="348"/>
      <c r="F172" s="348"/>
    </row>
    <row r="173" spans="3:6" ht="10.5" customHeight="1">
      <c r="C173" s="461" t="s">
        <v>2041</v>
      </c>
      <c r="D173" s="560">
        <v>48800</v>
      </c>
      <c r="E173" s="348"/>
      <c r="F173" s="348"/>
    </row>
    <row r="174" spans="3:6" ht="10.5" customHeight="1">
      <c r="C174" s="460" t="s">
        <v>2043</v>
      </c>
      <c r="D174" s="560">
        <v>47500</v>
      </c>
      <c r="E174" s="348"/>
      <c r="F174" s="348"/>
    </row>
    <row r="175" spans="3:6" ht="10.5" customHeight="1">
      <c r="C175" s="460" t="s">
        <v>2045</v>
      </c>
      <c r="D175" s="560">
        <v>51400</v>
      </c>
      <c r="E175" s="348"/>
      <c r="F175" s="348"/>
    </row>
    <row r="176" spans="3:6" ht="10.5" customHeight="1">
      <c r="C176" s="460" t="s">
        <v>2047</v>
      </c>
      <c r="D176" s="560">
        <v>46100</v>
      </c>
      <c r="E176" s="348"/>
      <c r="F176" s="348"/>
    </row>
    <row r="177" spans="3:6" ht="10.5" customHeight="1">
      <c r="C177" s="460" t="s">
        <v>2049</v>
      </c>
      <c r="D177" s="560">
        <v>49000</v>
      </c>
      <c r="E177" s="348"/>
      <c r="F177" s="348"/>
    </row>
    <row r="178" spans="3:6" ht="10.5" customHeight="1">
      <c r="C178" s="460" t="s">
        <v>2051</v>
      </c>
      <c r="D178" s="560">
        <v>43600</v>
      </c>
      <c r="E178" s="348"/>
      <c r="F178" s="348"/>
    </row>
    <row r="179" spans="3:6" ht="10.5" customHeight="1">
      <c r="C179" s="461" t="s">
        <v>2054</v>
      </c>
      <c r="D179" s="560">
        <v>52800</v>
      </c>
      <c r="E179" s="348"/>
      <c r="F179" s="348"/>
    </row>
    <row r="180" spans="3:6" ht="10.5" customHeight="1">
      <c r="C180" s="460" t="s">
        <v>2141</v>
      </c>
      <c r="D180" s="560">
        <v>44600</v>
      </c>
      <c r="E180" s="348"/>
      <c r="F180" s="348"/>
    </row>
    <row r="181" spans="3:6" ht="10.5" customHeight="1">
      <c r="C181" s="460" t="s">
        <v>1814</v>
      </c>
      <c r="D181" s="560">
        <v>45200</v>
      </c>
      <c r="E181" s="348"/>
      <c r="F181" s="348"/>
    </row>
    <row r="182" spans="3:6" ht="10.5" customHeight="1">
      <c r="C182" s="461" t="s">
        <v>106</v>
      </c>
      <c r="D182" s="560">
        <v>48900</v>
      </c>
      <c r="E182" s="348"/>
      <c r="F182" s="348"/>
    </row>
    <row r="183" spans="3:6" ht="10.5" customHeight="1">
      <c r="C183" s="460" t="s">
        <v>1827</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2554</v>
      </c>
      <c r="D190" s="560">
        <v>40900</v>
      </c>
      <c r="E190" s="348"/>
      <c r="F190" s="348"/>
    </row>
    <row r="191" spans="3:6" ht="10.5" customHeight="1">
      <c r="C191" s="460" t="s">
        <v>2556</v>
      </c>
      <c r="D191" s="560">
        <v>38900</v>
      </c>
      <c r="E191" s="348"/>
      <c r="F191" s="348"/>
    </row>
    <row r="192" spans="3:6" ht="10.5" customHeight="1">
      <c r="C192" s="460" t="s">
        <v>2558</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6"/>
  <dimension ref="A1:HN1701"/>
  <sheetViews>
    <sheetView showGridLines="0" workbookViewId="0">
      <selection sqref="A1:XFD1048576"/>
    </sheetView>
  </sheetViews>
  <sheetFormatPr defaultRowHeight="12.75"/>
  <cols>
    <col min="1" max="16384" width="9.140625" style="580"/>
  </cols>
  <sheetData>
    <row r="1" spans="1:1" ht="15.75">
      <c r="A1" s="1045" t="s">
        <v>1038</v>
      </c>
    </row>
    <row r="2" spans="1:1" ht="16.5">
      <c r="A2" s="1046" t="str">
        <f>'Part I-Project Information'!F23</f>
        <v>North Grove Apartments</v>
      </c>
    </row>
    <row r="3" spans="1:1" ht="16.5">
      <c r="A3" s="1046" t="str">
        <f>CONCATENATE('Part I-Project Information'!F27,", ", 'Part I-Project Information'!J28," County")</f>
        <v>Athens, Clarke County</v>
      </c>
    </row>
    <row r="5" spans="1:1">
      <c r="A5" s="2355" t="str">
        <f>'Project Narrative'!A5</f>
        <v>Project Name: North Grove Apartments
Project Address: 198 Hull Road, Athens, GA
Total Units: 128
Total Low Income Units: 127
Project Type: Rehabilitation
Tenancy: Multi-family
DEVELOPMENT SUMMARY
North Grove Apartments is a proposed rehabilitation of an existing family development in Athens, Clarke County, Georgia. The project was originally developed as a Low Income Housing Tax Credit (“LIHTC”) development and has completed the initial 15-year compliance period. As such, the project is a candidate for the preservation point item.
The renovated property will offer a total of 128 units, 127 of which will be available for rent and one of which will be a non-revenue/manager unit. All existing buildings will be renovated. The community building will be demolished and a new center will be built to provide improved property amenities to the residents. 12 of the existing 2BR units will be converted to 1BR units in order to provide 15% (20 units) of the total units as 1BRs in order to satisfy the requirements of Integrated Supportive Health/Section 811 Rental Assistance program.
The improvements being made to the residential buildings and the amenities will not only significantly enhance the aesthetic appearance  of the property, but it will provide a better environment for families to grow and prosper. Upgraded living quarters, fitness facilities and business centers all create an environment condusive to personal growth.  
Because all units will be substantially rehabilitated, all current households will move. Most residents will transfer to a comparable unit on the site. 
BUILDING FEATURES, COMMON AREAS AND AMENITIES
The project will be enrolled in the EarthCraft Multifamily program, ensuring sustainable development and energy efficiency. Residential building improvements will include new roofing, new windows and the replacement or refurbishment of existing exteriors. Site improvements will be made as needed. Community spaces will include a new community building with community room and kitchenette, laundry center, furnished fitness center, business center and a covered porch for outside gatherings. Offices for on-site management will also be provided. A covered pavilion with picnic and barbeque facilities will be located on the site, along with a playground for children. 
THE APARTMENTS
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1” blinds.
.</v>
      </c>
    </row>
    <row r="6" spans="1:1">
      <c r="A6" s="2355"/>
    </row>
    <row r="7" spans="1:1">
      <c r="A7" s="2355"/>
    </row>
    <row r="8" spans="1:1">
      <c r="A8" s="2355"/>
    </row>
    <row r="9" spans="1:1">
      <c r="A9" s="2355"/>
    </row>
    <row r="10" spans="1:1">
      <c r="A10" s="2355"/>
    </row>
    <row r="11" spans="1:1">
      <c r="A11" s="2355"/>
    </row>
    <row r="12" spans="1:1">
      <c r="A12" s="2355"/>
    </row>
    <row r="13" spans="1:1">
      <c r="A13" s="2355"/>
    </row>
    <row r="14" spans="1:1">
      <c r="A14" s="2355"/>
    </row>
    <row r="15" spans="1:1">
      <c r="A15" s="2355"/>
    </row>
    <row r="16" spans="1:1">
      <c r="A16" s="2355"/>
    </row>
    <row r="17" spans="1:16">
      <c r="A17" s="2355"/>
    </row>
    <row r="18" spans="1:16">
      <c r="A18" s="2355"/>
    </row>
    <row r="19" spans="1:16">
      <c r="A19" s="2355"/>
    </row>
    <row r="20" spans="1:16">
      <c r="A20" s="2355"/>
    </row>
    <row r="21" spans="1:16">
      <c r="A21" s="2355"/>
    </row>
    <row r="22" spans="1:16">
      <c r="A22" s="2355"/>
    </row>
    <row r="23" spans="1:16">
      <c r="A23" s="2355"/>
    </row>
    <row r="25" spans="1:16">
      <c r="A25" s="2356" t="str">
        <f>CONCATENATE("PART ONE - PROJECT INFORMATION"," - ",$O$4," ",$F$23,", ",'Part I-Project Information'!F51,", ",'Part I-Project Information'!J52," County")</f>
        <v>PART ONE - PROJECT INFORMATION -  , ,  County</v>
      </c>
      <c r="B25" s="2356"/>
      <c r="C25" s="2356"/>
      <c r="D25" s="2356"/>
      <c r="E25" s="2356"/>
      <c r="F25" s="2356"/>
      <c r="G25" s="2356"/>
      <c r="H25" s="2356"/>
      <c r="I25" s="2356"/>
      <c r="J25" s="2356"/>
      <c r="K25" s="2356"/>
      <c r="L25" s="2356"/>
      <c r="M25" s="2356"/>
      <c r="N25" s="2356"/>
      <c r="O25" s="2356"/>
      <c r="P25" s="2356"/>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2517</v>
      </c>
      <c r="D27" s="790"/>
      <c r="E27" s="790"/>
      <c r="F27" s="789"/>
      <c r="G27" s="792" t="s">
        <v>3638</v>
      </c>
      <c r="H27" s="790"/>
      <c r="I27" s="790"/>
      <c r="J27" s="790"/>
      <c r="K27" s="790"/>
      <c r="L27" s="789"/>
      <c r="M27" s="790"/>
      <c r="N27" s="790"/>
      <c r="O27" s="2356" t="s">
        <v>2891</v>
      </c>
      <c r="P27" s="2356"/>
    </row>
    <row r="28" spans="1:16" ht="13.5">
      <c r="A28" s="789"/>
      <c r="B28" s="793"/>
      <c r="C28" s="793"/>
      <c r="D28" s="790"/>
      <c r="E28" s="790"/>
      <c r="F28" s="789"/>
      <c r="G28" s="792" t="s">
        <v>3639</v>
      </c>
      <c r="H28" s="794"/>
      <c r="I28" s="794"/>
      <c r="J28" s="794"/>
      <c r="K28" s="790"/>
      <c r="L28" s="790"/>
      <c r="M28" s="790"/>
      <c r="N28" s="790"/>
      <c r="O28" s="2356" t="str">
        <f>'Part I-Project Information'!O4</f>
        <v>2014-006</v>
      </c>
      <c r="P28" s="2356"/>
    </row>
    <row r="29" spans="1:16">
      <c r="A29" s="789"/>
      <c r="B29" s="793"/>
      <c r="C29" s="793"/>
      <c r="D29" s="793"/>
      <c r="E29" s="794"/>
      <c r="F29" s="790"/>
      <c r="G29" s="790"/>
      <c r="H29" s="794"/>
      <c r="I29" s="794"/>
      <c r="J29" s="794"/>
      <c r="K29" s="791"/>
      <c r="L29" s="790"/>
      <c r="M29" s="794"/>
      <c r="N29" s="790"/>
      <c r="O29" s="790"/>
      <c r="P29" s="790"/>
    </row>
    <row r="30" spans="1:16">
      <c r="A30" s="793" t="s">
        <v>656</v>
      </c>
      <c r="B30" s="793" t="s">
        <v>2530</v>
      </c>
      <c r="C30" s="790"/>
      <c r="D30" s="795"/>
      <c r="E30" s="796"/>
      <c r="F30" s="797" t="s">
        <v>1835</v>
      </c>
      <c r="G30" s="790"/>
      <c r="H30" s="790"/>
      <c r="I30" s="790"/>
      <c r="J30" s="2357">
        <f>'Part IV-Uses of Funds'!J197</f>
        <v>0</v>
      </c>
      <c r="K30" s="2357"/>
      <c r="L30" s="790"/>
      <c r="M30" s="794"/>
      <c r="N30" s="790"/>
      <c r="O30" s="790"/>
      <c r="P30" s="790"/>
    </row>
    <row r="31" spans="1:16">
      <c r="A31" s="586"/>
      <c r="B31" s="586"/>
      <c r="C31" s="583"/>
      <c r="E31" s="798"/>
      <c r="F31" s="790" t="s">
        <v>1368</v>
      </c>
      <c r="G31" s="583"/>
      <c r="H31" s="583"/>
      <c r="I31" s="583"/>
      <c r="J31" s="2358">
        <f>'Part III-Sources of Funds'!P28</f>
        <v>0</v>
      </c>
      <c r="K31" s="2358"/>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789</v>
      </c>
      <c r="B33" s="793" t="s">
        <v>2177</v>
      </c>
      <c r="C33" s="790"/>
      <c r="D33" s="790"/>
      <c r="E33" s="790"/>
      <c r="F33" s="2363" t="str">
        <f>'Part I-Project Information'!F9</f>
        <v>Competitive Round</v>
      </c>
      <c r="G33" s="2363"/>
      <c r="H33" s="2363"/>
      <c r="I33" s="802"/>
      <c r="J33" s="793" t="s">
        <v>3640</v>
      </c>
      <c r="K33" s="793"/>
      <c r="L33" s="794"/>
      <c r="M33" s="790"/>
      <c r="N33" s="790"/>
      <c r="O33" s="2364" t="str">
        <f>'Part I-Project Information'!O9</f>
        <v>2014PA-052</v>
      </c>
      <c r="P33" s="2364"/>
    </row>
    <row r="34" spans="1:16">
      <c r="A34" s="789"/>
      <c r="B34" s="790"/>
      <c r="C34" s="790"/>
      <c r="D34" s="790"/>
      <c r="E34" s="790"/>
      <c r="F34" s="790"/>
      <c r="G34" s="790"/>
      <c r="H34" s="794"/>
      <c r="I34" s="790"/>
      <c r="J34" s="797" t="s">
        <v>2998</v>
      </c>
      <c r="K34" s="791"/>
      <c r="L34" s="790"/>
      <c r="M34" s="794"/>
      <c r="N34" s="790"/>
      <c r="O34" s="2364" t="str">
        <f>'Part I-Project Information'!O10</f>
        <v>No</v>
      </c>
      <c r="P34" s="2364"/>
    </row>
    <row r="35" spans="1:16">
      <c r="A35" s="790"/>
      <c r="B35" s="790"/>
      <c r="C35" s="790"/>
      <c r="D35" s="790"/>
      <c r="E35" s="790"/>
      <c r="F35" s="790"/>
      <c r="G35" s="790"/>
      <c r="H35" s="790"/>
      <c r="I35" s="795"/>
      <c r="J35" s="795"/>
      <c r="K35" s="795"/>
      <c r="L35" s="795"/>
      <c r="M35" s="795"/>
      <c r="N35" s="795"/>
      <c r="O35" s="795"/>
      <c r="P35" s="795"/>
    </row>
    <row r="36" spans="1:16">
      <c r="A36" s="791" t="s">
        <v>791</v>
      </c>
      <c r="B36" s="793" t="s">
        <v>1570</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2449</v>
      </c>
      <c r="C38" s="790"/>
      <c r="D38" s="790"/>
      <c r="E38" s="790"/>
      <c r="F38" s="2359" t="str">
        <f>'Part I-Project Information'!F14</f>
        <v>Kenneth G Blankesnhip</v>
      </c>
      <c r="G38" s="2359"/>
      <c r="H38" s="2359"/>
      <c r="I38" s="2359"/>
      <c r="J38" s="2359"/>
      <c r="K38" s="2359"/>
      <c r="L38" s="2359"/>
      <c r="M38" s="797" t="s">
        <v>2114</v>
      </c>
      <c r="N38" s="2359" t="str">
        <f>'Part I-Project Information'!N14</f>
        <v>Managing Partner</v>
      </c>
      <c r="O38" s="2359"/>
      <c r="P38" s="2359"/>
    </row>
    <row r="39" spans="1:16">
      <c r="A39" s="790"/>
      <c r="B39" s="797" t="s">
        <v>2115</v>
      </c>
      <c r="C39" s="790"/>
      <c r="D39" s="790"/>
      <c r="E39" s="790"/>
      <c r="F39" s="2359" t="str">
        <f>'Part I-Project Information'!F15</f>
        <v>3715 Northside Parkway, BLDG 200, STE 175</v>
      </c>
      <c r="G39" s="2359"/>
      <c r="H39" s="2359"/>
      <c r="I39" s="2359"/>
      <c r="J39" s="2359"/>
      <c r="K39" s="2359"/>
      <c r="L39" s="2359"/>
      <c r="M39" s="797" t="s">
        <v>1841</v>
      </c>
      <c r="N39" s="790"/>
      <c r="O39" s="2361">
        <f>'Part I-Project Information'!O15</f>
        <v>4049493873</v>
      </c>
      <c r="P39" s="2361"/>
    </row>
    <row r="40" spans="1:16">
      <c r="A40" s="790"/>
      <c r="B40" s="797" t="s">
        <v>658</v>
      </c>
      <c r="C40" s="790"/>
      <c r="D40" s="790"/>
      <c r="E40" s="790"/>
      <c r="F40" s="2359" t="str">
        <f>'Part I-Project Information'!F16</f>
        <v>Atlanta</v>
      </c>
      <c r="G40" s="2359"/>
      <c r="H40" s="2359"/>
      <c r="I40" s="790"/>
      <c r="J40" s="790"/>
      <c r="K40" s="790"/>
      <c r="L40" s="790"/>
      <c r="M40" s="797" t="s">
        <v>1925</v>
      </c>
      <c r="N40" s="790"/>
      <c r="O40" s="2361">
        <f>'Part I-Project Information'!O16</f>
        <v>4049493880</v>
      </c>
      <c r="P40" s="2361"/>
    </row>
    <row r="41" spans="1:16">
      <c r="A41" s="790"/>
      <c r="B41" s="797" t="s">
        <v>1922</v>
      </c>
      <c r="C41" s="790"/>
      <c r="D41" s="790"/>
      <c r="E41" s="790"/>
      <c r="F41" s="817" t="str">
        <f>'Part I-Project Information'!F17</f>
        <v>GA</v>
      </c>
      <c r="G41" s="790"/>
      <c r="H41" s="790"/>
      <c r="I41" s="794" t="s">
        <v>2374</v>
      </c>
      <c r="J41" s="2362">
        <f>'Part I-Project Information'!J17</f>
        <v>303272800</v>
      </c>
      <c r="K41" s="2362"/>
      <c r="L41" s="790"/>
      <c r="M41" s="797" t="s">
        <v>2113</v>
      </c>
      <c r="N41" s="790"/>
      <c r="O41" s="2361">
        <f>'Part I-Project Information'!O17</f>
        <v>7708619049</v>
      </c>
      <c r="P41" s="2361"/>
    </row>
    <row r="42" spans="1:16">
      <c r="A42" s="790"/>
      <c r="B42" s="797" t="s">
        <v>1840</v>
      </c>
      <c r="C42" s="790"/>
      <c r="D42" s="790"/>
      <c r="E42" s="790"/>
      <c r="F42" s="2361">
        <f>'Part I-Project Information'!F18</f>
        <v>4049493873</v>
      </c>
      <c r="G42" s="2361"/>
      <c r="H42" s="2361"/>
      <c r="I42" s="794" t="s">
        <v>1839</v>
      </c>
      <c r="J42" s="794">
        <f>'Part I-Project Information'!J18</f>
        <v>0</v>
      </c>
      <c r="K42" s="794" t="s">
        <v>2118</v>
      </c>
      <c r="L42" s="2359" t="str">
        <f>'Part I-Project Information'!L18</f>
        <v>Ken@PrestwickCompanies.com</v>
      </c>
      <c r="M42" s="2359"/>
      <c r="N42" s="2359"/>
      <c r="O42" s="2359"/>
      <c r="P42" s="2359"/>
    </row>
    <row r="43" spans="1:16" ht="13.5">
      <c r="A43" s="793"/>
      <c r="B43" s="792" t="s">
        <v>698</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1915</v>
      </c>
      <c r="B45" s="793" t="s">
        <v>1571</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657</v>
      </c>
      <c r="C47" s="790"/>
      <c r="D47" s="793"/>
      <c r="E47" s="790"/>
      <c r="F47" s="2359" t="str">
        <f>'Part I-Project Information'!F23</f>
        <v>North Grove Apartments</v>
      </c>
      <c r="G47" s="2359"/>
      <c r="H47" s="2359"/>
      <c r="I47" s="2359"/>
      <c r="J47" s="2359"/>
      <c r="K47" s="2359"/>
      <c r="L47" s="2359"/>
      <c r="M47" s="797" t="s">
        <v>2331</v>
      </c>
      <c r="N47" s="790"/>
      <c r="O47" s="2359" t="str">
        <f>'Part I-Project Information'!O23</f>
        <v>No</v>
      </c>
      <c r="P47" s="2359"/>
    </row>
    <row r="48" spans="1:16">
      <c r="A48" s="801"/>
      <c r="B48" s="790" t="s">
        <v>2930</v>
      </c>
      <c r="C48" s="790"/>
      <c r="D48" s="799"/>
      <c r="E48" s="790"/>
      <c r="F48" s="2359" t="str">
        <f>'Part I-Project Information'!F24</f>
        <v>198  Old Hull road</v>
      </c>
      <c r="G48" s="2359"/>
      <c r="H48" s="2359"/>
      <c r="I48" s="2359"/>
      <c r="J48" s="2359"/>
      <c r="K48" s="2359"/>
      <c r="L48" s="2359"/>
      <c r="M48" s="797" t="s">
        <v>2187</v>
      </c>
      <c r="N48" s="790"/>
      <c r="O48" s="2359" t="str">
        <f>'Part I-Project Information'!O24</f>
        <v>No</v>
      </c>
      <c r="P48" s="2359"/>
    </row>
    <row r="49" spans="1:16">
      <c r="A49" s="801"/>
      <c r="B49" s="790" t="s">
        <v>3641</v>
      </c>
      <c r="C49" s="790"/>
      <c r="D49" s="799"/>
      <c r="E49" s="790"/>
      <c r="F49" s="2359">
        <f>'Part I-Project Information'!F25</f>
        <v>0</v>
      </c>
      <c r="G49" s="2359"/>
      <c r="H49" s="2359"/>
      <c r="I49" s="2359"/>
      <c r="J49" s="2359"/>
      <c r="K49" s="2359"/>
      <c r="L49" s="2359"/>
      <c r="M49" s="797" t="s">
        <v>3004</v>
      </c>
      <c r="N49" s="790"/>
      <c r="O49" s="2360">
        <f>'Part I-Project Information'!O25</f>
        <v>0</v>
      </c>
      <c r="P49" s="2360"/>
    </row>
    <row r="50" spans="1:16">
      <c r="A50" s="801"/>
      <c r="B50" s="790" t="s">
        <v>3232</v>
      </c>
      <c r="C50" s="790"/>
      <c r="D50" s="799"/>
      <c r="E50" s="790"/>
      <c r="F50" s="2359" t="str">
        <f>'Part I-Project Information'!F26</f>
        <v>33.9759302, -83.36041469999998</v>
      </c>
      <c r="G50" s="2359"/>
      <c r="H50" s="2359"/>
      <c r="I50" s="2359"/>
      <c r="J50" s="2359"/>
      <c r="K50" s="2359"/>
      <c r="L50" s="2359"/>
      <c r="M50" s="797" t="s">
        <v>2430</v>
      </c>
      <c r="N50" s="790"/>
      <c r="O50" s="2370">
        <f>'Part I-Project Information'!O26</f>
        <v>15.499000000000001</v>
      </c>
      <c r="P50" s="2370"/>
    </row>
    <row r="51" spans="1:16" ht="16.5">
      <c r="A51" s="789"/>
      <c r="B51" s="790" t="s">
        <v>658</v>
      </c>
      <c r="C51" s="790"/>
      <c r="D51" s="790"/>
      <c r="E51" s="790"/>
      <c r="F51" s="2359" t="str">
        <f>'Part I-Project Information'!F27</f>
        <v>Athens</v>
      </c>
      <c r="G51" s="2359"/>
      <c r="H51" s="2359"/>
      <c r="I51" s="802" t="s">
        <v>3642</v>
      </c>
      <c r="J51" s="2362">
        <f>'Part I-Project Information'!J27</f>
        <v>306015568</v>
      </c>
      <c r="K51" s="2362"/>
      <c r="L51" s="793" t="str">
        <f>IF(AND(NOT(F47=""),NOT(F51="Select from list"),J51=""),"Enter Zip!","")</f>
        <v/>
      </c>
      <c r="M51" s="803" t="s">
        <v>2442</v>
      </c>
      <c r="N51" s="790"/>
      <c r="O51" s="2359" t="str">
        <f>'Part I-Project Information'!O27</f>
        <v>301</v>
      </c>
      <c r="P51" s="2359"/>
    </row>
    <row r="52" spans="1:16">
      <c r="A52" s="789"/>
      <c r="B52" s="790" t="s">
        <v>3207</v>
      </c>
      <c r="C52" s="790"/>
      <c r="D52" s="790"/>
      <c r="E52" s="790"/>
      <c r="F52" s="2359" t="str">
        <f>'Part I-Project Information'!F28</f>
        <v>Within City Limits</v>
      </c>
      <c r="G52" s="2359"/>
      <c r="H52" s="2359"/>
      <c r="I52" s="804" t="s">
        <v>659</v>
      </c>
      <c r="J52" s="2371" t="str">
        <f>'Part I-Project Information'!J28</f>
        <v>Clarke</v>
      </c>
      <c r="K52" s="2371"/>
      <c r="L52" s="790"/>
      <c r="M52" s="797" t="s">
        <v>475</v>
      </c>
      <c r="N52" s="851" t="str">
        <f>'Part I-Project Information'!N28</f>
        <v>Yes</v>
      </c>
      <c r="O52" s="799" t="s">
        <v>476</v>
      </c>
      <c r="P52" s="851" t="str">
        <f>'Part I-Project Information'!P28</f>
        <v>No</v>
      </c>
    </row>
    <row r="53" spans="1:16">
      <c r="A53" s="789"/>
      <c r="B53" s="793"/>
      <c r="C53" s="790" t="s">
        <v>1665</v>
      </c>
      <c r="D53" s="790"/>
      <c r="E53" s="790"/>
      <c r="F53" s="797" t="str">
        <f>'Part I-Project Information'!F29</f>
        <v>No</v>
      </c>
      <c r="G53" s="2364" t="s">
        <v>3233</v>
      </c>
      <c r="H53" s="2364"/>
      <c r="I53" s="794">
        <f>'Part I-Project Information'!I2</f>
        <v>0</v>
      </c>
      <c r="J53" s="794" t="s">
        <v>3257</v>
      </c>
      <c r="K53" s="794" t="str">
        <f>IF(OR(F53="Yes",I53="Yes"),"Rural","Urban")</f>
        <v>Urban</v>
      </c>
      <c r="L53" s="790"/>
      <c r="M53" s="797" t="s">
        <v>2793</v>
      </c>
      <c r="N53" s="789" t="str">
        <f>'Part I-Project Information'!N29</f>
        <v>MSA</v>
      </c>
      <c r="O53" s="2359" t="str">
        <f>'Part I-Project Information'!O29</f>
        <v>Athens-Clarke Co.</v>
      </c>
      <c r="P53" s="2359"/>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3643</v>
      </c>
      <c r="D55" s="790"/>
      <c r="E55" s="790"/>
      <c r="F55" s="2368" t="s">
        <v>3150</v>
      </c>
      <c r="G55" s="2368"/>
      <c r="H55" s="2364" t="s">
        <v>785</v>
      </c>
      <c r="I55" s="2364"/>
      <c r="J55" s="2364" t="s">
        <v>786</v>
      </c>
      <c r="K55" s="2364"/>
      <c r="L55" s="806" t="s">
        <v>3630</v>
      </c>
      <c r="M55" s="790"/>
      <c r="N55" s="790"/>
      <c r="O55" s="790"/>
      <c r="P55" s="790"/>
    </row>
    <row r="56" spans="1:16">
      <c r="A56" s="789"/>
      <c r="B56" s="790" t="s">
        <v>3644</v>
      </c>
      <c r="C56" s="790"/>
      <c r="D56" s="793"/>
      <c r="E56" s="790"/>
      <c r="F56" s="2365">
        <f>'Part I-Project Information'!F32</f>
        <v>10</v>
      </c>
      <c r="G56" s="2365"/>
      <c r="H56" s="2365">
        <f>'Part I-Project Information'!H32</f>
        <v>46</v>
      </c>
      <c r="I56" s="2365"/>
      <c r="J56" s="2365">
        <f>'Part I-Project Information'!J32</f>
        <v>118</v>
      </c>
      <c r="K56" s="2365"/>
      <c r="L56" s="807" t="s">
        <v>1363</v>
      </c>
      <c r="M56" s="790"/>
      <c r="N56" s="2369" t="s">
        <v>1364</v>
      </c>
      <c r="O56" s="2369"/>
      <c r="P56" s="2369"/>
    </row>
    <row r="57" spans="1:16">
      <c r="A57" s="789"/>
      <c r="B57" s="797" t="s">
        <v>787</v>
      </c>
      <c r="C57" s="790"/>
      <c r="D57" s="790"/>
      <c r="E57" s="790"/>
      <c r="F57" s="2365">
        <f>'Part I-Project Information'!F33</f>
        <v>0</v>
      </c>
      <c r="G57" s="2365"/>
      <c r="H57" s="2365">
        <f>'Part I-Project Information'!H33</f>
        <v>0</v>
      </c>
      <c r="I57" s="2365"/>
      <c r="J57" s="2365">
        <f>'Part I-Project Information'!J33</f>
        <v>0</v>
      </c>
      <c r="K57" s="2365"/>
      <c r="L57" s="807" t="s">
        <v>3148</v>
      </c>
      <c r="M57" s="790"/>
      <c r="N57" s="2366" t="s">
        <v>3147</v>
      </c>
      <c r="O57" s="2366"/>
      <c r="P57" s="790"/>
    </row>
    <row r="58" spans="1:16">
      <c r="A58" s="789"/>
      <c r="B58" s="790"/>
      <c r="C58" s="790"/>
      <c r="D58" s="790"/>
      <c r="E58" s="790"/>
      <c r="F58" s="790"/>
      <c r="G58" s="790"/>
      <c r="H58" s="790"/>
      <c r="I58" s="805"/>
      <c r="J58" s="805"/>
      <c r="K58" s="805"/>
      <c r="L58" s="790"/>
      <c r="M58" s="790"/>
      <c r="N58" s="790"/>
      <c r="O58" s="790"/>
      <c r="P58" s="790"/>
    </row>
    <row r="59" spans="1:16">
      <c r="A59" s="789"/>
      <c r="B59" s="793" t="s">
        <v>677</v>
      </c>
      <c r="C59" s="790"/>
      <c r="D59" s="790"/>
      <c r="E59" s="790"/>
      <c r="F59" s="2367" t="str">
        <f>'Part I-Project Information'!F35</f>
        <v>Athens</v>
      </c>
      <c r="G59" s="2367"/>
      <c r="H59" s="2367"/>
      <c r="I59" s="2367"/>
      <c r="J59" s="2367"/>
      <c r="K59" s="2367"/>
      <c r="L59" s="790"/>
      <c r="M59" s="808" t="s">
        <v>2943</v>
      </c>
      <c r="N59" s="2359" t="str">
        <f>'Part I-Project Information'!N35</f>
        <v>www.AthensClarkeCounty.com</v>
      </c>
      <c r="O59" s="2359"/>
      <c r="P59" s="2359"/>
    </row>
    <row r="60" spans="1:16">
      <c r="A60" s="789"/>
      <c r="B60" s="790" t="s">
        <v>678</v>
      </c>
      <c r="C60" s="790"/>
      <c r="D60" s="790"/>
      <c r="E60" s="790"/>
      <c r="F60" s="2359" t="str">
        <f>'Part I-Project Information'!F36</f>
        <v>Nancey Denson</v>
      </c>
      <c r="G60" s="2359"/>
      <c r="H60" s="2359"/>
      <c r="I60" s="794" t="s">
        <v>2114</v>
      </c>
      <c r="J60" s="2359" t="str">
        <f>'Part I-Project Information'!J36</f>
        <v>Mayor</v>
      </c>
      <c r="K60" s="2359"/>
      <c r="L60" s="2359"/>
      <c r="M60" s="797" t="s">
        <v>1923</v>
      </c>
      <c r="N60" s="2359" t="str">
        <f>'Part I-Project Information'!N36</f>
        <v>Nacey.Denson@athensclarkecounty.com</v>
      </c>
      <c r="O60" s="2359"/>
      <c r="P60" s="2359"/>
    </row>
    <row r="61" spans="1:16">
      <c r="A61" s="789"/>
      <c r="B61" s="790" t="s">
        <v>2115</v>
      </c>
      <c r="C61" s="790"/>
      <c r="D61" s="790"/>
      <c r="E61" s="790"/>
      <c r="F61" s="2367" t="str">
        <f>'Part I-Project Information'!F37</f>
        <v>420 Forest Heights Dr.</v>
      </c>
      <c r="G61" s="2367"/>
      <c r="H61" s="2367"/>
      <c r="I61" s="2367"/>
      <c r="J61" s="2367"/>
      <c r="K61" s="2367"/>
      <c r="L61" s="790"/>
      <c r="M61" s="797" t="s">
        <v>658</v>
      </c>
      <c r="N61" s="2359" t="str">
        <f>'Part I-Project Information'!N37</f>
        <v>Athens</v>
      </c>
      <c r="O61" s="2359"/>
      <c r="P61" s="2359"/>
    </row>
    <row r="62" spans="1:16">
      <c r="A62" s="789"/>
      <c r="B62" s="797" t="s">
        <v>2374</v>
      </c>
      <c r="C62" s="790"/>
      <c r="D62" s="790"/>
      <c r="E62" s="790"/>
      <c r="F62" s="2362">
        <f>'Part I-Project Information'!F38</f>
        <v>30606000</v>
      </c>
      <c r="G62" s="2362"/>
      <c r="H62" s="794" t="s">
        <v>2116</v>
      </c>
      <c r="I62" s="2376">
        <f>'Part I-Project Information'!I38</f>
        <v>7066133010</v>
      </c>
      <c r="J62" s="2376"/>
      <c r="K62" s="2376"/>
      <c r="L62" s="790"/>
      <c r="M62" s="797" t="s">
        <v>1925</v>
      </c>
      <c r="N62" s="2361" t="str">
        <f>'Part I-Project Information'!N38</f>
        <v>NA</v>
      </c>
      <c r="O62" s="2361"/>
      <c r="P62" s="790"/>
    </row>
    <row r="63" spans="1:16">
      <c r="A63" s="789"/>
      <c r="B63" s="789"/>
      <c r="C63" s="809"/>
      <c r="D63" s="802"/>
      <c r="E63" s="802"/>
      <c r="F63" s="794"/>
      <c r="G63" s="794"/>
      <c r="H63" s="794"/>
      <c r="I63" s="794"/>
      <c r="J63" s="802"/>
      <c r="K63" s="794"/>
      <c r="L63" s="794"/>
      <c r="M63" s="790"/>
      <c r="N63" s="790"/>
      <c r="O63" s="790"/>
      <c r="P63" s="800"/>
    </row>
    <row r="64" spans="1:16">
      <c r="A64" s="791" t="s">
        <v>1917</v>
      </c>
      <c r="B64" s="793" t="s">
        <v>1572</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2117</v>
      </c>
      <c r="C66" s="793" t="s">
        <v>3645</v>
      </c>
      <c r="D66" s="790"/>
      <c r="E66" s="790"/>
      <c r="F66" s="790"/>
      <c r="G66" s="790"/>
      <c r="H66" s="790"/>
      <c r="I66" s="790"/>
      <c r="J66" s="790"/>
      <c r="K66" s="807"/>
      <c r="L66" s="790"/>
      <c r="M66" s="811"/>
      <c r="N66" s="811"/>
      <c r="O66" s="811"/>
      <c r="P66" s="811"/>
    </row>
    <row r="67" spans="1:16">
      <c r="A67" s="795"/>
      <c r="B67" s="789"/>
      <c r="C67" s="790" t="s">
        <v>2443</v>
      </c>
      <c r="D67" s="790"/>
      <c r="E67" s="790"/>
      <c r="F67" s="818">
        <f>'Part I-Project Information'!F43</f>
        <v>0</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128</v>
      </c>
      <c r="G69" s="814" t="s">
        <v>3000</v>
      </c>
      <c r="H69" s="790" t="s">
        <v>366</v>
      </c>
      <c r="I69" s="790"/>
      <c r="J69" s="790"/>
      <c r="K69" s="790"/>
      <c r="L69" s="790"/>
      <c r="M69" s="1047">
        <f>'Part I-Project Information'!M45</f>
        <v>34963</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2120</v>
      </c>
      <c r="C71" s="793" t="s">
        <v>2444</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798</v>
      </c>
      <c r="C73" s="793" t="s">
        <v>2423</v>
      </c>
      <c r="D73" s="790"/>
      <c r="E73" s="790"/>
      <c r="F73" s="790"/>
      <c r="G73" s="790"/>
      <c r="H73" s="790"/>
      <c r="I73" s="2374" t="s">
        <v>1510</v>
      </c>
      <c r="J73" s="801" t="s">
        <v>2252</v>
      </c>
      <c r="K73" s="816" t="s">
        <v>2450</v>
      </c>
      <c r="L73" s="790"/>
      <c r="M73" s="790"/>
      <c r="N73" s="790"/>
      <c r="O73" s="790"/>
      <c r="P73" s="794"/>
    </row>
    <row r="74" spans="1:16">
      <c r="A74" s="789"/>
      <c r="B74" s="817"/>
      <c r="C74" s="795" t="s">
        <v>2424</v>
      </c>
      <c r="D74" s="790"/>
      <c r="E74" s="790"/>
      <c r="F74" s="790"/>
      <c r="G74" s="790"/>
      <c r="H74" s="818">
        <f>SUM(H75:H76)</f>
        <v>127</v>
      </c>
      <c r="I74" s="2375"/>
      <c r="J74" s="789"/>
      <c r="K74" s="795" t="s">
        <v>3222</v>
      </c>
      <c r="L74" s="790"/>
      <c r="M74" s="790"/>
      <c r="N74" s="790"/>
      <c r="O74" s="790"/>
      <c r="P74" s="818">
        <f>'Part VI-Revenues &amp; Expenses'!$M$96</f>
        <v>131502</v>
      </c>
    </row>
    <row r="75" spans="1:16">
      <c r="A75" s="789"/>
      <c r="B75" s="795"/>
      <c r="C75" s="790"/>
      <c r="D75" s="819" t="s">
        <v>404</v>
      </c>
      <c r="E75" s="790"/>
      <c r="F75" s="790"/>
      <c r="G75" s="790"/>
      <c r="H75" s="818">
        <f>'Part VI-Revenues &amp; Expenses'!$M$57</f>
        <v>20</v>
      </c>
      <c r="I75" s="818">
        <f>'Part VI-Revenues &amp; Expenses'!$M$65</f>
        <v>0</v>
      </c>
      <c r="J75" s="790"/>
      <c r="K75" s="795" t="s">
        <v>3223</v>
      </c>
      <c r="L75" s="790"/>
      <c r="M75" s="790"/>
      <c r="N75" s="790"/>
      <c r="O75" s="790"/>
      <c r="P75" s="818">
        <f>'Part VI-Revenues &amp; Expenses'!$M$97</f>
        <v>0</v>
      </c>
    </row>
    <row r="76" spans="1:16">
      <c r="A76" s="789"/>
      <c r="B76" s="790"/>
      <c r="C76" s="790"/>
      <c r="D76" s="819" t="s">
        <v>1948</v>
      </c>
      <c r="E76" s="819"/>
      <c r="F76" s="790"/>
      <c r="G76" s="790"/>
      <c r="H76" s="818">
        <f>'Part VI-Revenues &amp; Expenses'!$M$56</f>
        <v>107</v>
      </c>
      <c r="I76" s="818">
        <f>'Part VI-Revenues &amp; Expenses'!$M$64</f>
        <v>0</v>
      </c>
      <c r="J76" s="790"/>
      <c r="K76" s="795" t="s">
        <v>3224</v>
      </c>
      <c r="L76" s="790"/>
      <c r="M76" s="790"/>
      <c r="N76" s="790"/>
      <c r="O76" s="790"/>
      <c r="P76" s="818">
        <f>+P74+P75</f>
        <v>131502</v>
      </c>
    </row>
    <row r="77" spans="1:16">
      <c r="A77" s="789"/>
      <c r="B77" s="790"/>
      <c r="C77" s="795" t="s">
        <v>266</v>
      </c>
      <c r="D77" s="790"/>
      <c r="E77" s="790"/>
      <c r="F77" s="790"/>
      <c r="G77" s="790"/>
      <c r="H77" s="818">
        <f>'Part VI-Revenues &amp; Expenses'!$M$59</f>
        <v>0</v>
      </c>
      <c r="I77" s="790"/>
      <c r="J77" s="789"/>
      <c r="K77" s="795" t="s">
        <v>3225</v>
      </c>
      <c r="L77" s="790"/>
      <c r="M77" s="790"/>
      <c r="N77" s="790"/>
      <c r="O77" s="790"/>
      <c r="P77" s="818">
        <f>'Part VI-Revenues &amp; Expenses'!$M$99</f>
        <v>974</v>
      </c>
    </row>
    <row r="78" spans="1:16">
      <c r="A78" s="789"/>
      <c r="B78" s="790"/>
      <c r="C78" s="795" t="s">
        <v>2569</v>
      </c>
      <c r="D78" s="790"/>
      <c r="E78" s="790"/>
      <c r="F78" s="790"/>
      <c r="G78" s="790"/>
      <c r="H78" s="818">
        <f>+H74+H77</f>
        <v>127</v>
      </c>
      <c r="I78" s="790"/>
      <c r="J78" s="789"/>
      <c r="K78" s="795" t="s">
        <v>1512</v>
      </c>
      <c r="L78" s="790"/>
      <c r="M78" s="790"/>
      <c r="N78" s="790"/>
      <c r="O78" s="790"/>
      <c r="P78" s="818">
        <f>+P76+P77</f>
        <v>132476</v>
      </c>
    </row>
    <row r="79" spans="1:16">
      <c r="A79" s="789"/>
      <c r="B79" s="790"/>
      <c r="C79" s="795" t="s">
        <v>2570</v>
      </c>
      <c r="D79" s="790"/>
      <c r="E79" s="790"/>
      <c r="F79" s="790"/>
      <c r="G79" s="790"/>
      <c r="H79" s="818">
        <f>'Part VI-Revenues &amp; Expenses'!$M$61</f>
        <v>1</v>
      </c>
      <c r="I79" s="790"/>
      <c r="J79" s="789"/>
      <c r="K79" s="790"/>
      <c r="L79" s="790"/>
      <c r="M79" s="790"/>
      <c r="N79" s="790"/>
      <c r="O79" s="790"/>
      <c r="P79" s="790"/>
    </row>
    <row r="80" spans="1:16">
      <c r="A80" s="789"/>
      <c r="B80" s="790"/>
      <c r="C80" s="795" t="s">
        <v>1916</v>
      </c>
      <c r="D80" s="790"/>
      <c r="E80" s="790"/>
      <c r="F80" s="790"/>
      <c r="G80" s="790"/>
      <c r="H80" s="818">
        <f>+H78+H79</f>
        <v>128</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1856</v>
      </c>
      <c r="C82" s="793" t="s">
        <v>2445</v>
      </c>
      <c r="D82" s="819" t="s">
        <v>2131</v>
      </c>
      <c r="E82" s="790"/>
      <c r="F82" s="790"/>
      <c r="G82" s="790"/>
      <c r="H82" s="818">
        <f>'Part I-Project Information'!H58</f>
        <v>15</v>
      </c>
      <c r="I82" s="790"/>
      <c r="J82" s="790"/>
      <c r="K82" s="795" t="s">
        <v>1191</v>
      </c>
      <c r="L82" s="790"/>
      <c r="M82" s="790"/>
      <c r="N82" s="790"/>
      <c r="O82" s="790"/>
      <c r="P82" s="818">
        <f>'Part I-Project Information'!P58</f>
        <v>3026</v>
      </c>
    </row>
    <row r="83" spans="1:16">
      <c r="A83" s="789"/>
      <c r="B83" s="789"/>
      <c r="C83" s="790"/>
      <c r="D83" s="817" t="s">
        <v>2132</v>
      </c>
      <c r="E83" s="790"/>
      <c r="F83" s="790"/>
      <c r="G83" s="790"/>
      <c r="H83" s="818">
        <f>'Part I-Project Information'!H59</f>
        <v>1</v>
      </c>
      <c r="I83" s="790"/>
      <c r="J83" s="790"/>
      <c r="K83" s="795" t="s">
        <v>265</v>
      </c>
      <c r="L83" s="790"/>
      <c r="M83" s="790"/>
      <c r="N83" s="790"/>
      <c r="O83" s="790"/>
      <c r="P83" s="818">
        <f>+P78+P82</f>
        <v>135502</v>
      </c>
    </row>
    <row r="84" spans="1:16">
      <c r="A84" s="789"/>
      <c r="B84" s="789"/>
      <c r="C84" s="790"/>
      <c r="D84" s="817" t="s">
        <v>2133</v>
      </c>
      <c r="E84" s="790"/>
      <c r="F84" s="790"/>
      <c r="G84" s="790"/>
      <c r="H84" s="818">
        <f>+H82+H83</f>
        <v>16</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1857</v>
      </c>
      <c r="C86" s="793" t="s">
        <v>3390</v>
      </c>
      <c r="D86" s="790"/>
      <c r="E86" s="790"/>
      <c r="F86" s="790"/>
      <c r="G86" s="790"/>
      <c r="H86" s="818">
        <f>'Part I-Project Information'!H62</f>
        <v>340</v>
      </c>
      <c r="I86" s="790"/>
      <c r="J86" s="790"/>
      <c r="K86" s="790" t="s">
        <v>3397</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562</v>
      </c>
      <c r="B88" s="820" t="s">
        <v>1261</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2117</v>
      </c>
      <c r="C90" s="791" t="s">
        <v>3646</v>
      </c>
      <c r="D90" s="821"/>
      <c r="E90" s="821"/>
      <c r="F90" s="790"/>
      <c r="G90" s="794"/>
      <c r="H90" s="2372" t="str">
        <f>'Part I-Project Information'!H66</f>
        <v>Family</v>
      </c>
      <c r="I90" s="2372"/>
      <c r="J90" s="790"/>
      <c r="K90" s="2359" t="s">
        <v>1895</v>
      </c>
      <c r="L90" s="2359"/>
      <c r="M90" s="790"/>
      <c r="N90" s="2359" t="str">
        <f>'Part I-Project Information'!N66</f>
        <v>N/A</v>
      </c>
      <c r="O90" s="2359"/>
      <c r="P90" s="2359"/>
    </row>
    <row r="91" spans="1:16">
      <c r="A91" s="789"/>
      <c r="B91" s="789"/>
      <c r="C91" s="790"/>
      <c r="D91" s="817"/>
      <c r="E91" s="817"/>
      <c r="F91" s="817"/>
      <c r="G91" s="817"/>
      <c r="H91" s="790"/>
      <c r="I91" s="794"/>
      <c r="J91" s="790"/>
      <c r="K91" s="797"/>
      <c r="L91" s="797"/>
      <c r="M91" s="794"/>
      <c r="N91" s="790"/>
      <c r="O91" s="790"/>
      <c r="P91" s="800"/>
    </row>
    <row r="92" spans="1:16">
      <c r="A92" s="789"/>
      <c r="B92" s="789" t="s">
        <v>2120</v>
      </c>
      <c r="C92" s="793" t="s">
        <v>1502</v>
      </c>
      <c r="D92" s="790"/>
      <c r="E92" s="819"/>
      <c r="F92" s="817" t="s">
        <v>849</v>
      </c>
      <c r="G92" s="790"/>
      <c r="H92" s="818">
        <f>'Part I-Project Information'!H68</f>
        <v>7</v>
      </c>
      <c r="I92" s="790"/>
      <c r="J92" s="790"/>
      <c r="K92" s="2359" t="s">
        <v>552</v>
      </c>
      <c r="L92" s="2359"/>
      <c r="M92" s="790"/>
      <c r="N92" s="790"/>
      <c r="O92" s="790"/>
      <c r="P92" s="822">
        <f>IF('Part VI-Revenues &amp; Expenses'!$M$62=0,0,H92/'Part VI-Revenues &amp; Expenses'!$M$62)</f>
        <v>5.46875E-2</v>
      </c>
    </row>
    <row r="93" spans="1:16">
      <c r="A93" s="789"/>
      <c r="B93" s="789"/>
      <c r="C93" s="790"/>
      <c r="D93" s="817" t="s">
        <v>3388</v>
      </c>
      <c r="E93" s="817"/>
      <c r="F93" s="817" t="s">
        <v>849</v>
      </c>
      <c r="G93" s="790"/>
      <c r="H93" s="818">
        <f>'Part I-Project Information'!H69</f>
        <v>3</v>
      </c>
      <c r="I93" s="790"/>
      <c r="J93" s="790"/>
      <c r="K93" s="790" t="s">
        <v>3389</v>
      </c>
      <c r="L93" s="790"/>
      <c r="M93" s="790"/>
      <c r="N93" s="790"/>
      <c r="O93" s="790"/>
      <c r="P93" s="822">
        <f>IF(H92=0,0,H93/H92)</f>
        <v>0.42857142857142855</v>
      </c>
    </row>
    <row r="94" spans="1:16">
      <c r="A94" s="789"/>
      <c r="B94" s="789"/>
      <c r="C94" s="790"/>
      <c r="D94" s="817"/>
      <c r="E94" s="817"/>
      <c r="F94" s="817"/>
      <c r="G94" s="790"/>
      <c r="H94" s="790"/>
      <c r="I94" s="794"/>
      <c r="J94" s="790"/>
      <c r="K94" s="797"/>
      <c r="L94" s="797"/>
      <c r="M94" s="794"/>
      <c r="N94" s="790"/>
      <c r="O94" s="790"/>
      <c r="P94" s="794"/>
    </row>
    <row r="95" spans="1:16">
      <c r="A95" s="789"/>
      <c r="B95" s="789" t="s">
        <v>798</v>
      </c>
      <c r="C95" s="793" t="s">
        <v>1971</v>
      </c>
      <c r="D95" s="819"/>
      <c r="E95" s="819"/>
      <c r="F95" s="817" t="s">
        <v>849</v>
      </c>
      <c r="G95" s="790"/>
      <c r="H95" s="818">
        <f>'Part I-Project Information'!H71</f>
        <v>3</v>
      </c>
      <c r="I95" s="790"/>
      <c r="J95" s="790"/>
      <c r="K95" s="2359" t="s">
        <v>552</v>
      </c>
      <c r="L95" s="2359"/>
      <c r="M95" s="790"/>
      <c r="N95" s="790"/>
      <c r="O95" s="790"/>
      <c r="P95" s="822">
        <f>IF('Part VI-Revenues &amp; Expenses'!$M$62=0,0,H95/'Part VI-Revenues &amp; Expenses'!$M$62)</f>
        <v>2.34375E-2</v>
      </c>
    </row>
    <row r="96" spans="1:16">
      <c r="A96" s="789"/>
      <c r="B96" s="789"/>
      <c r="C96" s="790"/>
      <c r="D96" s="817"/>
      <c r="E96" s="817"/>
      <c r="F96" s="817"/>
      <c r="G96" s="817"/>
      <c r="H96" s="790"/>
      <c r="I96" s="794"/>
      <c r="J96" s="794"/>
      <c r="K96" s="794"/>
      <c r="L96" s="794"/>
      <c r="M96" s="794"/>
      <c r="N96" s="790"/>
      <c r="O96" s="790"/>
      <c r="P96" s="800"/>
    </row>
    <row r="97" spans="1:16">
      <c r="A97" s="816" t="s">
        <v>822</v>
      </c>
      <c r="B97" s="821" t="s">
        <v>2532</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2117</v>
      </c>
      <c r="C99" s="791" t="s">
        <v>2531</v>
      </c>
      <c r="D99" s="817"/>
      <c r="E99" s="817"/>
      <c r="F99" s="817"/>
      <c r="G99" s="790"/>
      <c r="H99" s="2372" t="s">
        <v>923</v>
      </c>
      <c r="I99" s="2372"/>
      <c r="J99" s="2372"/>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2120</v>
      </c>
      <c r="C101" s="793" t="s">
        <v>1639</v>
      </c>
      <c r="D101" s="790"/>
      <c r="E101" s="790"/>
      <c r="F101" s="790"/>
      <c r="G101" s="790"/>
      <c r="H101" s="790"/>
      <c r="I101" s="790"/>
      <c r="J101" s="790"/>
      <c r="K101" s="797" t="s">
        <v>922</v>
      </c>
      <c r="L101" s="790"/>
      <c r="M101" s="790"/>
      <c r="N101" s="823"/>
      <c r="O101" s="790"/>
      <c r="P101" s="794" t="str">
        <f>'Part I-Project Information'!P77</f>
        <v>No</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2178</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2117</v>
      </c>
      <c r="C105" s="793" t="s">
        <v>2949</v>
      </c>
      <c r="D105" s="790"/>
      <c r="E105" s="790"/>
      <c r="F105" s="819" t="s">
        <v>2781</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2120</v>
      </c>
      <c r="C107" s="793" t="s">
        <v>2950</v>
      </c>
      <c r="D107" s="790"/>
      <c r="E107" s="790"/>
      <c r="F107" s="797" t="s">
        <v>2880</v>
      </c>
      <c r="G107" s="790"/>
      <c r="H107" s="794" t="str">
        <f>'Part I-Project Information'!H83</f>
        <v>No</v>
      </c>
      <c r="I107" s="824" t="s">
        <v>2951</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3235</v>
      </c>
      <c r="C109" s="790"/>
      <c r="D109" s="817"/>
      <c r="E109" s="790"/>
      <c r="F109" s="790"/>
      <c r="G109" s="790"/>
      <c r="H109" s="2359" t="str">
        <f>'Part I-Project Information'!H85</f>
        <v>Flexible</v>
      </c>
      <c r="I109" s="2359"/>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1259</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584</v>
      </c>
      <c r="D113" s="790"/>
      <c r="E113" s="2359">
        <f>'Part I-Project Information'!E89</f>
        <v>0</v>
      </c>
      <c r="F113" s="2359"/>
      <c r="G113" s="2359"/>
      <c r="H113" s="2359"/>
      <c r="I113" s="2359"/>
      <c r="J113" s="2359"/>
      <c r="K113" s="2359"/>
      <c r="L113" s="2359"/>
      <c r="M113" s="2372" t="s">
        <v>585</v>
      </c>
      <c r="N113" s="2372"/>
      <c r="O113" s="2373">
        <f>'Part I-Project Information'!O89</f>
        <v>0</v>
      </c>
      <c r="P113" s="2373"/>
    </row>
    <row r="114" spans="1:16">
      <c r="A114" s="790"/>
      <c r="B114" s="790"/>
      <c r="C114" s="797" t="s">
        <v>1082</v>
      </c>
      <c r="D114" s="799"/>
      <c r="E114" s="2359">
        <f>'Part I-Project Information'!E90</f>
        <v>0</v>
      </c>
      <c r="F114" s="2359"/>
      <c r="G114" s="2359"/>
      <c r="H114" s="2359"/>
      <c r="I114" s="2359"/>
      <c r="J114" s="2359"/>
      <c r="K114" s="2359"/>
      <c r="L114" s="2359"/>
      <c r="M114" s="2372" t="s">
        <v>861</v>
      </c>
      <c r="N114" s="2372"/>
      <c r="O114" s="2371">
        <f>'Part I-Project Information'!O90</f>
        <v>0</v>
      </c>
      <c r="P114" s="2371"/>
    </row>
    <row r="115" spans="1:16">
      <c r="A115" s="790"/>
      <c r="B115" s="790"/>
      <c r="C115" s="797" t="s">
        <v>658</v>
      </c>
      <c r="D115" s="790"/>
      <c r="E115" s="2359">
        <f>'Part I-Project Information'!E91</f>
        <v>0</v>
      </c>
      <c r="F115" s="2359"/>
      <c r="G115" s="2359"/>
      <c r="H115" s="794" t="s">
        <v>1922</v>
      </c>
      <c r="I115" s="794">
        <f>'Part I-Project Information'!I91</f>
        <v>0</v>
      </c>
      <c r="J115" s="794" t="s">
        <v>2374</v>
      </c>
      <c r="K115" s="2362">
        <f>'Part I-Project Information'!K91</f>
        <v>0</v>
      </c>
      <c r="L115" s="2362"/>
      <c r="M115" s="795"/>
      <c r="N115" s="795"/>
      <c r="O115" s="795"/>
      <c r="P115" s="795"/>
    </row>
    <row r="116" spans="1:16">
      <c r="A116" s="790"/>
      <c r="B116" s="790"/>
      <c r="C116" s="790" t="s">
        <v>2333</v>
      </c>
      <c r="D116" s="790"/>
      <c r="E116" s="2359">
        <f>'Part I-Project Information'!E92</f>
        <v>0</v>
      </c>
      <c r="F116" s="2359"/>
      <c r="G116" s="2359"/>
      <c r="H116" s="794" t="s">
        <v>2114</v>
      </c>
      <c r="I116" s="2359">
        <f>'Part I-Project Information'!I92</f>
        <v>0</v>
      </c>
      <c r="J116" s="2377"/>
      <c r="K116" s="2377"/>
      <c r="L116" s="794" t="s">
        <v>2118</v>
      </c>
      <c r="M116" s="2359">
        <f>'Part I-Project Information'!M92</f>
        <v>0</v>
      </c>
      <c r="N116" s="2377"/>
      <c r="O116" s="2377"/>
      <c r="P116" s="2377"/>
    </row>
    <row r="117" spans="1:16">
      <c r="A117" s="790"/>
      <c r="B117" s="790"/>
      <c r="C117" s="797" t="s">
        <v>2332</v>
      </c>
      <c r="D117" s="790"/>
      <c r="E117" s="2361">
        <f>'Part I-Project Information'!E93</f>
        <v>0</v>
      </c>
      <c r="F117" s="2361"/>
      <c r="G117" s="2361"/>
      <c r="H117" s="794" t="s">
        <v>1925</v>
      </c>
      <c r="I117" s="2361">
        <f>'Part I-Project Information'!I93</f>
        <v>0</v>
      </c>
      <c r="J117" s="2361"/>
      <c r="K117" s="794" t="s">
        <v>1926</v>
      </c>
      <c r="L117" s="2361">
        <f>'Part I-Project Information'!L93</f>
        <v>0</v>
      </c>
      <c r="M117" s="2361"/>
      <c r="N117" s="794" t="s">
        <v>2113</v>
      </c>
      <c r="O117" s="2361">
        <f>'Part I-Project Information'!O93</f>
        <v>0</v>
      </c>
      <c r="P117" s="2361"/>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1781</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2290</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2117</v>
      </c>
      <c r="C123" s="821" t="s">
        <v>1503</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2120</v>
      </c>
      <c r="C125" s="821" t="s">
        <v>435</v>
      </c>
      <c r="D125" s="817"/>
      <c r="E125" s="817"/>
      <c r="F125" s="794"/>
      <c r="G125" s="794"/>
      <c r="H125" s="818">
        <f>'Part I-Project Information'!H101</f>
        <v>1000000</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798</v>
      </c>
      <c r="C127" s="821" t="s">
        <v>318</v>
      </c>
      <c r="D127" s="817"/>
      <c r="E127" s="817"/>
      <c r="F127" s="794"/>
      <c r="G127" s="794"/>
      <c r="H127" s="794"/>
      <c r="I127" s="794"/>
      <c r="J127" s="802"/>
      <c r="K127" s="794"/>
      <c r="L127" s="794"/>
      <c r="M127" s="790"/>
      <c r="N127" s="790"/>
      <c r="O127" s="790"/>
      <c r="P127" s="790"/>
    </row>
    <row r="128" spans="1:16">
      <c r="A128" s="790"/>
      <c r="B128" s="789"/>
      <c r="C128" s="817" t="s">
        <v>2272</v>
      </c>
      <c r="D128" s="817"/>
      <c r="E128" s="790"/>
      <c r="F128" s="817" t="s">
        <v>1201</v>
      </c>
      <c r="G128" s="794"/>
      <c r="H128" s="794"/>
      <c r="I128" s="794"/>
      <c r="J128" s="817" t="s">
        <v>2272</v>
      </c>
      <c r="K128" s="817"/>
      <c r="L128" s="790"/>
      <c r="M128" s="817" t="s">
        <v>1201</v>
      </c>
      <c r="N128" s="794"/>
      <c r="O128" s="794"/>
      <c r="P128" s="794"/>
    </row>
    <row r="129" spans="1:16" ht="13.5">
      <c r="A129" s="789"/>
      <c r="B129" s="789"/>
      <c r="C129" s="2363" t="str">
        <f>'Part I-Project Information'!C105</f>
        <v>Prestwick Development Company</v>
      </c>
      <c r="D129" s="2363"/>
      <c r="E129" s="2363"/>
      <c r="F129" s="2363" t="str">
        <f>'Part I-Project Information'!F105</f>
        <v>North Grove Apartments</v>
      </c>
      <c r="G129" s="2363"/>
      <c r="H129" s="2363"/>
      <c r="I129" s="2363"/>
      <c r="J129" s="2363">
        <f>'Part I-Project Information'!J105</f>
        <v>0</v>
      </c>
      <c r="K129" s="2363"/>
      <c r="L129" s="2363"/>
      <c r="M129" s="2363">
        <f>'Part I-Project Information'!M105</f>
        <v>0</v>
      </c>
      <c r="N129" s="2363"/>
      <c r="O129" s="2363"/>
      <c r="P129" s="2363"/>
    </row>
    <row r="130" spans="1:16" ht="13.5">
      <c r="A130" s="789"/>
      <c r="B130" s="789"/>
      <c r="C130" s="2363" t="str">
        <f>'Part I-Project Information'!C106</f>
        <v>Kenneth G Blankenship</v>
      </c>
      <c r="D130" s="2363"/>
      <c r="E130" s="2363"/>
      <c r="F130" s="2363" t="str">
        <f>'Part I-Project Information'!F106</f>
        <v>North Grove Apartments</v>
      </c>
      <c r="G130" s="2363"/>
      <c r="H130" s="2363"/>
      <c r="I130" s="2363"/>
      <c r="J130" s="2363">
        <f>'Part I-Project Information'!J106</f>
        <v>0</v>
      </c>
      <c r="K130" s="2363"/>
      <c r="L130" s="2363"/>
      <c r="M130" s="2363">
        <f>'Part I-Project Information'!M106</f>
        <v>0</v>
      </c>
      <c r="N130" s="2363"/>
      <c r="O130" s="2363"/>
      <c r="P130" s="2363"/>
    </row>
    <row r="131" spans="1:16" ht="13.5">
      <c r="A131" s="789"/>
      <c r="B131" s="789"/>
      <c r="C131" s="2363" t="str">
        <f>'Part I-Project Information'!C107</f>
        <v>Wiley A Tucker III</v>
      </c>
      <c r="D131" s="2363"/>
      <c r="E131" s="2363"/>
      <c r="F131" s="2363" t="str">
        <f>'Part I-Project Information'!F107</f>
        <v>North Grove Apartments</v>
      </c>
      <c r="G131" s="2363"/>
      <c r="H131" s="2363"/>
      <c r="I131" s="2363"/>
      <c r="J131" s="2363">
        <f>'Part I-Project Information'!J107</f>
        <v>0</v>
      </c>
      <c r="K131" s="2363"/>
      <c r="L131" s="2363"/>
      <c r="M131" s="2363">
        <f>'Part I-Project Information'!M107</f>
        <v>0</v>
      </c>
      <c r="N131" s="2363"/>
      <c r="O131" s="2363"/>
      <c r="P131" s="2363"/>
    </row>
    <row r="132" spans="1:16" ht="13.5">
      <c r="A132" s="789"/>
      <c r="B132" s="789"/>
      <c r="C132" s="2363" t="str">
        <f>'Part I-Project Information'!C108</f>
        <v>Richard D. Lee</v>
      </c>
      <c r="D132" s="2363"/>
      <c r="E132" s="2363"/>
      <c r="F132" s="2363" t="str">
        <f>'Part I-Project Information'!F108</f>
        <v>North Grove Apartments</v>
      </c>
      <c r="G132" s="2363"/>
      <c r="H132" s="2363"/>
      <c r="I132" s="2363"/>
      <c r="J132" s="2363">
        <f>'Part I-Project Information'!J108</f>
        <v>0</v>
      </c>
      <c r="K132" s="2363"/>
      <c r="L132" s="2363"/>
      <c r="M132" s="2363">
        <f>'Part I-Project Information'!M108</f>
        <v>0</v>
      </c>
      <c r="N132" s="2363"/>
      <c r="O132" s="2363"/>
      <c r="P132" s="2363"/>
    </row>
    <row r="133" spans="1:16" ht="13.5">
      <c r="A133" s="789"/>
      <c r="B133" s="789"/>
      <c r="C133" s="2363" t="str">
        <f>'Part I-Project Information'!C109</f>
        <v>North Grove Apartments GP, LLC</v>
      </c>
      <c r="D133" s="2363"/>
      <c r="E133" s="2363"/>
      <c r="F133" s="2363" t="str">
        <f>'Part I-Project Information'!F109</f>
        <v>North Grove Apartments</v>
      </c>
      <c r="G133" s="2363"/>
      <c r="H133" s="2363"/>
      <c r="I133" s="2363"/>
      <c r="J133" s="2363">
        <f>'Part I-Project Information'!J109</f>
        <v>0</v>
      </c>
      <c r="K133" s="2363"/>
      <c r="L133" s="2363"/>
      <c r="M133" s="2363">
        <f>'Part I-Project Information'!M109</f>
        <v>0</v>
      </c>
      <c r="N133" s="2363"/>
      <c r="O133" s="2363"/>
      <c r="P133" s="2363"/>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2252</v>
      </c>
      <c r="C135" s="2378" t="s">
        <v>1975</v>
      </c>
      <c r="D135" s="2378"/>
      <c r="E135" s="2378"/>
      <c r="F135" s="2378"/>
      <c r="G135" s="2378"/>
      <c r="H135" s="2378"/>
      <c r="I135" s="2378"/>
      <c r="J135" s="2378"/>
      <c r="K135" s="2378"/>
      <c r="L135" s="2378"/>
      <c r="M135" s="2378"/>
      <c r="N135" s="2378"/>
      <c r="O135" s="2378"/>
      <c r="P135" s="2378"/>
    </row>
    <row r="136" spans="1:16">
      <c r="A136" s="789"/>
      <c r="B136" s="789"/>
      <c r="C136" s="2378"/>
      <c r="D136" s="2378"/>
      <c r="E136" s="2378"/>
      <c r="F136" s="2378"/>
      <c r="G136" s="2378"/>
      <c r="H136" s="2378"/>
      <c r="I136" s="2378"/>
      <c r="J136" s="2378"/>
      <c r="K136" s="2378"/>
      <c r="L136" s="2378"/>
      <c r="M136" s="2378"/>
      <c r="N136" s="2378"/>
      <c r="O136" s="2378"/>
      <c r="P136" s="2378"/>
    </row>
    <row r="137" spans="1:16">
      <c r="A137" s="790"/>
      <c r="B137" s="789"/>
      <c r="C137" s="817" t="s">
        <v>2272</v>
      </c>
      <c r="D137" s="817"/>
      <c r="E137" s="790"/>
      <c r="F137" s="817" t="s">
        <v>1201</v>
      </c>
      <c r="G137" s="794"/>
      <c r="H137" s="794"/>
      <c r="I137" s="794"/>
      <c r="J137" s="817" t="s">
        <v>2272</v>
      </c>
      <c r="K137" s="817"/>
      <c r="L137" s="790"/>
      <c r="M137" s="817" t="s">
        <v>1201</v>
      </c>
      <c r="N137" s="794"/>
      <c r="O137" s="794"/>
      <c r="P137" s="794"/>
    </row>
    <row r="138" spans="1:16" ht="13.5">
      <c r="A138" s="789"/>
      <c r="B138" s="789"/>
      <c r="C138" s="2363">
        <f>'Part I-Project Information'!C114</f>
        <v>1</v>
      </c>
      <c r="D138" s="2363"/>
      <c r="E138" s="2363"/>
      <c r="F138" s="2363">
        <f>'Part I-Project Information'!F114</f>
        <v>0</v>
      </c>
      <c r="G138" s="2363"/>
      <c r="H138" s="2363"/>
      <c r="I138" s="2363"/>
      <c r="J138" s="2363">
        <f>'Part I-Project Information'!J114</f>
        <v>6</v>
      </c>
      <c r="K138" s="2363"/>
      <c r="L138" s="2363"/>
      <c r="M138" s="2363">
        <f>'Part I-Project Information'!M114</f>
        <v>0</v>
      </c>
      <c r="N138" s="2363"/>
      <c r="O138" s="2363"/>
      <c r="P138" s="2363"/>
    </row>
    <row r="139" spans="1:16" ht="13.5">
      <c r="A139" s="789"/>
      <c r="B139" s="789"/>
      <c r="C139" s="2363">
        <f>'Part I-Project Information'!C115</f>
        <v>2</v>
      </c>
      <c r="D139" s="2363"/>
      <c r="E139" s="2363"/>
      <c r="F139" s="2363">
        <f>'Part I-Project Information'!F115</f>
        <v>0</v>
      </c>
      <c r="G139" s="2363"/>
      <c r="H139" s="2363"/>
      <c r="I139" s="2363"/>
      <c r="J139" s="2363">
        <f>'Part I-Project Information'!J115</f>
        <v>7</v>
      </c>
      <c r="K139" s="2363"/>
      <c r="L139" s="2363"/>
      <c r="M139" s="2363">
        <f>'Part I-Project Information'!M115</f>
        <v>0</v>
      </c>
      <c r="N139" s="2363"/>
      <c r="O139" s="2363"/>
      <c r="P139" s="2363"/>
    </row>
    <row r="140" spans="1:16" ht="13.5">
      <c r="A140" s="789"/>
      <c r="B140" s="789"/>
      <c r="C140" s="2363">
        <f>'Part I-Project Information'!C116</f>
        <v>3</v>
      </c>
      <c r="D140" s="2363"/>
      <c r="E140" s="2363"/>
      <c r="F140" s="2363">
        <f>'Part I-Project Information'!F116</f>
        <v>0</v>
      </c>
      <c r="G140" s="2363"/>
      <c r="H140" s="2363"/>
      <c r="I140" s="2363"/>
      <c r="J140" s="2363">
        <f>'Part I-Project Information'!J116</f>
        <v>8</v>
      </c>
      <c r="K140" s="2363"/>
      <c r="L140" s="2363"/>
      <c r="M140" s="2363">
        <f>'Part I-Project Information'!M116</f>
        <v>0</v>
      </c>
      <c r="N140" s="2363"/>
      <c r="O140" s="2363"/>
      <c r="P140" s="2363"/>
    </row>
    <row r="141" spans="1:16" ht="13.5">
      <c r="A141" s="789"/>
      <c r="B141" s="789"/>
      <c r="C141" s="2363">
        <f>'Part I-Project Information'!C117</f>
        <v>4</v>
      </c>
      <c r="D141" s="2363"/>
      <c r="E141" s="2363"/>
      <c r="F141" s="2363">
        <f>'Part I-Project Information'!F117</f>
        <v>0</v>
      </c>
      <c r="G141" s="2363"/>
      <c r="H141" s="2363"/>
      <c r="I141" s="2363"/>
      <c r="J141" s="2363">
        <f>'Part I-Project Information'!J117</f>
        <v>9</v>
      </c>
      <c r="K141" s="2363"/>
      <c r="L141" s="2363"/>
      <c r="M141" s="2363">
        <f>'Part I-Project Information'!M117</f>
        <v>0</v>
      </c>
      <c r="N141" s="2363"/>
      <c r="O141" s="2363"/>
      <c r="P141" s="2363"/>
    </row>
    <row r="142" spans="1:16" ht="13.5">
      <c r="A142" s="789"/>
      <c r="B142" s="789"/>
      <c r="C142" s="2363">
        <f>'Part I-Project Information'!C118</f>
        <v>5</v>
      </c>
      <c r="D142" s="2363"/>
      <c r="E142" s="2363"/>
      <c r="F142" s="2363">
        <f>'Part I-Project Information'!F118</f>
        <v>0</v>
      </c>
      <c r="G142" s="2363"/>
      <c r="H142" s="2363"/>
      <c r="I142" s="2363"/>
      <c r="J142" s="2363">
        <f>'Part I-Project Information'!J118</f>
        <v>10</v>
      </c>
      <c r="K142" s="2363"/>
      <c r="L142" s="2363"/>
      <c r="M142" s="2363">
        <f>'Part I-Project Information'!M118</f>
        <v>0</v>
      </c>
      <c r="N142" s="2363"/>
      <c r="O142" s="2363"/>
      <c r="P142" s="2363"/>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2581</v>
      </c>
      <c r="C144" s="790"/>
      <c r="D144" s="820"/>
      <c r="E144" s="820"/>
      <c r="F144" s="820"/>
      <c r="G144" s="790"/>
      <c r="H144" s="794" t="str">
        <f>'Part I-Project Information'!H120</f>
        <v>Yes</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2117</v>
      </c>
      <c r="C146" s="791" t="s">
        <v>1831</v>
      </c>
      <c r="D146" s="790"/>
      <c r="E146" s="790"/>
      <c r="F146" s="790"/>
      <c r="G146" s="790"/>
      <c r="H146" s="794" t="str">
        <f>'Part I-Project Information'!H122</f>
        <v>Yes</v>
      </c>
      <c r="I146" s="790"/>
      <c r="J146" s="790"/>
      <c r="K146" s="790"/>
      <c r="L146" s="790"/>
      <c r="M146" s="794"/>
      <c r="N146" s="790"/>
      <c r="O146" s="790"/>
      <c r="P146" s="800"/>
    </row>
    <row r="147" spans="1:16">
      <c r="A147" s="789"/>
      <c r="B147" s="789"/>
      <c r="C147" s="817" t="s">
        <v>2583</v>
      </c>
      <c r="D147" s="817"/>
      <c r="E147" s="817"/>
      <c r="F147" s="794"/>
      <c r="G147" s="790"/>
      <c r="H147" s="1048">
        <f>'Part I-Project Information'!H123</f>
        <v>1995</v>
      </c>
      <c r="I147" s="790"/>
      <c r="J147" s="790"/>
      <c r="K147" s="790"/>
      <c r="L147" s="790"/>
      <c r="M147" s="790"/>
      <c r="N147" s="790"/>
      <c r="O147" s="790"/>
      <c r="P147" s="800"/>
    </row>
    <row r="148" spans="1:16">
      <c r="A148" s="789"/>
      <c r="B148" s="789"/>
      <c r="C148" s="827" t="s">
        <v>1830</v>
      </c>
      <c r="D148" s="797"/>
      <c r="E148" s="790"/>
      <c r="F148" s="790"/>
      <c r="G148" s="790"/>
      <c r="H148" s="2359" t="str">
        <f>'Part I-Project Information'!H124</f>
        <v>GA-95-062</v>
      </c>
      <c r="I148" s="2359"/>
      <c r="J148" s="790"/>
      <c r="K148" s="790"/>
      <c r="L148" s="790"/>
      <c r="M148" s="790"/>
      <c r="N148" s="790"/>
      <c r="O148" s="790"/>
      <c r="P148" s="800"/>
    </row>
    <row r="149" spans="1:16">
      <c r="A149" s="789"/>
      <c r="B149" s="789"/>
      <c r="C149" s="817" t="s">
        <v>2584</v>
      </c>
      <c r="D149" s="817"/>
      <c r="E149" s="817"/>
      <c r="F149" s="794"/>
      <c r="G149" s="790"/>
      <c r="H149" s="1048">
        <f>'Part I-Project Information'!H125</f>
        <v>1996</v>
      </c>
      <c r="I149" s="790"/>
      <c r="J149" s="790"/>
      <c r="K149" s="795" t="s">
        <v>2392</v>
      </c>
      <c r="L149" s="790"/>
      <c r="M149" s="790"/>
      <c r="N149" s="790"/>
      <c r="O149" s="2359" t="str">
        <f>'Part I-Project Information'!O125</f>
        <v>GA-95-06201</v>
      </c>
      <c r="P149" s="2359"/>
    </row>
    <row r="150" spans="1:16">
      <c r="A150" s="789"/>
      <c r="B150" s="789"/>
      <c r="C150" s="817" t="s">
        <v>2582</v>
      </c>
      <c r="D150" s="790"/>
      <c r="E150" s="790"/>
      <c r="F150" s="794"/>
      <c r="G150" s="790"/>
      <c r="H150" s="802" t="str">
        <f>'Part I-Project Information'!H126</f>
        <v>Yes</v>
      </c>
      <c r="I150" s="790"/>
      <c r="J150" s="790"/>
      <c r="K150" s="795" t="s">
        <v>2393</v>
      </c>
      <c r="L150" s="790"/>
      <c r="M150" s="790"/>
      <c r="N150" s="790"/>
      <c r="O150" s="2359" t="str">
        <f>'Part I-Project Information'!O126</f>
        <v>GA-95-06215</v>
      </c>
      <c r="P150" s="2359"/>
    </row>
    <row r="151" spans="1:16">
      <c r="A151" s="789"/>
      <c r="B151" s="789"/>
      <c r="C151" s="817" t="s">
        <v>2304</v>
      </c>
      <c r="D151" s="817"/>
      <c r="E151" s="817"/>
      <c r="F151" s="794"/>
      <c r="G151" s="790"/>
      <c r="H151" s="2373">
        <f>'Part I-Project Information'!H127</f>
        <v>40908</v>
      </c>
      <c r="I151" s="2373"/>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2120</v>
      </c>
      <c r="C153" s="821" t="s">
        <v>2657</v>
      </c>
      <c r="D153" s="817"/>
      <c r="E153" s="817"/>
      <c r="F153" s="794"/>
      <c r="G153" s="790"/>
      <c r="H153" s="794" t="str">
        <f>'Part I-Project Information'!H129</f>
        <v>No</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798</v>
      </c>
      <c r="C155" s="821" t="s">
        <v>2933</v>
      </c>
      <c r="D155" s="817"/>
      <c r="E155" s="817"/>
      <c r="F155" s="794"/>
      <c r="G155" s="794"/>
      <c r="H155" s="790"/>
      <c r="I155" s="790"/>
      <c r="J155" s="790"/>
      <c r="K155" s="790"/>
      <c r="L155" s="790"/>
      <c r="M155" s="790"/>
      <c r="N155" s="790"/>
      <c r="O155" s="790"/>
      <c r="P155" s="800"/>
    </row>
    <row r="156" spans="1:16">
      <c r="A156" s="789"/>
      <c r="B156" s="789"/>
      <c r="C156" s="817" t="s">
        <v>3647</v>
      </c>
      <c r="D156" s="817"/>
      <c r="E156" s="817"/>
      <c r="F156" s="794"/>
      <c r="G156" s="794"/>
      <c r="H156" s="794" t="str">
        <f>'Part I-Project Information'!H132</f>
        <v>No</v>
      </c>
      <c r="I156" s="790"/>
      <c r="J156" s="790"/>
      <c r="K156" s="817" t="s">
        <v>1640</v>
      </c>
      <c r="L156" s="817"/>
      <c r="M156" s="794"/>
      <c r="N156" s="794"/>
      <c r="O156" s="794" t="str">
        <f>'Part I-Project Information'!O132</f>
        <v>No</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1846</v>
      </c>
      <c r="B158" s="820" t="s">
        <v>1260</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2117</v>
      </c>
      <c r="C160" s="809" t="s">
        <v>1949</v>
      </c>
      <c r="D160" s="790"/>
      <c r="E160" s="790"/>
      <c r="F160" s="794"/>
      <c r="G160" s="794"/>
      <c r="H160" s="794"/>
      <c r="I160" s="794"/>
      <c r="J160" s="802"/>
      <c r="K160" s="794"/>
      <c r="L160" s="794"/>
      <c r="M160" s="790"/>
      <c r="N160" s="790"/>
      <c r="O160" s="790"/>
      <c r="P160" s="800"/>
    </row>
    <row r="161" spans="1:16">
      <c r="A161" s="789"/>
      <c r="B161" s="789"/>
      <c r="C161" s="819" t="s">
        <v>1632</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655</v>
      </c>
      <c r="D162" s="790"/>
      <c r="E162" s="790"/>
      <c r="F162" s="790"/>
      <c r="G162" s="790"/>
      <c r="H162" s="790"/>
      <c r="I162" s="790"/>
      <c r="J162" s="790"/>
      <c r="K162" s="818">
        <f>'Part I-Project Information'!K138</f>
        <v>0</v>
      </c>
      <c r="L162" s="797" t="s">
        <v>1918</v>
      </c>
      <c r="M162" s="790"/>
      <c r="N162" s="790"/>
      <c r="O162" s="790"/>
      <c r="P162" s="828">
        <f>IF('Part VI-Revenues &amp; Expenses'!$M$60=0,0,K162/'Part VI-Revenues &amp; Expenses'!$M$60)</f>
        <v>0</v>
      </c>
    </row>
    <row r="163" spans="1:16">
      <c r="A163" s="789"/>
      <c r="B163" s="789"/>
      <c r="C163" s="790" t="s">
        <v>2305</v>
      </c>
      <c r="D163" s="790"/>
      <c r="E163" s="790"/>
      <c r="F163" s="790"/>
      <c r="G163" s="790"/>
      <c r="H163" s="790"/>
      <c r="I163" s="790"/>
      <c r="J163" s="790"/>
      <c r="K163" s="818">
        <f>'Part I-Project Information'!K139</f>
        <v>0</v>
      </c>
      <c r="L163" s="797" t="s">
        <v>1918</v>
      </c>
      <c r="M163" s="790"/>
      <c r="N163" s="790"/>
      <c r="O163" s="790"/>
      <c r="P163" s="828">
        <f>IF('Part VI-Revenues &amp; Expenses'!$M$60=0,0,K163/'Part VI-Revenues &amp; Expenses'!$M$60)</f>
        <v>0</v>
      </c>
    </row>
    <row r="164" spans="1:16">
      <c r="A164" s="789"/>
      <c r="B164" s="789"/>
      <c r="C164" s="790" t="s">
        <v>1919</v>
      </c>
      <c r="D164" s="790"/>
      <c r="E164" s="2359">
        <f>'Part I-Project Information'!E140</f>
        <v>0</v>
      </c>
      <c r="F164" s="2359"/>
      <c r="G164" s="2359"/>
      <c r="H164" s="2359"/>
      <c r="I164" s="2359"/>
      <c r="J164" s="2359"/>
      <c r="K164" s="2359"/>
      <c r="L164" s="797" t="s">
        <v>1920</v>
      </c>
      <c r="M164" s="2359">
        <f>'Part I-Project Information'!M140</f>
        <v>0</v>
      </c>
      <c r="N164" s="2359"/>
      <c r="O164" s="2359"/>
      <c r="P164" s="2359"/>
    </row>
    <row r="165" spans="1:16">
      <c r="A165" s="789"/>
      <c r="B165" s="789"/>
      <c r="C165" s="797" t="s">
        <v>1921</v>
      </c>
      <c r="D165" s="799"/>
      <c r="E165" s="2359">
        <f>'Part I-Project Information'!E141</f>
        <v>0</v>
      </c>
      <c r="F165" s="2359"/>
      <c r="G165" s="2359"/>
      <c r="H165" s="2359"/>
      <c r="I165" s="2359"/>
      <c r="J165" s="2359"/>
      <c r="K165" s="2359"/>
      <c r="L165" s="797" t="s">
        <v>1923</v>
      </c>
      <c r="M165" s="2359">
        <f>'Part I-Project Information'!M141</f>
        <v>0</v>
      </c>
      <c r="N165" s="2359"/>
      <c r="O165" s="2359"/>
      <c r="P165" s="2359"/>
    </row>
    <row r="166" spans="1:16">
      <c r="A166" s="789"/>
      <c r="B166" s="789"/>
      <c r="C166" s="797" t="s">
        <v>658</v>
      </c>
      <c r="D166" s="790"/>
      <c r="E166" s="2359">
        <f>'Part I-Project Information'!E142</f>
        <v>0</v>
      </c>
      <c r="F166" s="2359"/>
      <c r="G166" s="2359"/>
      <c r="H166" s="2359"/>
      <c r="I166" s="794" t="s">
        <v>2374</v>
      </c>
      <c r="J166" s="2362">
        <f>'Part I-Project Information'!J142</f>
        <v>0</v>
      </c>
      <c r="K166" s="2362"/>
      <c r="L166" s="797" t="s">
        <v>1926</v>
      </c>
      <c r="M166" s="2361">
        <f>'Part I-Project Information'!M142</f>
        <v>0</v>
      </c>
      <c r="N166" s="2361"/>
      <c r="O166" s="2361"/>
      <c r="P166" s="790"/>
    </row>
    <row r="167" spans="1:16">
      <c r="A167" s="789"/>
      <c r="B167" s="789"/>
      <c r="C167" s="797" t="s">
        <v>1924</v>
      </c>
      <c r="D167" s="790"/>
      <c r="E167" s="2361">
        <f>'Part I-Project Information'!E143</f>
        <v>0</v>
      </c>
      <c r="F167" s="2361"/>
      <c r="G167" s="2361"/>
      <c r="H167" s="794" t="s">
        <v>1925</v>
      </c>
      <c r="I167" s="2361">
        <f>'Part I-Project Information'!I143</f>
        <v>0</v>
      </c>
      <c r="J167" s="2361"/>
      <c r="K167" s="2361"/>
      <c r="L167" s="797" t="s">
        <v>2113</v>
      </c>
      <c r="M167" s="2361">
        <f>'Part I-Project Information'!M143</f>
        <v>0</v>
      </c>
      <c r="N167" s="2361"/>
      <c r="O167" s="2361"/>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2120</v>
      </c>
      <c r="C169" s="821" t="s">
        <v>2941</v>
      </c>
      <c r="D169" s="821"/>
      <c r="E169" s="821"/>
      <c r="F169" s="821"/>
      <c r="G169" s="821"/>
      <c r="H169" s="790"/>
      <c r="I169" s="794" t="str">
        <f>'Part I-Project Information'!I145</f>
        <v>No</v>
      </c>
      <c r="J169" s="2368" t="s">
        <v>811</v>
      </c>
      <c r="K169" s="2368"/>
      <c r="L169" s="1048">
        <f>'Part I-Project Information'!L145</f>
        <v>0</v>
      </c>
      <c r="M169" s="2364" t="s">
        <v>2474</v>
      </c>
      <c r="N169" s="2364"/>
      <c r="O169" s="2364"/>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2942</v>
      </c>
      <c r="D171" s="821"/>
      <c r="E171" s="821"/>
      <c r="F171" s="821"/>
      <c r="G171" s="821"/>
      <c r="H171" s="790"/>
      <c r="I171" s="794" t="str">
        <f>'Part I-Project Information'!I147</f>
        <v>Yes</v>
      </c>
      <c r="J171" s="2368" t="s">
        <v>811</v>
      </c>
      <c r="K171" s="2368"/>
      <c r="L171" s="1048">
        <f>'Part I-Project Information'!L147</f>
        <v>2036</v>
      </c>
      <c r="M171" s="2364" t="s">
        <v>2474</v>
      </c>
      <c r="N171" s="2364"/>
      <c r="O171" s="2364"/>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798</v>
      </c>
      <c r="C173" s="821" t="s">
        <v>1879</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2252</v>
      </c>
      <c r="C175" s="2379" t="s">
        <v>2112</v>
      </c>
      <c r="D175" s="2379"/>
      <c r="E175" s="2379"/>
      <c r="F175" s="2379"/>
      <c r="G175" s="821"/>
      <c r="H175" s="790"/>
      <c r="I175" s="794" t="str">
        <f>'Part I-Project Information'!I151</f>
        <v>Yes</v>
      </c>
      <c r="J175" s="830" t="s">
        <v>3134</v>
      </c>
      <c r="K175" s="790"/>
      <c r="L175" s="2372" t="s">
        <v>1573</v>
      </c>
      <c r="M175" s="2372"/>
      <c r="N175" s="821"/>
      <c r="O175" s="821"/>
      <c r="P175" s="818">
        <f>'Part I-Project Information'!P151</f>
        <v>127</v>
      </c>
    </row>
    <row r="176" spans="1:16">
      <c r="A176" s="790"/>
      <c r="B176" s="789"/>
      <c r="C176" s="790"/>
      <c r="D176" s="790"/>
      <c r="E176" s="790"/>
      <c r="F176" s="790"/>
      <c r="G176" s="790"/>
      <c r="H176" s="790"/>
      <c r="I176" s="790"/>
      <c r="J176" s="790"/>
      <c r="K176" s="790"/>
      <c r="L176" s="2359" t="s">
        <v>850</v>
      </c>
      <c r="M176" s="2359"/>
      <c r="N176" s="821"/>
      <c r="O176" s="821"/>
      <c r="P176" s="818">
        <f>'Part I-Project Information'!P152</f>
        <v>115</v>
      </c>
    </row>
    <row r="177" spans="1:16">
      <c r="A177" s="789"/>
      <c r="B177" s="789"/>
      <c r="C177" s="790"/>
      <c r="D177" s="790"/>
      <c r="E177" s="790"/>
      <c r="F177" s="790"/>
      <c r="G177" s="790"/>
      <c r="H177" s="790"/>
      <c r="I177" s="790"/>
      <c r="J177" s="790"/>
      <c r="K177" s="790"/>
      <c r="L177" s="2359" t="s">
        <v>1914</v>
      </c>
      <c r="M177" s="2359"/>
      <c r="N177" s="821"/>
      <c r="O177" s="821"/>
      <c r="P177" s="831">
        <f>IF(P175="","",P176/P175)</f>
        <v>0.90551181102362199</v>
      </c>
    </row>
    <row r="178" spans="1:16">
      <c r="A178" s="789"/>
      <c r="B178" s="789" t="s">
        <v>1856</v>
      </c>
      <c r="C178" s="791" t="s">
        <v>1717</v>
      </c>
      <c r="D178" s="817"/>
      <c r="E178" s="817"/>
      <c r="F178" s="817"/>
      <c r="G178" s="817"/>
      <c r="H178" s="794"/>
      <c r="I178" s="790"/>
      <c r="J178" s="795"/>
      <c r="K178" s="802"/>
      <c r="L178" s="790"/>
      <c r="M178" s="790"/>
      <c r="N178" s="790"/>
      <c r="O178" s="794"/>
      <c r="P178" s="800"/>
    </row>
    <row r="179" spans="1:16">
      <c r="A179" s="789"/>
      <c r="B179" s="789"/>
      <c r="C179" s="790" t="s">
        <v>2354</v>
      </c>
      <c r="D179" s="793"/>
      <c r="E179" s="790"/>
      <c r="F179" s="790"/>
      <c r="G179" s="790"/>
      <c r="H179" s="790"/>
      <c r="I179" s="794" t="str">
        <f>'Part I-Project Information'!I155</f>
        <v>No</v>
      </c>
      <c r="J179" s="790"/>
      <c r="K179" s="790"/>
      <c r="L179" s="790" t="s">
        <v>3260</v>
      </c>
      <c r="M179" s="790"/>
      <c r="N179" s="790"/>
      <c r="O179" s="790"/>
      <c r="P179" s="794" t="str">
        <f>'Part I-Project Information'!P155</f>
        <v>No</v>
      </c>
    </row>
    <row r="180" spans="1:16">
      <c r="A180" s="789"/>
      <c r="B180" s="789"/>
      <c r="C180" s="790" t="s">
        <v>2356</v>
      </c>
      <c r="D180" s="790"/>
      <c r="E180" s="790"/>
      <c r="F180" s="790"/>
      <c r="G180" s="790"/>
      <c r="H180" s="790"/>
      <c r="I180" s="794" t="str">
        <f>'Part I-Project Information'!I156</f>
        <v>Yes</v>
      </c>
      <c r="J180" s="790"/>
      <c r="K180" s="790"/>
      <c r="L180" s="790" t="s">
        <v>1718</v>
      </c>
      <c r="M180" s="790"/>
      <c r="N180" s="790"/>
      <c r="O180" s="790"/>
      <c r="P180" s="794" t="str">
        <f>'Part I-Project Information'!P156</f>
        <v>No</v>
      </c>
    </row>
    <row r="181" spans="1:16">
      <c r="A181" s="789"/>
      <c r="B181" s="790"/>
      <c r="C181" s="790" t="s">
        <v>2976</v>
      </c>
      <c r="D181" s="790"/>
      <c r="E181" s="790"/>
      <c r="F181" s="790"/>
      <c r="G181" s="790"/>
      <c r="H181" s="790"/>
      <c r="I181" s="794" t="str">
        <f>'Part I-Project Information'!I157</f>
        <v>No</v>
      </c>
      <c r="J181" s="790"/>
      <c r="K181" s="790"/>
      <c r="L181" s="790" t="s">
        <v>3405</v>
      </c>
      <c r="M181" s="790"/>
      <c r="N181" s="790"/>
      <c r="O181" s="790"/>
      <c r="P181" s="794" t="str">
        <f>'Part I-Project Information'!P157</f>
        <v>No</v>
      </c>
    </row>
    <row r="182" spans="1:16" ht="13.5">
      <c r="A182" s="789"/>
      <c r="B182" s="789"/>
      <c r="C182" s="790" t="s">
        <v>1367</v>
      </c>
      <c r="D182" s="832"/>
      <c r="E182" s="790"/>
      <c r="F182" s="790"/>
      <c r="G182" s="790"/>
      <c r="H182" s="790"/>
      <c r="I182" s="794" t="str">
        <f>'Part I-Project Information'!I158</f>
        <v>No</v>
      </c>
      <c r="J182" s="790"/>
      <c r="K182" s="793"/>
      <c r="L182" s="790" t="s">
        <v>2918</v>
      </c>
      <c r="M182" s="790"/>
      <c r="N182" s="2381">
        <f>'Part I-Project Information'!N158</f>
        <v>0</v>
      </c>
      <c r="O182" s="2381"/>
      <c r="P182" s="794">
        <f>'Part I-Project Information'!P158</f>
        <v>0</v>
      </c>
    </row>
    <row r="183" spans="1:16">
      <c r="A183" s="789"/>
      <c r="B183" s="793"/>
      <c r="C183" s="790" t="s">
        <v>1933</v>
      </c>
      <c r="D183" s="790"/>
      <c r="E183" s="790"/>
      <c r="F183" s="790"/>
      <c r="G183" s="790"/>
      <c r="H183" s="790"/>
      <c r="I183" s="794" t="str">
        <f>'Part I-Project Information'!I159</f>
        <v>No</v>
      </c>
      <c r="J183" s="830" t="s">
        <v>3135</v>
      </c>
      <c r="K183" s="790"/>
      <c r="L183" s="790"/>
      <c r="M183" s="790"/>
      <c r="N183" s="790"/>
      <c r="O183" s="2382">
        <f>'Part I-Project Information'!O159</f>
        <v>0</v>
      </c>
      <c r="P183" s="2382"/>
    </row>
    <row r="184" spans="1:16">
      <c r="A184" s="789"/>
      <c r="B184" s="789"/>
      <c r="C184" s="790" t="s">
        <v>3575</v>
      </c>
      <c r="D184" s="790"/>
      <c r="E184" s="790"/>
      <c r="F184" s="790"/>
      <c r="G184" s="790"/>
      <c r="H184" s="790"/>
      <c r="I184" s="794" t="str">
        <f>'Part I-Project Information'!I160</f>
        <v>No</v>
      </c>
      <c r="J184" s="830" t="s">
        <v>3135</v>
      </c>
      <c r="K184" s="790"/>
      <c r="L184" s="790"/>
      <c r="M184" s="790"/>
      <c r="N184" s="790"/>
      <c r="O184" s="2382">
        <f>'Part I-Project Information'!O160</f>
        <v>0</v>
      </c>
      <c r="P184" s="2382"/>
    </row>
    <row r="185" spans="1:16">
      <c r="A185" s="789"/>
      <c r="B185" s="789"/>
      <c r="C185" s="790" t="s">
        <v>3576</v>
      </c>
      <c r="D185" s="790"/>
      <c r="E185" s="790"/>
      <c r="F185" s="790"/>
      <c r="G185" s="790"/>
      <c r="H185" s="790"/>
      <c r="I185" s="794" t="str">
        <f>'Part I-Project Information'!I161</f>
        <v>No</v>
      </c>
      <c r="J185" s="830" t="s">
        <v>3135</v>
      </c>
      <c r="K185" s="790"/>
      <c r="L185" s="790"/>
      <c r="M185" s="790"/>
      <c r="N185" s="790"/>
      <c r="O185" s="2382">
        <f>'Part I-Project Information'!O161</f>
        <v>0</v>
      </c>
      <c r="P185" s="2382"/>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1857</v>
      </c>
      <c r="C187" s="791" t="s">
        <v>788</v>
      </c>
      <c r="D187" s="790"/>
      <c r="E187" s="790"/>
      <c r="F187" s="790"/>
      <c r="G187" s="790"/>
      <c r="H187" s="790"/>
      <c r="I187" s="790"/>
      <c r="J187" s="790"/>
      <c r="K187" s="790"/>
      <c r="L187" s="790"/>
      <c r="M187" s="790"/>
      <c r="N187" s="790"/>
      <c r="O187" s="790"/>
      <c r="P187" s="790"/>
    </row>
    <row r="188" spans="1:16">
      <c r="A188" s="789"/>
      <c r="B188" s="789"/>
      <c r="C188" s="797" t="s">
        <v>679</v>
      </c>
      <c r="D188" s="817"/>
      <c r="E188" s="817"/>
      <c r="F188" s="794"/>
      <c r="G188" s="794"/>
      <c r="H188" s="2373">
        <f>'Part I-Project Information'!H164</f>
        <v>42095</v>
      </c>
      <c r="I188" s="2373"/>
      <c r="J188" s="790"/>
      <c r="K188" s="790"/>
      <c r="L188" s="790"/>
      <c r="M188" s="790"/>
      <c r="N188" s="790"/>
      <c r="O188" s="790"/>
      <c r="P188" s="800"/>
    </row>
    <row r="189" spans="1:16">
      <c r="A189" s="789"/>
      <c r="B189" s="789"/>
      <c r="C189" s="797" t="s">
        <v>291</v>
      </c>
      <c r="D189" s="817"/>
      <c r="E189" s="817"/>
      <c r="F189" s="794"/>
      <c r="G189" s="794"/>
      <c r="H189" s="2373">
        <f>'Part I-Project Information'!H165</f>
        <v>42461</v>
      </c>
      <c r="I189" s="2373"/>
      <c r="J189" s="790"/>
      <c r="K189" s="790"/>
      <c r="L189" s="790"/>
      <c r="M189" s="790"/>
      <c r="N189" s="790"/>
      <c r="O189" s="790"/>
      <c r="P189" s="800"/>
    </row>
    <row r="190" spans="1:16">
      <c r="A190" s="789"/>
      <c r="B190" s="789"/>
      <c r="C190" s="797" t="s">
        <v>2443</v>
      </c>
      <c r="D190" s="817"/>
      <c r="E190" s="817"/>
      <c r="F190" s="794"/>
      <c r="G190" s="794"/>
      <c r="H190" s="2373">
        <f>'Part I-Project Information'!H166</f>
        <v>0</v>
      </c>
      <c r="I190" s="2373"/>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3234</v>
      </c>
      <c r="B192" s="820"/>
      <c r="C192" s="816" t="s">
        <v>607</v>
      </c>
      <c r="D192" s="795"/>
      <c r="E192" s="795"/>
      <c r="F192" s="795"/>
      <c r="G192" s="795"/>
      <c r="H192" s="795"/>
      <c r="I192" s="795"/>
      <c r="J192" s="795"/>
      <c r="K192" s="816" t="s">
        <v>2398</v>
      </c>
      <c r="L192" s="816" t="s">
        <v>82</v>
      </c>
      <c r="M192" s="795"/>
      <c r="N192" s="795"/>
      <c r="O192" s="795"/>
      <c r="P192" s="795"/>
    </row>
    <row r="193" spans="1:19" ht="13.5">
      <c r="A193" s="2380" t="str">
        <f>'Part I-Project Information'!A169</f>
        <v xml:space="preserve">Secion XIII-B: Applicant is choosing to waive its Qualified Contract Right in exchange for 1 points in Scoring Section IX A - 11(A). Therefore, "Yes" was selected in Section XIII-B. 
Section XIII-D: 127 units are rentable. 1 additional unit is a non-revenue/manager unit is not included i the 127 unit count. </v>
      </c>
      <c r="B193" s="2380"/>
      <c r="C193" s="2380"/>
      <c r="D193" s="2380"/>
      <c r="E193" s="2380"/>
      <c r="F193" s="2380"/>
      <c r="G193" s="2380"/>
      <c r="H193" s="2380"/>
      <c r="I193" s="2380"/>
      <c r="J193" s="2380"/>
      <c r="K193" s="2380">
        <f>'Part I-Project Information'!K169</f>
        <v>0</v>
      </c>
      <c r="L193" s="2380"/>
      <c r="M193" s="2380"/>
      <c r="N193" s="2380"/>
      <c r="O193" s="2380"/>
      <c r="P193" s="2380"/>
    </row>
    <row r="196" spans="1:19">
      <c r="A196" s="2356" t="str">
        <f>CONCATENATE("PART TWO - DEVELOPMENT TEAM INFORMATION","  -  ",'Part I-Project Information'!$O$4," ",'Part I-Project Information'!$F$23,", ",'Part I-Project Information'!F222,", ",'Part I-Project Information'!J223," County")</f>
        <v>PART TWO - DEVELOPMENT TEAM INFORMATION  -  2014-006 North Grove Apartments, MSA, City of Alpharetta Development Authority County</v>
      </c>
      <c r="B196" s="2356"/>
      <c r="C196" s="2356"/>
      <c r="D196" s="2356"/>
      <c r="E196" s="2356"/>
      <c r="F196" s="2356"/>
      <c r="G196" s="2356"/>
      <c r="H196" s="2356"/>
      <c r="I196" s="2356"/>
      <c r="J196" s="2356"/>
      <c r="K196" s="2356"/>
      <c r="L196" s="2356"/>
      <c r="M196" s="2356"/>
      <c r="N196" s="2356"/>
      <c r="O196" s="2356"/>
      <c r="P196" s="2356"/>
      <c r="Q196" s="2356"/>
      <c r="R196" s="2356"/>
      <c r="S196" s="2356"/>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656</v>
      </c>
      <c r="B198" s="791" t="s">
        <v>1986</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2117</v>
      </c>
      <c r="C200" s="791" t="s">
        <v>1982</v>
      </c>
      <c r="D200" s="790"/>
      <c r="E200" s="790"/>
      <c r="F200" s="790"/>
      <c r="G200" s="790"/>
      <c r="H200" s="2359" t="str">
        <f>'Part II-Development Team'!H5</f>
        <v>North Grove, LP</v>
      </c>
      <c r="I200" s="2377"/>
      <c r="J200" s="2377"/>
      <c r="K200" s="2377"/>
      <c r="L200" s="2377"/>
      <c r="M200" s="2377"/>
      <c r="N200" s="2377"/>
      <c r="O200" s="797" t="s">
        <v>2124</v>
      </c>
      <c r="P200" s="797"/>
      <c r="Q200" s="2359" t="str">
        <f>'Part II-Development Team'!Q5</f>
        <v>Ken Blankenship</v>
      </c>
      <c r="R200" s="2377"/>
      <c r="S200" s="2377"/>
    </row>
    <row r="201" spans="1:19">
      <c r="A201" s="790"/>
      <c r="B201" s="790"/>
      <c r="C201" s="790"/>
      <c r="D201" s="833"/>
      <c r="E201" s="797" t="s">
        <v>1082</v>
      </c>
      <c r="F201" s="799"/>
      <c r="G201" s="790"/>
      <c r="H201" s="2359" t="str">
        <f>'Part II-Development Team'!H6</f>
        <v>3715 Northside Pkwy, Bdlg 200, Ste 175</v>
      </c>
      <c r="I201" s="2377"/>
      <c r="J201" s="2377"/>
      <c r="K201" s="2377"/>
      <c r="L201" s="2377"/>
      <c r="M201" s="2377"/>
      <c r="N201" s="2377"/>
      <c r="O201" s="797" t="s">
        <v>1869</v>
      </c>
      <c r="P201" s="790"/>
      <c r="Q201" s="2359" t="str">
        <f>'Part II-Development Team'!Q6</f>
        <v>Manger</v>
      </c>
      <c r="R201" s="2377"/>
      <c r="S201" s="2377"/>
    </row>
    <row r="202" spans="1:19">
      <c r="A202" s="790"/>
      <c r="B202" s="790"/>
      <c r="C202" s="790"/>
      <c r="D202" s="833"/>
      <c r="E202" s="797" t="s">
        <v>658</v>
      </c>
      <c r="F202" s="790"/>
      <c r="G202" s="790"/>
      <c r="H202" s="2359" t="str">
        <f>'Part II-Development Team'!H7</f>
        <v>Atlanta</v>
      </c>
      <c r="I202" s="2377"/>
      <c r="J202" s="2377"/>
      <c r="K202" s="794" t="s">
        <v>812</v>
      </c>
      <c r="L202" s="2359">
        <f>'Part II-Development Team'!L7</f>
        <v>0</v>
      </c>
      <c r="M202" s="2377"/>
      <c r="N202" s="2377"/>
      <c r="O202" s="797" t="s">
        <v>1926</v>
      </c>
      <c r="P202" s="790"/>
      <c r="Q202" s="2361">
        <f>'Part II-Development Team'!Q7</f>
        <v>4049493873</v>
      </c>
      <c r="R202" s="2361"/>
      <c r="S202" s="2361"/>
    </row>
    <row r="203" spans="1:19" ht="13.5">
      <c r="A203" s="790"/>
      <c r="B203" s="790"/>
      <c r="C203" s="790"/>
      <c r="D203" s="833"/>
      <c r="E203" s="797" t="s">
        <v>1922</v>
      </c>
      <c r="F203" s="790"/>
      <c r="G203" s="790"/>
      <c r="H203" s="794" t="str">
        <f>'Part II-Development Team'!H8</f>
        <v>GA</v>
      </c>
      <c r="I203" s="794" t="s">
        <v>3648</v>
      </c>
      <c r="J203" s="2362">
        <f>'Part II-Development Team'!J8</f>
        <v>303272800</v>
      </c>
      <c r="K203" s="2377"/>
      <c r="L203" s="834" t="s">
        <v>3002</v>
      </c>
      <c r="M203" s="2368">
        <f>'Part II-Development Team'!M8</f>
        <v>98.02</v>
      </c>
      <c r="N203" s="2368"/>
      <c r="O203" s="797" t="s">
        <v>2113</v>
      </c>
      <c r="P203" s="790"/>
      <c r="Q203" s="2361">
        <f>'Part II-Development Team'!Q8</f>
        <v>7708619049</v>
      </c>
      <c r="R203" s="2361"/>
      <c r="S203" s="2361"/>
    </row>
    <row r="204" spans="1:19">
      <c r="A204" s="790"/>
      <c r="B204" s="790"/>
      <c r="C204" s="790"/>
      <c r="D204" s="833"/>
      <c r="E204" s="797" t="s">
        <v>2119</v>
      </c>
      <c r="F204" s="790"/>
      <c r="G204" s="790"/>
      <c r="H204" s="2361">
        <f>'Part II-Development Team'!H9</f>
        <v>4049493873</v>
      </c>
      <c r="I204" s="2361"/>
      <c r="J204" s="802">
        <f>'Part II-Development Team'!J9</f>
        <v>0</v>
      </c>
      <c r="K204" s="794" t="s">
        <v>1925</v>
      </c>
      <c r="L204" s="2376">
        <f>'Part II-Development Team'!L9</f>
        <v>4049493880</v>
      </c>
      <c r="M204" s="2377"/>
      <c r="N204" s="799" t="s">
        <v>2118</v>
      </c>
      <c r="O204" s="2371" t="str">
        <f>'Part II-Development Team'!O9</f>
        <v>ken@prestwickcompanies.com</v>
      </c>
      <c r="P204" s="2371"/>
      <c r="Q204" s="2371"/>
      <c r="R204" s="2371"/>
      <c r="S204" s="2371"/>
    </row>
    <row r="205" spans="1:19" ht="13.5">
      <c r="A205" s="790"/>
      <c r="B205" s="790"/>
      <c r="C205" s="790"/>
      <c r="D205" s="833"/>
      <c r="E205" s="792" t="s">
        <v>3001</v>
      </c>
      <c r="F205" s="790"/>
      <c r="G205" s="790"/>
      <c r="H205" s="829"/>
      <c r="I205" s="790"/>
      <c r="J205" s="790"/>
      <c r="K205" s="834"/>
      <c r="L205" s="790"/>
      <c r="M205" s="790"/>
      <c r="N205" s="793" t="s">
        <v>3631</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2120</v>
      </c>
      <c r="C207" s="791" t="s">
        <v>1983</v>
      </c>
      <c r="D207" s="790"/>
      <c r="E207" s="790"/>
      <c r="F207" s="791"/>
      <c r="G207" s="791"/>
      <c r="H207" s="791"/>
      <c r="I207" s="791"/>
      <c r="J207" s="791"/>
      <c r="K207" s="790"/>
      <c r="L207" s="790"/>
      <c r="M207" s="790"/>
      <c r="N207" s="834" t="s">
        <v>3649</v>
      </c>
      <c r="O207" s="790"/>
      <c r="P207" s="1049" t="s">
        <v>1364</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2121</v>
      </c>
      <c r="D209" s="820" t="s">
        <v>2122</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2253</v>
      </c>
      <c r="E211" s="790" t="s">
        <v>1984</v>
      </c>
      <c r="F211" s="790"/>
      <c r="G211" s="790"/>
      <c r="H211" s="2359" t="str">
        <f>'Part II-Development Team'!H16</f>
        <v>North Grove GP, LLC</v>
      </c>
      <c r="I211" s="2377"/>
      <c r="J211" s="2377"/>
      <c r="K211" s="2377"/>
      <c r="L211" s="2377"/>
      <c r="M211" s="2377"/>
      <c r="N211" s="2377"/>
      <c r="O211" s="797" t="s">
        <v>2124</v>
      </c>
      <c r="P211" s="797"/>
      <c r="Q211" s="2359" t="str">
        <f>'Part II-Development Team'!Q16</f>
        <v>Ken Blankenship</v>
      </c>
      <c r="R211" s="2377"/>
      <c r="S211" s="2377"/>
    </row>
    <row r="212" spans="1:19">
      <c r="A212" s="790"/>
      <c r="B212" s="790"/>
      <c r="C212" s="790"/>
      <c r="D212" s="833"/>
      <c r="E212" s="797" t="s">
        <v>1082</v>
      </c>
      <c r="F212" s="799"/>
      <c r="G212" s="790"/>
      <c r="H212" s="2359" t="str">
        <f>'Part II-Development Team'!H17</f>
        <v>3715 Northside Pkwy, Bldg 200, Ste 175</v>
      </c>
      <c r="I212" s="2377"/>
      <c r="J212" s="2377"/>
      <c r="K212" s="2377"/>
      <c r="L212" s="2377"/>
      <c r="M212" s="2377"/>
      <c r="N212" s="2377"/>
      <c r="O212" s="797" t="s">
        <v>1869</v>
      </c>
      <c r="P212" s="790"/>
      <c r="Q212" s="2359" t="str">
        <f>'Part II-Development Team'!Q17</f>
        <v>Managing Member</v>
      </c>
      <c r="R212" s="2377"/>
      <c r="S212" s="2377"/>
    </row>
    <row r="213" spans="1:19">
      <c r="A213" s="790"/>
      <c r="B213" s="790"/>
      <c r="C213" s="790"/>
      <c r="D213" s="833"/>
      <c r="E213" s="797" t="s">
        <v>658</v>
      </c>
      <c r="F213" s="790"/>
      <c r="G213" s="790"/>
      <c r="H213" s="2359" t="str">
        <f>'Part II-Development Team'!H18</f>
        <v>Atlanta</v>
      </c>
      <c r="I213" s="2377"/>
      <c r="J213" s="2377"/>
      <c r="K213" s="794" t="s">
        <v>2943</v>
      </c>
      <c r="L213" s="2359">
        <f>'Part II-Development Team'!L18</f>
        <v>0</v>
      </c>
      <c r="M213" s="2377"/>
      <c r="N213" s="2377"/>
      <c r="O213" s="797" t="s">
        <v>1926</v>
      </c>
      <c r="P213" s="790"/>
      <c r="Q213" s="2361">
        <f>'Part II-Development Team'!Q18</f>
        <v>4049493873</v>
      </c>
      <c r="R213" s="2361"/>
      <c r="S213" s="2361"/>
    </row>
    <row r="214" spans="1:19">
      <c r="A214" s="790"/>
      <c r="B214" s="790"/>
      <c r="C214" s="790"/>
      <c r="D214" s="793"/>
      <c r="E214" s="797" t="s">
        <v>1922</v>
      </c>
      <c r="F214" s="790"/>
      <c r="G214" s="790"/>
      <c r="H214" s="794" t="str">
        <f>'Part II-Development Team'!H19</f>
        <v>GA</v>
      </c>
      <c r="I214" s="794" t="s">
        <v>3648</v>
      </c>
      <c r="J214" s="2362">
        <f>'Part II-Development Team'!J19</f>
        <v>303272800</v>
      </c>
      <c r="K214" s="2377"/>
      <c r="L214" s="790"/>
      <c r="M214" s="790"/>
      <c r="N214" s="790"/>
      <c r="O214" s="797" t="s">
        <v>2113</v>
      </c>
      <c r="P214" s="790"/>
      <c r="Q214" s="2361">
        <f>'Part II-Development Team'!Q19</f>
        <v>7708619049</v>
      </c>
      <c r="R214" s="2361"/>
      <c r="S214" s="2361"/>
    </row>
    <row r="215" spans="1:19">
      <c r="A215" s="790"/>
      <c r="B215" s="790"/>
      <c r="C215" s="790"/>
      <c r="D215" s="833"/>
      <c r="E215" s="797" t="s">
        <v>2119</v>
      </c>
      <c r="F215" s="790"/>
      <c r="G215" s="790"/>
      <c r="H215" s="2361">
        <f>'Part II-Development Team'!H20</f>
        <v>4049493873</v>
      </c>
      <c r="I215" s="2361"/>
      <c r="J215" s="802">
        <f>'Part II-Development Team'!J20</f>
        <v>0</v>
      </c>
      <c r="K215" s="794" t="s">
        <v>1925</v>
      </c>
      <c r="L215" s="2376">
        <f>'Part II-Development Team'!L20</f>
        <v>4049493880</v>
      </c>
      <c r="M215" s="2377"/>
      <c r="N215" s="799" t="s">
        <v>2118</v>
      </c>
      <c r="O215" s="2371" t="str">
        <f>'Part II-Development Team'!O20</f>
        <v>ken@prestwickcompanies.com</v>
      </c>
      <c r="P215" s="2371"/>
      <c r="Q215" s="2371"/>
      <c r="R215" s="2371"/>
      <c r="S215" s="2371"/>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2254</v>
      </c>
      <c r="E217" s="790" t="s">
        <v>1985</v>
      </c>
      <c r="F217" s="790"/>
      <c r="G217" s="790"/>
      <c r="H217" s="2359">
        <f>'Part II-Development Team'!H22</f>
        <v>0</v>
      </c>
      <c r="I217" s="2377"/>
      <c r="J217" s="2377"/>
      <c r="K217" s="2377"/>
      <c r="L217" s="2377"/>
      <c r="M217" s="2377"/>
      <c r="N217" s="2377"/>
      <c r="O217" s="797" t="s">
        <v>2124</v>
      </c>
      <c r="P217" s="797"/>
      <c r="Q217" s="2359">
        <f>'Part II-Development Team'!Q22</f>
        <v>0</v>
      </c>
      <c r="R217" s="2377"/>
      <c r="S217" s="2377"/>
    </row>
    <row r="218" spans="1:19">
      <c r="A218" s="790"/>
      <c r="B218" s="790"/>
      <c r="C218" s="790"/>
      <c r="D218" s="833"/>
      <c r="E218" s="797" t="s">
        <v>1082</v>
      </c>
      <c r="F218" s="799"/>
      <c r="G218" s="790"/>
      <c r="H218" s="2359">
        <f>'Part II-Development Team'!H23</f>
        <v>0</v>
      </c>
      <c r="I218" s="2377"/>
      <c r="J218" s="2377"/>
      <c r="K218" s="2377"/>
      <c r="L218" s="2377"/>
      <c r="M218" s="2377"/>
      <c r="N218" s="2377"/>
      <c r="O218" s="797" t="s">
        <v>1869</v>
      </c>
      <c r="P218" s="790"/>
      <c r="Q218" s="2359">
        <f>'Part II-Development Team'!Q23</f>
        <v>0</v>
      </c>
      <c r="R218" s="2377"/>
      <c r="S218" s="2377"/>
    </row>
    <row r="219" spans="1:19">
      <c r="A219" s="790"/>
      <c r="B219" s="790"/>
      <c r="C219" s="790"/>
      <c r="D219" s="833"/>
      <c r="E219" s="797" t="s">
        <v>658</v>
      </c>
      <c r="F219" s="790"/>
      <c r="G219" s="790"/>
      <c r="H219" s="2359">
        <f>'Part II-Development Team'!H24</f>
        <v>0</v>
      </c>
      <c r="I219" s="2377"/>
      <c r="J219" s="2377"/>
      <c r="K219" s="794" t="s">
        <v>2943</v>
      </c>
      <c r="L219" s="2359">
        <f>'Part II-Development Team'!L24</f>
        <v>0</v>
      </c>
      <c r="M219" s="2377"/>
      <c r="N219" s="2377"/>
      <c r="O219" s="797" t="s">
        <v>1926</v>
      </c>
      <c r="P219" s="790"/>
      <c r="Q219" s="2361">
        <f>'Part II-Development Team'!Q24</f>
        <v>0</v>
      </c>
      <c r="R219" s="2361"/>
      <c r="S219" s="2361"/>
    </row>
    <row r="220" spans="1:19">
      <c r="A220" s="790"/>
      <c r="B220" s="790"/>
      <c r="C220" s="790"/>
      <c r="D220" s="790"/>
      <c r="E220" s="797" t="s">
        <v>1922</v>
      </c>
      <c r="F220" s="790"/>
      <c r="G220" s="790"/>
      <c r="H220" s="794">
        <f>'Part II-Development Team'!H25</f>
        <v>0</v>
      </c>
      <c r="I220" s="794" t="s">
        <v>3648</v>
      </c>
      <c r="J220" s="2362">
        <f>'Part II-Development Team'!J25</f>
        <v>0</v>
      </c>
      <c r="K220" s="2377"/>
      <c r="L220" s="790"/>
      <c r="M220" s="790"/>
      <c r="N220" s="790"/>
      <c r="O220" s="797" t="s">
        <v>2113</v>
      </c>
      <c r="P220" s="790"/>
      <c r="Q220" s="2361">
        <f>'Part II-Development Team'!Q25</f>
        <v>0</v>
      </c>
      <c r="R220" s="2361"/>
      <c r="S220" s="2361"/>
    </row>
    <row r="221" spans="1:19">
      <c r="A221" s="790"/>
      <c r="B221" s="790"/>
      <c r="C221" s="790"/>
      <c r="D221" s="833"/>
      <c r="E221" s="797" t="s">
        <v>2119</v>
      </c>
      <c r="F221" s="790"/>
      <c r="G221" s="790"/>
      <c r="H221" s="2361">
        <f>'Part II-Development Team'!H26</f>
        <v>0</v>
      </c>
      <c r="I221" s="2361"/>
      <c r="J221" s="802">
        <f>'Part II-Development Team'!J26</f>
        <v>0</v>
      </c>
      <c r="K221" s="794" t="s">
        <v>1925</v>
      </c>
      <c r="L221" s="2376">
        <f>'Part II-Development Team'!L26</f>
        <v>0</v>
      </c>
      <c r="M221" s="2377"/>
      <c r="N221" s="799" t="s">
        <v>2118</v>
      </c>
      <c r="O221" s="2371">
        <f>'Part II-Development Team'!O26</f>
        <v>0</v>
      </c>
      <c r="P221" s="2371"/>
      <c r="Q221" s="2371"/>
      <c r="R221" s="2371"/>
      <c r="S221" s="2371"/>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1855</v>
      </c>
      <c r="E223" s="790" t="s">
        <v>1985</v>
      </c>
      <c r="F223" s="790"/>
      <c r="G223" s="790"/>
      <c r="H223" s="2359">
        <f>'Part II-Development Team'!H28</f>
        <v>0</v>
      </c>
      <c r="I223" s="2377"/>
      <c r="J223" s="2377"/>
      <c r="K223" s="2377"/>
      <c r="L223" s="2377"/>
      <c r="M223" s="2377"/>
      <c r="N223" s="2377"/>
      <c r="O223" s="797" t="s">
        <v>2124</v>
      </c>
      <c r="P223" s="797"/>
      <c r="Q223" s="2359">
        <f>'Part II-Development Team'!Q28</f>
        <v>0</v>
      </c>
      <c r="R223" s="2377"/>
      <c r="S223" s="2377"/>
    </row>
    <row r="224" spans="1:19">
      <c r="A224" s="790"/>
      <c r="B224" s="790"/>
      <c r="C224" s="790"/>
      <c r="D224" s="833"/>
      <c r="E224" s="797" t="s">
        <v>1082</v>
      </c>
      <c r="F224" s="799"/>
      <c r="G224" s="790"/>
      <c r="H224" s="2359">
        <f>'Part II-Development Team'!H29</f>
        <v>0</v>
      </c>
      <c r="I224" s="2377"/>
      <c r="J224" s="2377"/>
      <c r="K224" s="2377"/>
      <c r="L224" s="2377"/>
      <c r="M224" s="2377"/>
      <c r="N224" s="2377"/>
      <c r="O224" s="797" t="s">
        <v>1869</v>
      </c>
      <c r="P224" s="790"/>
      <c r="Q224" s="2359">
        <f>'Part II-Development Team'!Q29</f>
        <v>0</v>
      </c>
      <c r="R224" s="2377"/>
      <c r="S224" s="2377"/>
    </row>
    <row r="225" spans="1:19">
      <c r="A225" s="790"/>
      <c r="B225" s="790"/>
      <c r="C225" s="790"/>
      <c r="D225" s="833"/>
      <c r="E225" s="797" t="s">
        <v>658</v>
      </c>
      <c r="F225" s="790"/>
      <c r="G225" s="790"/>
      <c r="H225" s="2359">
        <f>'Part II-Development Team'!H30</f>
        <v>0</v>
      </c>
      <c r="I225" s="2377"/>
      <c r="J225" s="2377"/>
      <c r="K225" s="794" t="s">
        <v>2943</v>
      </c>
      <c r="L225" s="2359">
        <f>'Part II-Development Team'!L30</f>
        <v>0</v>
      </c>
      <c r="M225" s="2377"/>
      <c r="N225" s="2377"/>
      <c r="O225" s="797" t="s">
        <v>1926</v>
      </c>
      <c r="P225" s="790"/>
      <c r="Q225" s="2361">
        <f>'Part II-Development Team'!Q30</f>
        <v>0</v>
      </c>
      <c r="R225" s="2361"/>
      <c r="S225" s="2361"/>
    </row>
    <row r="226" spans="1:19">
      <c r="A226" s="790"/>
      <c r="B226" s="790"/>
      <c r="C226" s="790"/>
      <c r="D226" s="790"/>
      <c r="E226" s="797" t="s">
        <v>1922</v>
      </c>
      <c r="F226" s="790"/>
      <c r="G226" s="790"/>
      <c r="H226" s="794">
        <f>'Part II-Development Team'!H31</f>
        <v>0</v>
      </c>
      <c r="I226" s="794" t="s">
        <v>3648</v>
      </c>
      <c r="J226" s="2362">
        <f>'Part II-Development Team'!J31</f>
        <v>0</v>
      </c>
      <c r="K226" s="2377"/>
      <c r="L226" s="790"/>
      <c r="M226" s="790"/>
      <c r="N226" s="790"/>
      <c r="O226" s="797" t="s">
        <v>2113</v>
      </c>
      <c r="P226" s="790"/>
      <c r="Q226" s="2361">
        <f>'Part II-Development Team'!Q31</f>
        <v>0</v>
      </c>
      <c r="R226" s="2361"/>
      <c r="S226" s="2361"/>
    </row>
    <row r="227" spans="1:19">
      <c r="A227" s="790"/>
      <c r="B227" s="790"/>
      <c r="C227" s="790"/>
      <c r="D227" s="833"/>
      <c r="E227" s="797" t="s">
        <v>2119</v>
      </c>
      <c r="F227" s="790"/>
      <c r="G227" s="790"/>
      <c r="H227" s="2361">
        <f>'Part II-Development Team'!H32</f>
        <v>0</v>
      </c>
      <c r="I227" s="2361"/>
      <c r="J227" s="802">
        <f>'Part II-Development Team'!J32</f>
        <v>0</v>
      </c>
      <c r="K227" s="794" t="s">
        <v>1925</v>
      </c>
      <c r="L227" s="2376">
        <f>'Part II-Development Team'!L32</f>
        <v>0</v>
      </c>
      <c r="M227" s="2377"/>
      <c r="N227" s="799" t="s">
        <v>2118</v>
      </c>
      <c r="O227" s="2371">
        <f>'Part II-Development Team'!O32</f>
        <v>0</v>
      </c>
      <c r="P227" s="2371"/>
      <c r="Q227" s="2371"/>
      <c r="R227" s="2371"/>
      <c r="S227" s="2371"/>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2123</v>
      </c>
      <c r="D229" s="820" t="s">
        <v>1987</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2253</v>
      </c>
      <c r="E231" s="790" t="s">
        <v>799</v>
      </c>
      <c r="F231" s="790"/>
      <c r="G231" s="790"/>
      <c r="H231" s="2359" t="str">
        <f>'Part II-Development Team'!H36</f>
        <v>Enterprise Community Investments, Inc.</v>
      </c>
      <c r="I231" s="2377"/>
      <c r="J231" s="2377"/>
      <c r="K231" s="2377"/>
      <c r="L231" s="2377"/>
      <c r="M231" s="2377"/>
      <c r="N231" s="2377"/>
      <c r="O231" s="797" t="s">
        <v>2124</v>
      </c>
      <c r="P231" s="797"/>
      <c r="Q231" s="2359" t="str">
        <f>'Part II-Development Team'!Q36</f>
        <v>Steve Smith</v>
      </c>
      <c r="R231" s="2377"/>
      <c r="S231" s="2377"/>
    </row>
    <row r="232" spans="1:19">
      <c r="A232" s="790"/>
      <c r="B232" s="790"/>
      <c r="C232" s="790"/>
      <c r="D232" s="833"/>
      <c r="E232" s="797" t="s">
        <v>1082</v>
      </c>
      <c r="F232" s="799"/>
      <c r="G232" s="790"/>
      <c r="H232" s="2359" t="str">
        <f>'Part II-Development Team'!H37</f>
        <v>10227 Wincopin Circle</v>
      </c>
      <c r="I232" s="2377"/>
      <c r="J232" s="2377"/>
      <c r="K232" s="2377"/>
      <c r="L232" s="2377"/>
      <c r="M232" s="2377"/>
      <c r="N232" s="2377"/>
      <c r="O232" s="797" t="s">
        <v>1869</v>
      </c>
      <c r="P232" s="790"/>
      <c r="Q232" s="2359" t="str">
        <f>'Part II-Development Team'!Q37</f>
        <v>VP</v>
      </c>
      <c r="R232" s="2377"/>
      <c r="S232" s="2377"/>
    </row>
    <row r="233" spans="1:19">
      <c r="A233" s="790"/>
      <c r="B233" s="790"/>
      <c r="C233" s="790"/>
      <c r="D233" s="833"/>
      <c r="E233" s="797" t="s">
        <v>658</v>
      </c>
      <c r="F233" s="790"/>
      <c r="G233" s="790"/>
      <c r="H233" s="2359" t="str">
        <f>'Part II-Development Team'!H38</f>
        <v>Columbia</v>
      </c>
      <c r="I233" s="2377"/>
      <c r="J233" s="2377"/>
      <c r="K233" s="794" t="s">
        <v>2943</v>
      </c>
      <c r="L233" s="2359" t="str">
        <f>'Part II-Development Team'!L38</f>
        <v>www.enterprisecommunity.com</v>
      </c>
      <c r="M233" s="2377"/>
      <c r="N233" s="2377"/>
      <c r="O233" s="797" t="s">
        <v>1926</v>
      </c>
      <c r="P233" s="790"/>
      <c r="Q233" s="2361">
        <f>'Part II-Development Team'!Q38</f>
        <v>4107732723</v>
      </c>
      <c r="R233" s="2361"/>
      <c r="S233" s="2361"/>
    </row>
    <row r="234" spans="1:19">
      <c r="A234" s="790"/>
      <c r="B234" s="790"/>
      <c r="C234" s="790"/>
      <c r="D234" s="790"/>
      <c r="E234" s="797" t="s">
        <v>1922</v>
      </c>
      <c r="F234" s="790"/>
      <c r="G234" s="790"/>
      <c r="H234" s="794" t="str">
        <f>'Part II-Development Team'!H39</f>
        <v>MD</v>
      </c>
      <c r="I234" s="794" t="s">
        <v>3648</v>
      </c>
      <c r="J234" s="2362">
        <f>'Part II-Development Team'!J39</f>
        <v>210443491</v>
      </c>
      <c r="K234" s="2377"/>
      <c r="L234" s="790"/>
      <c r="M234" s="790"/>
      <c r="N234" s="790"/>
      <c r="O234" s="797" t="s">
        <v>2113</v>
      </c>
      <c r="P234" s="790"/>
      <c r="Q234" s="2361">
        <f>'Part II-Development Team'!Q39</f>
        <v>4438784774</v>
      </c>
      <c r="R234" s="2361"/>
      <c r="S234" s="2361"/>
    </row>
    <row r="235" spans="1:19">
      <c r="A235" s="790"/>
      <c r="B235" s="790"/>
      <c r="C235" s="790"/>
      <c r="D235" s="833"/>
      <c r="E235" s="797" t="s">
        <v>2119</v>
      </c>
      <c r="F235" s="790"/>
      <c r="G235" s="790"/>
      <c r="H235" s="2361">
        <f>'Part II-Development Team'!H40</f>
        <v>4107722723</v>
      </c>
      <c r="I235" s="2361"/>
      <c r="J235" s="802">
        <f>'Part II-Development Team'!J40</f>
        <v>0</v>
      </c>
      <c r="K235" s="794" t="s">
        <v>1925</v>
      </c>
      <c r="L235" s="2376">
        <f>'Part II-Development Team'!L40</f>
        <v>4107722742</v>
      </c>
      <c r="M235" s="2377"/>
      <c r="N235" s="799" t="s">
        <v>2118</v>
      </c>
      <c r="O235" s="2371" t="str">
        <f>'Part II-Development Team'!O40</f>
        <v>ssmith@enterprisecommunity.com</v>
      </c>
      <c r="P235" s="2371"/>
      <c r="Q235" s="2371"/>
      <c r="R235" s="2371"/>
      <c r="S235" s="2371"/>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2254</v>
      </c>
      <c r="E237" s="790" t="s">
        <v>800</v>
      </c>
      <c r="F237" s="793"/>
      <c r="G237" s="790"/>
      <c r="H237" s="2359" t="str">
        <f>'Part II-Development Team'!H42</f>
        <v>Enterprise Community Investments, Inc.</v>
      </c>
      <c r="I237" s="2377"/>
      <c r="J237" s="2377"/>
      <c r="K237" s="2377"/>
      <c r="L237" s="2377"/>
      <c r="M237" s="2377"/>
      <c r="N237" s="2377"/>
      <c r="O237" s="797" t="s">
        <v>2124</v>
      </c>
      <c r="P237" s="797"/>
      <c r="Q237" s="2359" t="str">
        <f>'Part II-Development Team'!Q42</f>
        <v>Steve Smith</v>
      </c>
      <c r="R237" s="2377"/>
      <c r="S237" s="2377"/>
    </row>
    <row r="238" spans="1:19">
      <c r="A238" s="790"/>
      <c r="B238" s="790"/>
      <c r="C238" s="790"/>
      <c r="D238" s="833"/>
      <c r="E238" s="797" t="s">
        <v>1082</v>
      </c>
      <c r="F238" s="799"/>
      <c r="G238" s="790"/>
      <c r="H238" s="2359" t="str">
        <f>'Part II-Development Team'!H43</f>
        <v>10227 Wincopin Circle</v>
      </c>
      <c r="I238" s="2377"/>
      <c r="J238" s="2377"/>
      <c r="K238" s="2377"/>
      <c r="L238" s="2377"/>
      <c r="M238" s="2377"/>
      <c r="N238" s="2377"/>
      <c r="O238" s="797" t="s">
        <v>1869</v>
      </c>
      <c r="P238" s="790"/>
      <c r="Q238" s="2359" t="str">
        <f>'Part II-Development Team'!Q43</f>
        <v>VP</v>
      </c>
      <c r="R238" s="2377"/>
      <c r="S238" s="2377"/>
    </row>
    <row r="239" spans="1:19">
      <c r="A239" s="790"/>
      <c r="B239" s="790"/>
      <c r="C239" s="790"/>
      <c r="D239" s="833"/>
      <c r="E239" s="797" t="s">
        <v>658</v>
      </c>
      <c r="F239" s="790"/>
      <c r="G239" s="790"/>
      <c r="H239" s="2359" t="str">
        <f>'Part II-Development Team'!H44</f>
        <v>Columbia</v>
      </c>
      <c r="I239" s="2377"/>
      <c r="J239" s="2377"/>
      <c r="K239" s="794" t="s">
        <v>2943</v>
      </c>
      <c r="L239" s="2359" t="str">
        <f>'Part II-Development Team'!L44</f>
        <v>www.enterprisecommunity.com</v>
      </c>
      <c r="M239" s="2377"/>
      <c r="N239" s="2377"/>
      <c r="O239" s="797" t="s">
        <v>1926</v>
      </c>
      <c r="P239" s="790"/>
      <c r="Q239" s="2361">
        <f>'Part II-Development Team'!Q44</f>
        <v>4107732723</v>
      </c>
      <c r="R239" s="2361"/>
      <c r="S239" s="2361"/>
    </row>
    <row r="240" spans="1:19">
      <c r="A240" s="790"/>
      <c r="B240" s="790"/>
      <c r="C240" s="790"/>
      <c r="D240" s="793"/>
      <c r="E240" s="797" t="s">
        <v>1922</v>
      </c>
      <c r="F240" s="790"/>
      <c r="G240" s="790"/>
      <c r="H240" s="794" t="str">
        <f>'Part II-Development Team'!H45</f>
        <v>MD</v>
      </c>
      <c r="I240" s="794" t="s">
        <v>3648</v>
      </c>
      <c r="J240" s="2362">
        <f>'Part II-Development Team'!J45</f>
        <v>210443491</v>
      </c>
      <c r="K240" s="2377"/>
      <c r="L240" s="790"/>
      <c r="M240" s="790"/>
      <c r="N240" s="790"/>
      <c r="O240" s="797" t="s">
        <v>2113</v>
      </c>
      <c r="P240" s="790"/>
      <c r="Q240" s="2361">
        <f>'Part II-Development Team'!Q45</f>
        <v>4438784774</v>
      </c>
      <c r="R240" s="2361"/>
      <c r="S240" s="2361"/>
    </row>
    <row r="241" spans="1:19">
      <c r="A241" s="790"/>
      <c r="B241" s="790"/>
      <c r="C241" s="790"/>
      <c r="D241" s="833"/>
      <c r="E241" s="797" t="s">
        <v>2119</v>
      </c>
      <c r="F241" s="790"/>
      <c r="G241" s="790"/>
      <c r="H241" s="2361">
        <f>'Part II-Development Team'!H46</f>
        <v>4107722723</v>
      </c>
      <c r="I241" s="2361"/>
      <c r="J241" s="802">
        <f>'Part II-Development Team'!J46</f>
        <v>0</v>
      </c>
      <c r="K241" s="794" t="s">
        <v>1925</v>
      </c>
      <c r="L241" s="2376">
        <f>'Part II-Development Team'!L46</f>
        <v>4107722742</v>
      </c>
      <c r="M241" s="2377"/>
      <c r="N241" s="799" t="s">
        <v>2118</v>
      </c>
      <c r="O241" s="2371" t="str">
        <f>'Part II-Development Team'!O46</f>
        <v>ssmith@enterprisecommunity.com</v>
      </c>
      <c r="P241" s="2371"/>
      <c r="Q241" s="2371"/>
      <c r="R241" s="2371"/>
      <c r="S241" s="2371"/>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2706</v>
      </c>
      <c r="D243" s="820" t="s">
        <v>695</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59">
        <f>'Part II-Development Team'!H50</f>
        <v>0</v>
      </c>
      <c r="I245" s="2377"/>
      <c r="J245" s="2377"/>
      <c r="K245" s="2377"/>
      <c r="L245" s="2377"/>
      <c r="M245" s="2377"/>
      <c r="N245" s="2377"/>
      <c r="O245" s="797" t="s">
        <v>2124</v>
      </c>
      <c r="P245" s="797"/>
      <c r="Q245" s="2359">
        <f>'Part II-Development Team'!Q50</f>
        <v>0</v>
      </c>
      <c r="R245" s="2377"/>
      <c r="S245" s="2377"/>
    </row>
    <row r="246" spans="1:19">
      <c r="A246" s="790"/>
      <c r="B246" s="790"/>
      <c r="C246" s="790"/>
      <c r="D246" s="833"/>
      <c r="E246" s="797" t="s">
        <v>1082</v>
      </c>
      <c r="F246" s="799"/>
      <c r="G246" s="790"/>
      <c r="H246" s="2359">
        <f>'Part II-Development Team'!H51</f>
        <v>0</v>
      </c>
      <c r="I246" s="2377"/>
      <c r="J246" s="2377"/>
      <c r="K246" s="2377"/>
      <c r="L246" s="2377"/>
      <c r="M246" s="2377"/>
      <c r="N246" s="2377"/>
      <c r="O246" s="797" t="s">
        <v>1869</v>
      </c>
      <c r="P246" s="790"/>
      <c r="Q246" s="2359">
        <f>'Part II-Development Team'!Q51</f>
        <v>0</v>
      </c>
      <c r="R246" s="2377"/>
      <c r="S246" s="2377"/>
    </row>
    <row r="247" spans="1:19">
      <c r="A247" s="790"/>
      <c r="B247" s="790"/>
      <c r="C247" s="790"/>
      <c r="D247" s="833"/>
      <c r="E247" s="797" t="s">
        <v>658</v>
      </c>
      <c r="F247" s="790"/>
      <c r="G247" s="790"/>
      <c r="H247" s="2359">
        <f>'Part II-Development Team'!H52</f>
        <v>0</v>
      </c>
      <c r="I247" s="2377"/>
      <c r="J247" s="2377"/>
      <c r="K247" s="794" t="s">
        <v>2943</v>
      </c>
      <c r="L247" s="2359">
        <f>'Part II-Development Team'!L52</f>
        <v>0</v>
      </c>
      <c r="M247" s="2377"/>
      <c r="N247" s="2377"/>
      <c r="O247" s="797" t="s">
        <v>1926</v>
      </c>
      <c r="P247" s="790"/>
      <c r="Q247" s="2361">
        <f>'Part II-Development Team'!Q52</f>
        <v>0</v>
      </c>
      <c r="R247" s="2361"/>
      <c r="S247" s="2361"/>
    </row>
    <row r="248" spans="1:19">
      <c r="A248" s="790"/>
      <c r="B248" s="790"/>
      <c r="C248" s="790"/>
      <c r="D248" s="790"/>
      <c r="E248" s="797" t="s">
        <v>1922</v>
      </c>
      <c r="F248" s="790"/>
      <c r="G248" s="790"/>
      <c r="H248" s="794">
        <f>'Part II-Development Team'!H53</f>
        <v>0</v>
      </c>
      <c r="I248" s="794" t="s">
        <v>3648</v>
      </c>
      <c r="J248" s="2362">
        <f>'Part II-Development Team'!J53</f>
        <v>0</v>
      </c>
      <c r="K248" s="2377"/>
      <c r="L248" s="790"/>
      <c r="M248" s="790"/>
      <c r="N248" s="790"/>
      <c r="O248" s="797" t="s">
        <v>2113</v>
      </c>
      <c r="P248" s="790"/>
      <c r="Q248" s="2361">
        <f>'Part II-Development Team'!Q53</f>
        <v>0</v>
      </c>
      <c r="R248" s="2361"/>
      <c r="S248" s="2361"/>
    </row>
    <row r="249" spans="1:19">
      <c r="A249" s="790"/>
      <c r="B249" s="790"/>
      <c r="C249" s="790"/>
      <c r="D249" s="833"/>
      <c r="E249" s="797" t="s">
        <v>2119</v>
      </c>
      <c r="F249" s="790"/>
      <c r="G249" s="790"/>
      <c r="H249" s="2361">
        <f>'Part II-Development Team'!H54</f>
        <v>0</v>
      </c>
      <c r="I249" s="2361"/>
      <c r="J249" s="802">
        <f>'Part II-Development Team'!J54</f>
        <v>0</v>
      </c>
      <c r="K249" s="794" t="s">
        <v>1925</v>
      </c>
      <c r="L249" s="2376">
        <f>'Part II-Development Team'!L54</f>
        <v>0</v>
      </c>
      <c r="M249" s="2377"/>
      <c r="N249" s="799" t="s">
        <v>2118</v>
      </c>
      <c r="O249" s="2371">
        <f>'Part II-Development Team'!O54</f>
        <v>0</v>
      </c>
      <c r="P249" s="2371"/>
      <c r="Q249" s="2371"/>
      <c r="R249" s="2371"/>
      <c r="S249" s="2371"/>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789</v>
      </c>
      <c r="B251" s="793" t="s">
        <v>696</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2117</v>
      </c>
      <c r="C253" s="793" t="s">
        <v>298</v>
      </c>
      <c r="D253" s="790"/>
      <c r="E253" s="790"/>
      <c r="F253" s="790"/>
      <c r="G253" s="790"/>
      <c r="H253" s="2359" t="str">
        <f>'Part II-Development Team'!H58</f>
        <v>Prestwick Development Company, LLC</v>
      </c>
      <c r="I253" s="2377"/>
      <c r="J253" s="2377"/>
      <c r="K253" s="2377"/>
      <c r="L253" s="2377"/>
      <c r="M253" s="2377"/>
      <c r="N253" s="2377"/>
      <c r="O253" s="797" t="s">
        <v>2124</v>
      </c>
      <c r="P253" s="797"/>
      <c r="Q253" s="2359" t="str">
        <f>'Part II-Development Team'!Q58</f>
        <v>Ken Blankenship</v>
      </c>
      <c r="R253" s="2377"/>
      <c r="S253" s="2377"/>
    </row>
    <row r="254" spans="1:19">
      <c r="A254" s="790"/>
      <c r="B254" s="790"/>
      <c r="C254" s="790"/>
      <c r="D254" s="833"/>
      <c r="E254" s="797" t="s">
        <v>1082</v>
      </c>
      <c r="F254" s="799"/>
      <c r="G254" s="790"/>
      <c r="H254" s="2359" t="str">
        <f>'Part II-Development Team'!H59</f>
        <v>3715 Northside Pkwy, Bldg 200, Ste 175</v>
      </c>
      <c r="I254" s="2377"/>
      <c r="J254" s="2377"/>
      <c r="K254" s="2377"/>
      <c r="L254" s="2377"/>
      <c r="M254" s="2377"/>
      <c r="N254" s="2377"/>
      <c r="O254" s="797" t="s">
        <v>1869</v>
      </c>
      <c r="P254" s="790"/>
      <c r="Q254" s="2359" t="str">
        <f>'Part II-Development Team'!Q59</f>
        <v>Manger</v>
      </c>
      <c r="R254" s="2377"/>
      <c r="S254" s="2377"/>
    </row>
    <row r="255" spans="1:19">
      <c r="A255" s="790"/>
      <c r="B255" s="790"/>
      <c r="C255" s="790"/>
      <c r="D255" s="833"/>
      <c r="E255" s="797" t="s">
        <v>658</v>
      </c>
      <c r="F255" s="790"/>
      <c r="G255" s="790"/>
      <c r="H255" s="2359" t="str">
        <f>'Part II-Development Team'!H60</f>
        <v>Atlanta</v>
      </c>
      <c r="I255" s="2377"/>
      <c r="J255" s="2377"/>
      <c r="K255" s="794" t="s">
        <v>2943</v>
      </c>
      <c r="L255" s="2359" t="str">
        <f>'Part II-Development Team'!L60</f>
        <v>www.prestwickcompanies.com</v>
      </c>
      <c r="M255" s="2377"/>
      <c r="N255" s="2377"/>
      <c r="O255" s="797" t="s">
        <v>1926</v>
      </c>
      <c r="P255" s="790"/>
      <c r="Q255" s="2361">
        <f>'Part II-Development Team'!Q60</f>
        <v>4049493873</v>
      </c>
      <c r="R255" s="2361"/>
      <c r="S255" s="2361"/>
    </row>
    <row r="256" spans="1:19">
      <c r="A256" s="790"/>
      <c r="B256" s="790"/>
      <c r="C256" s="790"/>
      <c r="D256" s="790"/>
      <c r="E256" s="797" t="s">
        <v>1922</v>
      </c>
      <c r="F256" s="790"/>
      <c r="G256" s="790"/>
      <c r="H256" s="794" t="str">
        <f>'Part II-Development Team'!H61</f>
        <v>GA</v>
      </c>
      <c r="I256" s="794" t="s">
        <v>3648</v>
      </c>
      <c r="J256" s="2362">
        <f>'Part II-Development Team'!J61</f>
        <v>303272800</v>
      </c>
      <c r="K256" s="2377"/>
      <c r="L256" s="790"/>
      <c r="M256" s="790"/>
      <c r="N256" s="790"/>
      <c r="O256" s="797" t="s">
        <v>2113</v>
      </c>
      <c r="P256" s="790"/>
      <c r="Q256" s="2361">
        <f>'Part II-Development Team'!Q61</f>
        <v>7708619049</v>
      </c>
      <c r="R256" s="2361"/>
      <c r="S256" s="2361"/>
    </row>
    <row r="257" spans="1:19">
      <c r="A257" s="790"/>
      <c r="B257" s="790"/>
      <c r="C257" s="790"/>
      <c r="D257" s="833"/>
      <c r="E257" s="797" t="s">
        <v>2119</v>
      </c>
      <c r="F257" s="790"/>
      <c r="G257" s="790"/>
      <c r="H257" s="2361">
        <f>'Part II-Development Team'!H62</f>
        <v>4049493873</v>
      </c>
      <c r="I257" s="2361"/>
      <c r="J257" s="802">
        <f>'Part II-Development Team'!J62</f>
        <v>0</v>
      </c>
      <c r="K257" s="794" t="s">
        <v>1925</v>
      </c>
      <c r="L257" s="2376">
        <f>'Part II-Development Team'!L62</f>
        <v>4049493880</v>
      </c>
      <c r="M257" s="2377"/>
      <c r="N257" s="799" t="s">
        <v>2118</v>
      </c>
      <c r="O257" s="2371" t="str">
        <f>'Part II-Development Team'!O62</f>
        <v>ken@prestwickcompanies.com</v>
      </c>
      <c r="P257" s="2371"/>
      <c r="Q257" s="2371"/>
      <c r="R257" s="2371"/>
      <c r="S257" s="2371"/>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2120</v>
      </c>
      <c r="C259" s="793" t="s">
        <v>299</v>
      </c>
      <c r="D259" s="790"/>
      <c r="E259" s="790"/>
      <c r="F259" s="790"/>
      <c r="G259" s="790"/>
      <c r="H259" s="2359">
        <f>'Part II-Development Team'!H64</f>
        <v>0</v>
      </c>
      <c r="I259" s="2377"/>
      <c r="J259" s="2377"/>
      <c r="K259" s="2377"/>
      <c r="L259" s="2377"/>
      <c r="M259" s="2377"/>
      <c r="N259" s="2377"/>
      <c r="O259" s="797" t="s">
        <v>2124</v>
      </c>
      <c r="P259" s="797"/>
      <c r="Q259" s="2359">
        <f>'Part II-Development Team'!Q64</f>
        <v>0</v>
      </c>
      <c r="R259" s="2377"/>
      <c r="S259" s="2377"/>
    </row>
    <row r="260" spans="1:19">
      <c r="A260" s="790"/>
      <c r="B260" s="790"/>
      <c r="C260" s="790"/>
      <c r="D260" s="833"/>
      <c r="E260" s="797" t="s">
        <v>1082</v>
      </c>
      <c r="F260" s="799"/>
      <c r="G260" s="790"/>
      <c r="H260" s="2359">
        <f>'Part II-Development Team'!H65</f>
        <v>0</v>
      </c>
      <c r="I260" s="2377"/>
      <c r="J260" s="2377"/>
      <c r="K260" s="2377"/>
      <c r="L260" s="2377"/>
      <c r="M260" s="2377"/>
      <c r="N260" s="2377"/>
      <c r="O260" s="797" t="s">
        <v>1869</v>
      </c>
      <c r="P260" s="790"/>
      <c r="Q260" s="2359">
        <f>'Part II-Development Team'!Q65</f>
        <v>0</v>
      </c>
      <c r="R260" s="2377"/>
      <c r="S260" s="2377"/>
    </row>
    <row r="261" spans="1:19">
      <c r="A261" s="790"/>
      <c r="B261" s="790"/>
      <c r="C261" s="790"/>
      <c r="D261" s="833"/>
      <c r="E261" s="797" t="s">
        <v>658</v>
      </c>
      <c r="F261" s="790"/>
      <c r="G261" s="790"/>
      <c r="H261" s="2359">
        <f>'Part II-Development Team'!H66</f>
        <v>0</v>
      </c>
      <c r="I261" s="2377"/>
      <c r="J261" s="2377"/>
      <c r="K261" s="794" t="s">
        <v>2943</v>
      </c>
      <c r="L261" s="2359">
        <f>'Part II-Development Team'!L66</f>
        <v>0</v>
      </c>
      <c r="M261" s="2377"/>
      <c r="N261" s="2377"/>
      <c r="O261" s="797" t="s">
        <v>1926</v>
      </c>
      <c r="P261" s="790"/>
      <c r="Q261" s="2361">
        <f>'Part II-Development Team'!Q66</f>
        <v>0</v>
      </c>
      <c r="R261" s="2361"/>
      <c r="S261" s="2361"/>
    </row>
    <row r="262" spans="1:19">
      <c r="A262" s="790"/>
      <c r="B262" s="790"/>
      <c r="C262" s="790"/>
      <c r="D262" s="790"/>
      <c r="E262" s="797" t="s">
        <v>1922</v>
      </c>
      <c r="F262" s="790"/>
      <c r="G262" s="790"/>
      <c r="H262" s="794">
        <f>'Part II-Development Team'!H67</f>
        <v>0</v>
      </c>
      <c r="I262" s="794" t="s">
        <v>3648</v>
      </c>
      <c r="J262" s="2362">
        <f>'Part II-Development Team'!J67</f>
        <v>0</v>
      </c>
      <c r="K262" s="2377"/>
      <c r="L262" s="790"/>
      <c r="M262" s="790"/>
      <c r="N262" s="790"/>
      <c r="O262" s="797" t="s">
        <v>2113</v>
      </c>
      <c r="P262" s="790"/>
      <c r="Q262" s="2361">
        <f>'Part II-Development Team'!Q67</f>
        <v>0</v>
      </c>
      <c r="R262" s="2361"/>
      <c r="S262" s="2361"/>
    </row>
    <row r="263" spans="1:19">
      <c r="A263" s="790"/>
      <c r="B263" s="790"/>
      <c r="C263" s="790"/>
      <c r="D263" s="833"/>
      <c r="E263" s="797" t="s">
        <v>2119</v>
      </c>
      <c r="F263" s="790"/>
      <c r="G263" s="790"/>
      <c r="H263" s="2361">
        <f>'Part II-Development Team'!H68</f>
        <v>0</v>
      </c>
      <c r="I263" s="2361"/>
      <c r="J263" s="802">
        <f>'Part II-Development Team'!J68</f>
        <v>0</v>
      </c>
      <c r="K263" s="794" t="s">
        <v>1925</v>
      </c>
      <c r="L263" s="2376">
        <f>'Part II-Development Team'!L68</f>
        <v>0</v>
      </c>
      <c r="M263" s="2377"/>
      <c r="N263" s="799" t="s">
        <v>2118</v>
      </c>
      <c r="O263" s="2371">
        <f>'Part II-Development Team'!O68</f>
        <v>0</v>
      </c>
      <c r="P263" s="2371"/>
      <c r="Q263" s="2371"/>
      <c r="R263" s="2371"/>
      <c r="S263" s="2371"/>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798</v>
      </c>
      <c r="C265" s="793" t="s">
        <v>1633</v>
      </c>
      <c r="D265" s="790"/>
      <c r="E265" s="790"/>
      <c r="F265" s="790"/>
      <c r="G265" s="790"/>
      <c r="H265" s="2359">
        <f>'Part II-Development Team'!H70</f>
        <v>0</v>
      </c>
      <c r="I265" s="2377"/>
      <c r="J265" s="2377"/>
      <c r="K265" s="2377"/>
      <c r="L265" s="2377"/>
      <c r="M265" s="2377"/>
      <c r="N265" s="2377"/>
      <c r="O265" s="797" t="s">
        <v>2124</v>
      </c>
      <c r="P265" s="797"/>
      <c r="Q265" s="2359">
        <f>'Part II-Development Team'!Q70</f>
        <v>0</v>
      </c>
      <c r="R265" s="2377"/>
      <c r="S265" s="2377"/>
    </row>
    <row r="266" spans="1:19">
      <c r="A266" s="790"/>
      <c r="B266" s="790"/>
      <c r="C266" s="790"/>
      <c r="D266" s="833"/>
      <c r="E266" s="797" t="s">
        <v>1082</v>
      </c>
      <c r="F266" s="799"/>
      <c r="G266" s="790"/>
      <c r="H266" s="2359">
        <f>'Part II-Development Team'!H71</f>
        <v>0</v>
      </c>
      <c r="I266" s="2377"/>
      <c r="J266" s="2377"/>
      <c r="K266" s="2377"/>
      <c r="L266" s="2377"/>
      <c r="M266" s="2377"/>
      <c r="N266" s="2377"/>
      <c r="O266" s="797" t="s">
        <v>1869</v>
      </c>
      <c r="P266" s="790"/>
      <c r="Q266" s="2359">
        <f>'Part II-Development Team'!Q71</f>
        <v>0</v>
      </c>
      <c r="R266" s="2377"/>
      <c r="S266" s="2377"/>
    </row>
    <row r="267" spans="1:19">
      <c r="A267" s="790"/>
      <c r="B267" s="790"/>
      <c r="C267" s="790"/>
      <c r="D267" s="833"/>
      <c r="E267" s="797" t="s">
        <v>658</v>
      </c>
      <c r="F267" s="790"/>
      <c r="G267" s="790"/>
      <c r="H267" s="2359">
        <f>'Part II-Development Team'!H72</f>
        <v>0</v>
      </c>
      <c r="I267" s="2377"/>
      <c r="J267" s="2377"/>
      <c r="K267" s="794" t="s">
        <v>2943</v>
      </c>
      <c r="L267" s="2359">
        <f>'Part II-Development Team'!L72</f>
        <v>0</v>
      </c>
      <c r="M267" s="2377"/>
      <c r="N267" s="2377"/>
      <c r="O267" s="797" t="s">
        <v>1926</v>
      </c>
      <c r="P267" s="790"/>
      <c r="Q267" s="2361">
        <f>'Part II-Development Team'!Q72</f>
        <v>0</v>
      </c>
      <c r="R267" s="2361"/>
      <c r="S267" s="2361"/>
    </row>
    <row r="268" spans="1:19">
      <c r="A268" s="790"/>
      <c r="B268" s="790"/>
      <c r="C268" s="790"/>
      <c r="D268" s="790"/>
      <c r="E268" s="797" t="s">
        <v>1922</v>
      </c>
      <c r="F268" s="790"/>
      <c r="G268" s="790"/>
      <c r="H268" s="794">
        <f>'Part II-Development Team'!H73</f>
        <v>0</v>
      </c>
      <c r="I268" s="794" t="s">
        <v>3648</v>
      </c>
      <c r="J268" s="2362">
        <f>'Part II-Development Team'!J73</f>
        <v>0</v>
      </c>
      <c r="K268" s="2377"/>
      <c r="L268" s="790"/>
      <c r="M268" s="790"/>
      <c r="N268" s="790"/>
      <c r="O268" s="797" t="s">
        <v>2113</v>
      </c>
      <c r="P268" s="790"/>
      <c r="Q268" s="2361">
        <f>'Part II-Development Team'!Q73</f>
        <v>0</v>
      </c>
      <c r="R268" s="2361"/>
      <c r="S268" s="2361"/>
    </row>
    <row r="269" spans="1:19">
      <c r="A269" s="790"/>
      <c r="B269" s="790"/>
      <c r="C269" s="790"/>
      <c r="D269" s="833"/>
      <c r="E269" s="797" t="s">
        <v>2119</v>
      </c>
      <c r="F269" s="790"/>
      <c r="G269" s="790"/>
      <c r="H269" s="2361">
        <f>'Part II-Development Team'!H74</f>
        <v>0</v>
      </c>
      <c r="I269" s="2361"/>
      <c r="J269" s="802">
        <f>'Part II-Development Team'!J74</f>
        <v>0</v>
      </c>
      <c r="K269" s="794" t="s">
        <v>1925</v>
      </c>
      <c r="L269" s="2376">
        <f>'Part II-Development Team'!L74</f>
        <v>0</v>
      </c>
      <c r="M269" s="2377"/>
      <c r="N269" s="799" t="s">
        <v>2118</v>
      </c>
      <c r="O269" s="2371">
        <f>'Part II-Development Team'!O74</f>
        <v>0</v>
      </c>
      <c r="P269" s="2371"/>
      <c r="Q269" s="2371"/>
      <c r="R269" s="2371"/>
      <c r="S269" s="2371"/>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2252</v>
      </c>
      <c r="C271" s="793" t="s">
        <v>300</v>
      </c>
      <c r="D271" s="790"/>
      <c r="E271" s="790"/>
      <c r="F271" s="790"/>
      <c r="G271" s="790"/>
      <c r="H271" s="2359">
        <f>'Part II-Development Team'!H76</f>
        <v>0</v>
      </c>
      <c r="I271" s="2377"/>
      <c r="J271" s="2377"/>
      <c r="K271" s="2377"/>
      <c r="L271" s="2377"/>
      <c r="M271" s="2377"/>
      <c r="N271" s="2377"/>
      <c r="O271" s="797" t="s">
        <v>2124</v>
      </c>
      <c r="P271" s="797"/>
      <c r="Q271" s="2359">
        <f>'Part II-Development Team'!Q76</f>
        <v>0</v>
      </c>
      <c r="R271" s="2377"/>
      <c r="S271" s="2377"/>
    </row>
    <row r="272" spans="1:19">
      <c r="A272" s="790"/>
      <c r="B272" s="790"/>
      <c r="C272" s="790"/>
      <c r="D272" s="833"/>
      <c r="E272" s="797" t="s">
        <v>1082</v>
      </c>
      <c r="F272" s="799"/>
      <c r="G272" s="790"/>
      <c r="H272" s="2359">
        <f>'Part II-Development Team'!H77</f>
        <v>0</v>
      </c>
      <c r="I272" s="2377"/>
      <c r="J272" s="2377"/>
      <c r="K272" s="2377"/>
      <c r="L272" s="2377"/>
      <c r="M272" s="2377"/>
      <c r="N272" s="2377"/>
      <c r="O272" s="797" t="s">
        <v>1869</v>
      </c>
      <c r="P272" s="790"/>
      <c r="Q272" s="2359">
        <f>'Part II-Development Team'!Q77</f>
        <v>0</v>
      </c>
      <c r="R272" s="2377"/>
      <c r="S272" s="2377"/>
    </row>
    <row r="273" spans="1:19">
      <c r="A273" s="790"/>
      <c r="B273" s="790"/>
      <c r="C273" s="790"/>
      <c r="D273" s="833"/>
      <c r="E273" s="797" t="s">
        <v>658</v>
      </c>
      <c r="F273" s="790"/>
      <c r="G273" s="790"/>
      <c r="H273" s="2359">
        <f>'Part II-Development Team'!H78</f>
        <v>0</v>
      </c>
      <c r="I273" s="2377"/>
      <c r="J273" s="2377"/>
      <c r="K273" s="794" t="s">
        <v>2943</v>
      </c>
      <c r="L273" s="2359">
        <f>'Part II-Development Team'!L78</f>
        <v>0</v>
      </c>
      <c r="M273" s="2377"/>
      <c r="N273" s="2377"/>
      <c r="O273" s="797" t="s">
        <v>1926</v>
      </c>
      <c r="P273" s="790"/>
      <c r="Q273" s="2361">
        <f>'Part II-Development Team'!Q78</f>
        <v>0</v>
      </c>
      <c r="R273" s="2361"/>
      <c r="S273" s="2361"/>
    </row>
    <row r="274" spans="1:19">
      <c r="A274" s="790"/>
      <c r="B274" s="790"/>
      <c r="C274" s="790"/>
      <c r="D274" s="790"/>
      <c r="E274" s="797" t="s">
        <v>1922</v>
      </c>
      <c r="F274" s="790"/>
      <c r="G274" s="790"/>
      <c r="H274" s="794">
        <f>'Part II-Development Team'!H79</f>
        <v>0</v>
      </c>
      <c r="I274" s="794" t="s">
        <v>3648</v>
      </c>
      <c r="J274" s="2362">
        <f>'Part II-Development Team'!J79</f>
        <v>0</v>
      </c>
      <c r="K274" s="2377"/>
      <c r="L274" s="790"/>
      <c r="M274" s="790"/>
      <c r="N274" s="790"/>
      <c r="O274" s="797" t="s">
        <v>2113</v>
      </c>
      <c r="P274" s="790"/>
      <c r="Q274" s="2361">
        <f>'Part II-Development Team'!Q79</f>
        <v>0</v>
      </c>
      <c r="R274" s="2361"/>
      <c r="S274" s="2361"/>
    </row>
    <row r="275" spans="1:19">
      <c r="A275" s="790"/>
      <c r="B275" s="790"/>
      <c r="C275" s="790"/>
      <c r="D275" s="833"/>
      <c r="E275" s="797" t="s">
        <v>2119</v>
      </c>
      <c r="F275" s="790"/>
      <c r="G275" s="790"/>
      <c r="H275" s="2361">
        <f>'Part II-Development Team'!H80</f>
        <v>0</v>
      </c>
      <c r="I275" s="2361"/>
      <c r="J275" s="802">
        <f>'Part II-Development Team'!J80</f>
        <v>0</v>
      </c>
      <c r="K275" s="794" t="s">
        <v>1925</v>
      </c>
      <c r="L275" s="2376">
        <f>'Part II-Development Team'!L80</f>
        <v>0</v>
      </c>
      <c r="M275" s="2377"/>
      <c r="N275" s="799" t="s">
        <v>2118</v>
      </c>
      <c r="O275" s="2371">
        <f>'Part II-Development Team'!O80</f>
        <v>0</v>
      </c>
      <c r="P275" s="2371"/>
      <c r="Q275" s="2371"/>
      <c r="R275" s="2371"/>
      <c r="S275" s="2371"/>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791</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2117</v>
      </c>
      <c r="C279" s="793" t="s">
        <v>302</v>
      </c>
      <c r="D279" s="790"/>
      <c r="E279" s="790"/>
      <c r="F279" s="790"/>
      <c r="G279" s="790"/>
      <c r="H279" s="2359">
        <f>'Part II-Development Team'!H84</f>
        <v>0</v>
      </c>
      <c r="I279" s="2377"/>
      <c r="J279" s="2377"/>
      <c r="K279" s="2377"/>
      <c r="L279" s="2377"/>
      <c r="M279" s="2377"/>
      <c r="N279" s="2377"/>
      <c r="O279" s="797" t="s">
        <v>2124</v>
      </c>
      <c r="P279" s="797"/>
      <c r="Q279" s="2359">
        <f>'Part II-Development Team'!Q84</f>
        <v>0</v>
      </c>
      <c r="R279" s="2377"/>
      <c r="S279" s="2377"/>
    </row>
    <row r="280" spans="1:19">
      <c r="A280" s="790"/>
      <c r="B280" s="790"/>
      <c r="C280" s="790"/>
      <c r="D280" s="833"/>
      <c r="E280" s="797" t="s">
        <v>1082</v>
      </c>
      <c r="F280" s="799"/>
      <c r="G280" s="790"/>
      <c r="H280" s="2359">
        <f>'Part II-Development Team'!H85</f>
        <v>0</v>
      </c>
      <c r="I280" s="2377"/>
      <c r="J280" s="2377"/>
      <c r="K280" s="2377"/>
      <c r="L280" s="2377"/>
      <c r="M280" s="2377"/>
      <c r="N280" s="2377"/>
      <c r="O280" s="797" t="s">
        <v>1869</v>
      </c>
      <c r="P280" s="790"/>
      <c r="Q280" s="2359">
        <f>'Part II-Development Team'!Q85</f>
        <v>0</v>
      </c>
      <c r="R280" s="2377"/>
      <c r="S280" s="2377"/>
    </row>
    <row r="281" spans="1:19">
      <c r="A281" s="790"/>
      <c r="B281" s="790"/>
      <c r="C281" s="790"/>
      <c r="D281" s="833"/>
      <c r="E281" s="797" t="s">
        <v>658</v>
      </c>
      <c r="F281" s="790"/>
      <c r="G281" s="790"/>
      <c r="H281" s="2359">
        <f>'Part II-Development Team'!H86</f>
        <v>0</v>
      </c>
      <c r="I281" s="2377"/>
      <c r="J281" s="2377"/>
      <c r="K281" s="794" t="s">
        <v>2943</v>
      </c>
      <c r="L281" s="2359">
        <f>'Part II-Development Team'!L86</f>
        <v>0</v>
      </c>
      <c r="M281" s="2377"/>
      <c r="N281" s="2377"/>
      <c r="O281" s="797" t="s">
        <v>1926</v>
      </c>
      <c r="P281" s="790"/>
      <c r="Q281" s="2361">
        <f>'Part II-Development Team'!Q86</f>
        <v>0</v>
      </c>
      <c r="R281" s="2361"/>
      <c r="S281" s="2361"/>
    </row>
    <row r="282" spans="1:19">
      <c r="A282" s="790"/>
      <c r="B282" s="790"/>
      <c r="C282" s="790"/>
      <c r="D282" s="790"/>
      <c r="E282" s="797" t="s">
        <v>1922</v>
      </c>
      <c r="F282" s="790"/>
      <c r="G282" s="790"/>
      <c r="H282" s="794">
        <f>'Part II-Development Team'!H87</f>
        <v>0</v>
      </c>
      <c r="I282" s="794" t="s">
        <v>3648</v>
      </c>
      <c r="J282" s="2362">
        <f>'Part II-Development Team'!J87</f>
        <v>0</v>
      </c>
      <c r="K282" s="2377"/>
      <c r="L282" s="790"/>
      <c r="M282" s="790"/>
      <c r="N282" s="790"/>
      <c r="O282" s="797" t="s">
        <v>2113</v>
      </c>
      <c r="P282" s="790"/>
      <c r="Q282" s="2361">
        <f>'Part II-Development Team'!Q87</f>
        <v>0</v>
      </c>
      <c r="R282" s="2361"/>
      <c r="S282" s="2361"/>
    </row>
    <row r="283" spans="1:19">
      <c r="A283" s="790"/>
      <c r="B283" s="790"/>
      <c r="C283" s="790"/>
      <c r="D283" s="833"/>
      <c r="E283" s="797" t="s">
        <v>2119</v>
      </c>
      <c r="F283" s="790"/>
      <c r="G283" s="790"/>
      <c r="H283" s="2361">
        <f>'Part II-Development Team'!H88</f>
        <v>0</v>
      </c>
      <c r="I283" s="2361"/>
      <c r="J283" s="802">
        <f>'Part II-Development Team'!J88</f>
        <v>0</v>
      </c>
      <c r="K283" s="794" t="s">
        <v>1925</v>
      </c>
      <c r="L283" s="2376">
        <f>'Part II-Development Team'!L88</f>
        <v>0</v>
      </c>
      <c r="M283" s="2377"/>
      <c r="N283" s="799" t="s">
        <v>2118</v>
      </c>
      <c r="O283" s="2371">
        <f>'Part II-Development Team'!O88</f>
        <v>0</v>
      </c>
      <c r="P283" s="2371"/>
      <c r="Q283" s="2371"/>
      <c r="R283" s="2371"/>
      <c r="S283" s="2371"/>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2120</v>
      </c>
      <c r="C285" s="793" t="s">
        <v>303</v>
      </c>
      <c r="D285" s="790"/>
      <c r="E285" s="790"/>
      <c r="F285" s="790"/>
      <c r="G285" s="790"/>
      <c r="H285" s="2359" t="str">
        <f>'Part II-Development Team'!H90</f>
        <v>Prestwick Construction Company, LLC</v>
      </c>
      <c r="I285" s="2377"/>
      <c r="J285" s="2377"/>
      <c r="K285" s="2377"/>
      <c r="L285" s="2377"/>
      <c r="M285" s="2377"/>
      <c r="N285" s="2377"/>
      <c r="O285" s="797" t="s">
        <v>2124</v>
      </c>
      <c r="P285" s="797"/>
      <c r="Q285" s="2359" t="str">
        <f>'Part II-Development Team'!Q90</f>
        <v>Ray Dotson</v>
      </c>
      <c r="R285" s="2377"/>
      <c r="S285" s="2377"/>
    </row>
    <row r="286" spans="1:19">
      <c r="A286" s="790"/>
      <c r="B286" s="790"/>
      <c r="C286" s="790"/>
      <c r="D286" s="833"/>
      <c r="E286" s="797" t="s">
        <v>1082</v>
      </c>
      <c r="F286" s="799"/>
      <c r="G286" s="790"/>
      <c r="H286" s="2359" t="str">
        <f>'Part II-Development Team'!H91</f>
        <v>3715 Northside Pkwy, Building 400, Ste 120</v>
      </c>
      <c r="I286" s="2377"/>
      <c r="J286" s="2377"/>
      <c r="K286" s="2377"/>
      <c r="L286" s="2377"/>
      <c r="M286" s="2377"/>
      <c r="N286" s="2377"/>
      <c r="O286" s="797" t="s">
        <v>1869</v>
      </c>
      <c r="P286" s="790"/>
      <c r="Q286" s="2359" t="str">
        <f>'Part II-Development Team'!Q91</f>
        <v>President</v>
      </c>
      <c r="R286" s="2377"/>
      <c r="S286" s="2377"/>
    </row>
    <row r="287" spans="1:19">
      <c r="A287" s="790"/>
      <c r="B287" s="790"/>
      <c r="C287" s="790"/>
      <c r="D287" s="833"/>
      <c r="E287" s="797" t="s">
        <v>658</v>
      </c>
      <c r="F287" s="790"/>
      <c r="G287" s="790"/>
      <c r="H287" s="2359" t="str">
        <f>'Part II-Development Team'!H92</f>
        <v>Atlanta</v>
      </c>
      <c r="I287" s="2377"/>
      <c r="J287" s="2377"/>
      <c r="K287" s="794" t="s">
        <v>2943</v>
      </c>
      <c r="L287" s="2359" t="str">
        <f>'Part II-Development Team'!L92</f>
        <v>www.prestwickcompanies.com</v>
      </c>
      <c r="M287" s="2377"/>
      <c r="N287" s="2377"/>
      <c r="O287" s="797" t="s">
        <v>1926</v>
      </c>
      <c r="P287" s="790"/>
      <c r="Q287" s="2361">
        <f>'Part II-Development Team'!Q92</f>
        <v>4049493882</v>
      </c>
      <c r="R287" s="2361"/>
      <c r="S287" s="2361"/>
    </row>
    <row r="288" spans="1:19">
      <c r="A288" s="790"/>
      <c r="B288" s="790"/>
      <c r="C288" s="790"/>
      <c r="D288" s="790"/>
      <c r="E288" s="797" t="s">
        <v>1922</v>
      </c>
      <c r="F288" s="790"/>
      <c r="G288" s="790"/>
      <c r="H288" s="794" t="str">
        <f>'Part II-Development Team'!H93</f>
        <v>GA</v>
      </c>
      <c r="I288" s="794" t="s">
        <v>3648</v>
      </c>
      <c r="J288" s="2362">
        <f>'Part II-Development Team'!J93</f>
        <v>303272806</v>
      </c>
      <c r="K288" s="2377"/>
      <c r="L288" s="790"/>
      <c r="M288" s="790"/>
      <c r="N288" s="790"/>
      <c r="O288" s="797" t="s">
        <v>2113</v>
      </c>
      <c r="P288" s="790"/>
      <c r="Q288" s="2361">
        <f>'Part II-Development Team'!Q93</f>
        <v>4043761063</v>
      </c>
      <c r="R288" s="2361"/>
      <c r="S288" s="2361"/>
    </row>
    <row r="289" spans="1:19">
      <c r="A289" s="790"/>
      <c r="B289" s="790"/>
      <c r="C289" s="790"/>
      <c r="D289" s="833"/>
      <c r="E289" s="797" t="s">
        <v>2119</v>
      </c>
      <c r="F289" s="790"/>
      <c r="G289" s="790"/>
      <c r="H289" s="2361">
        <f>'Part II-Development Team'!H94</f>
        <v>4049493882</v>
      </c>
      <c r="I289" s="2361"/>
      <c r="J289" s="802">
        <f>'Part II-Development Team'!J94</f>
        <v>0</v>
      </c>
      <c r="K289" s="794" t="s">
        <v>1925</v>
      </c>
      <c r="L289" s="2376">
        <f>'Part II-Development Team'!L94</f>
        <v>4049493880</v>
      </c>
      <c r="M289" s="2377"/>
      <c r="N289" s="799" t="s">
        <v>2118</v>
      </c>
      <c r="O289" s="2371" t="str">
        <f>'Part II-Development Team'!O94</f>
        <v>ray@prestwickcompanies.com</v>
      </c>
      <c r="P289" s="2371"/>
      <c r="Q289" s="2371"/>
      <c r="R289" s="2371"/>
      <c r="S289" s="2371"/>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798</v>
      </c>
      <c r="C291" s="793" t="s">
        <v>304</v>
      </c>
      <c r="D291" s="790"/>
      <c r="E291" s="790"/>
      <c r="F291" s="795"/>
      <c r="G291" s="790"/>
      <c r="H291" s="2359" t="str">
        <f>'Part II-Development Team'!H96</f>
        <v>LEDIC Management Company</v>
      </c>
      <c r="I291" s="2377"/>
      <c r="J291" s="2377"/>
      <c r="K291" s="2377"/>
      <c r="L291" s="2377"/>
      <c r="M291" s="2377"/>
      <c r="N291" s="2377"/>
      <c r="O291" s="797" t="s">
        <v>2124</v>
      </c>
      <c r="P291" s="797"/>
      <c r="Q291" s="2359" t="str">
        <f>'Part II-Development Team'!Q96</f>
        <v>Terri Benskin</v>
      </c>
      <c r="R291" s="2377"/>
      <c r="S291" s="2377"/>
    </row>
    <row r="292" spans="1:19">
      <c r="A292" s="790"/>
      <c r="B292" s="790"/>
      <c r="C292" s="790"/>
      <c r="D292" s="833"/>
      <c r="E292" s="797" t="s">
        <v>1082</v>
      </c>
      <c r="F292" s="799"/>
      <c r="G292" s="790"/>
      <c r="H292" s="2359" t="str">
        <f>'Part II-Development Team'!H97</f>
        <v>2650 Thousand Oaks Blvd</v>
      </c>
      <c r="I292" s="2377"/>
      <c r="J292" s="2377"/>
      <c r="K292" s="2377"/>
      <c r="L292" s="2377"/>
      <c r="M292" s="2377"/>
      <c r="N292" s="2377"/>
      <c r="O292" s="797" t="s">
        <v>1869</v>
      </c>
      <c r="P292" s="790"/>
      <c r="Q292" s="2359" t="str">
        <f>'Part II-Development Team'!Q97</f>
        <v>COO</v>
      </c>
      <c r="R292" s="2377"/>
      <c r="S292" s="2377"/>
    </row>
    <row r="293" spans="1:19">
      <c r="A293" s="790"/>
      <c r="B293" s="790"/>
      <c r="C293" s="790"/>
      <c r="D293" s="833"/>
      <c r="E293" s="797" t="s">
        <v>658</v>
      </c>
      <c r="F293" s="790"/>
      <c r="G293" s="790"/>
      <c r="H293" s="2359" t="str">
        <f>'Part II-Development Team'!H98</f>
        <v>Memphis</v>
      </c>
      <c r="I293" s="2377"/>
      <c r="J293" s="2377"/>
      <c r="K293" s="794" t="s">
        <v>2943</v>
      </c>
      <c r="L293" s="2359" t="str">
        <f>'Part II-Development Team'!L98</f>
        <v>www.ledic.com</v>
      </c>
      <c r="M293" s="2377"/>
      <c r="N293" s="2377"/>
      <c r="O293" s="797" t="s">
        <v>1926</v>
      </c>
      <c r="P293" s="790"/>
      <c r="Q293" s="2361">
        <f>'Part II-Development Team'!Q98</f>
        <v>9014357720</v>
      </c>
      <c r="R293" s="2361"/>
      <c r="S293" s="2361"/>
    </row>
    <row r="294" spans="1:19">
      <c r="A294" s="790"/>
      <c r="B294" s="790"/>
      <c r="C294" s="790"/>
      <c r="D294" s="833"/>
      <c r="E294" s="797" t="s">
        <v>1922</v>
      </c>
      <c r="F294" s="790"/>
      <c r="G294" s="790"/>
      <c r="H294" s="794" t="str">
        <f>'Part II-Development Team'!H99</f>
        <v>TN</v>
      </c>
      <c r="I294" s="794" t="s">
        <v>3648</v>
      </c>
      <c r="J294" s="2362">
        <f>'Part II-Development Team'!J99</f>
        <v>381182409</v>
      </c>
      <c r="K294" s="2377"/>
      <c r="L294" s="790"/>
      <c r="M294" s="790"/>
      <c r="N294" s="790"/>
      <c r="O294" s="797" t="s">
        <v>2113</v>
      </c>
      <c r="P294" s="790"/>
      <c r="Q294" s="2361">
        <f>'Part II-Development Team'!Q99</f>
        <v>9015089195</v>
      </c>
      <c r="R294" s="2361"/>
      <c r="S294" s="2361"/>
    </row>
    <row r="295" spans="1:19">
      <c r="A295" s="790"/>
      <c r="B295" s="790"/>
      <c r="C295" s="790"/>
      <c r="D295" s="833"/>
      <c r="E295" s="797" t="s">
        <v>2119</v>
      </c>
      <c r="F295" s="790"/>
      <c r="G295" s="790"/>
      <c r="H295" s="2361">
        <f>'Part II-Development Team'!H100</f>
        <v>9014357720</v>
      </c>
      <c r="I295" s="2361"/>
      <c r="J295" s="802">
        <f>'Part II-Development Team'!J100</f>
        <v>0</v>
      </c>
      <c r="K295" s="794" t="s">
        <v>1925</v>
      </c>
      <c r="L295" s="2376">
        <f>'Part II-Development Team'!L100</f>
        <v>9014357701</v>
      </c>
      <c r="M295" s="2377"/>
      <c r="N295" s="799" t="s">
        <v>2118</v>
      </c>
      <c r="O295" s="2371" t="str">
        <f>'Part II-Development Team'!O100</f>
        <v>terri.benskin@ledic.com</v>
      </c>
      <c r="P295" s="2371"/>
      <c r="Q295" s="2371"/>
      <c r="R295" s="2371"/>
      <c r="S295" s="2371"/>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2252</v>
      </c>
      <c r="C297" s="793" t="s">
        <v>305</v>
      </c>
      <c r="D297" s="790"/>
      <c r="E297" s="790"/>
      <c r="F297" s="790"/>
      <c r="G297" s="790"/>
      <c r="H297" s="2359" t="str">
        <f>'Part II-Development Team'!H102</f>
        <v>Arnall Golden Gregory</v>
      </c>
      <c r="I297" s="2377"/>
      <c r="J297" s="2377"/>
      <c r="K297" s="2377"/>
      <c r="L297" s="2377"/>
      <c r="M297" s="2377"/>
      <c r="N297" s="2377"/>
      <c r="O297" s="797" t="s">
        <v>2124</v>
      </c>
      <c r="P297" s="797"/>
      <c r="Q297" s="2359" t="str">
        <f>'Part II-Development Team'!Q102</f>
        <v>Jeff Adams</v>
      </c>
      <c r="R297" s="2377"/>
      <c r="S297" s="2377"/>
    </row>
    <row r="298" spans="1:19">
      <c r="A298" s="790"/>
      <c r="B298" s="790"/>
      <c r="C298" s="790"/>
      <c r="D298" s="833"/>
      <c r="E298" s="797" t="s">
        <v>1082</v>
      </c>
      <c r="F298" s="799"/>
      <c r="G298" s="790"/>
      <c r="H298" s="2359" t="str">
        <f>'Part II-Development Team'!H103</f>
        <v>171 17th Street, Suite 2100</v>
      </c>
      <c r="I298" s="2377"/>
      <c r="J298" s="2377"/>
      <c r="K298" s="2377"/>
      <c r="L298" s="2377"/>
      <c r="M298" s="2377"/>
      <c r="N298" s="2377"/>
      <c r="O298" s="797" t="s">
        <v>1869</v>
      </c>
      <c r="P298" s="790"/>
      <c r="Q298" s="2359" t="str">
        <f>'Part II-Development Team'!Q103</f>
        <v>Partner</v>
      </c>
      <c r="R298" s="2377"/>
      <c r="S298" s="2377"/>
    </row>
    <row r="299" spans="1:19">
      <c r="A299" s="790"/>
      <c r="B299" s="790"/>
      <c r="C299" s="790"/>
      <c r="D299" s="833"/>
      <c r="E299" s="797" t="s">
        <v>658</v>
      </c>
      <c r="F299" s="790"/>
      <c r="G299" s="790"/>
      <c r="H299" s="2359" t="str">
        <f>'Part II-Development Team'!H104</f>
        <v>Atlanta</v>
      </c>
      <c r="I299" s="2377"/>
      <c r="J299" s="2377"/>
      <c r="K299" s="794" t="s">
        <v>2943</v>
      </c>
      <c r="L299" s="2359" t="str">
        <f>'Part II-Development Team'!L104</f>
        <v>www.agg.com</v>
      </c>
      <c r="M299" s="2377"/>
      <c r="N299" s="2377"/>
      <c r="O299" s="797" t="s">
        <v>1926</v>
      </c>
      <c r="P299" s="790"/>
      <c r="Q299" s="2361">
        <f>'Part II-Development Team'!Q104</f>
        <v>4048737014</v>
      </c>
      <c r="R299" s="2361"/>
      <c r="S299" s="2361"/>
    </row>
    <row r="300" spans="1:19">
      <c r="A300" s="790"/>
      <c r="B300" s="790"/>
      <c r="C300" s="790"/>
      <c r="D300" s="833"/>
      <c r="E300" s="797" t="s">
        <v>1922</v>
      </c>
      <c r="F300" s="790"/>
      <c r="G300" s="790"/>
      <c r="H300" s="794" t="str">
        <f>'Part II-Development Team'!H105</f>
        <v>GA</v>
      </c>
      <c r="I300" s="794" t="s">
        <v>3648</v>
      </c>
      <c r="J300" s="2362">
        <f>'Part II-Development Team'!J105</f>
        <v>303631031</v>
      </c>
      <c r="K300" s="2377"/>
      <c r="L300" s="790"/>
      <c r="M300" s="790"/>
      <c r="N300" s="790"/>
      <c r="O300" s="797" t="s">
        <v>2113</v>
      </c>
      <c r="P300" s="790"/>
      <c r="Q300" s="2361">
        <f>'Part II-Development Team'!Q105</f>
        <v>4042340004</v>
      </c>
      <c r="R300" s="2361"/>
      <c r="S300" s="2361"/>
    </row>
    <row r="301" spans="1:19">
      <c r="A301" s="795"/>
      <c r="B301" s="795"/>
      <c r="C301" s="795"/>
      <c r="D301" s="795"/>
      <c r="E301" s="797" t="s">
        <v>2119</v>
      </c>
      <c r="F301" s="790"/>
      <c r="G301" s="790"/>
      <c r="H301" s="2361">
        <f>'Part II-Development Team'!H106</f>
        <v>4048737014</v>
      </c>
      <c r="I301" s="2361"/>
      <c r="J301" s="802">
        <f>'Part II-Development Team'!J106</f>
        <v>0</v>
      </c>
      <c r="K301" s="794" t="s">
        <v>1925</v>
      </c>
      <c r="L301" s="2376">
        <f>'Part II-Development Team'!L106</f>
        <v>4048737015</v>
      </c>
      <c r="M301" s="2377"/>
      <c r="N301" s="799" t="s">
        <v>2118</v>
      </c>
      <c r="O301" s="2371" t="str">
        <f>'Part II-Development Team'!O106</f>
        <v>jeff.adams@agg.com</v>
      </c>
      <c r="P301" s="2371"/>
      <c r="Q301" s="2371"/>
      <c r="R301" s="2371"/>
      <c r="S301" s="2371"/>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1856</v>
      </c>
      <c r="C304" s="793" t="s">
        <v>306</v>
      </c>
      <c r="D304" s="790"/>
      <c r="E304" s="790"/>
      <c r="F304" s="790"/>
      <c r="G304" s="790"/>
      <c r="H304" s="2359" t="str">
        <f>'Part II-Development Team'!H109</f>
        <v>Cohn Reznick</v>
      </c>
      <c r="I304" s="2377"/>
      <c r="J304" s="2377"/>
      <c r="K304" s="2377"/>
      <c r="L304" s="2377"/>
      <c r="M304" s="2377"/>
      <c r="N304" s="2377"/>
      <c r="O304" s="797" t="s">
        <v>2124</v>
      </c>
      <c r="P304" s="797"/>
      <c r="Q304" s="2359" t="str">
        <f>'Part II-Development Team'!Q109</f>
        <v>Timothy Kemper</v>
      </c>
      <c r="R304" s="2377"/>
      <c r="S304" s="2377"/>
    </row>
    <row r="305" spans="1:19">
      <c r="A305" s="790"/>
      <c r="B305" s="790"/>
      <c r="C305" s="790"/>
      <c r="D305" s="833"/>
      <c r="E305" s="797" t="s">
        <v>1082</v>
      </c>
      <c r="F305" s="799"/>
      <c r="G305" s="790"/>
      <c r="H305" s="2359" t="str">
        <f>'Part II-Development Team'!H110</f>
        <v>3560 Lenox Rd, Suite 2800</v>
      </c>
      <c r="I305" s="2377"/>
      <c r="J305" s="2377"/>
      <c r="K305" s="2377"/>
      <c r="L305" s="2377"/>
      <c r="M305" s="2377"/>
      <c r="N305" s="2377"/>
      <c r="O305" s="797" t="s">
        <v>1869</v>
      </c>
      <c r="P305" s="790"/>
      <c r="Q305" s="2359" t="str">
        <f>'Part II-Development Team'!Q110</f>
        <v>Partner</v>
      </c>
      <c r="R305" s="2377"/>
      <c r="S305" s="2377"/>
    </row>
    <row r="306" spans="1:19">
      <c r="A306" s="790"/>
      <c r="B306" s="790"/>
      <c r="C306" s="790"/>
      <c r="D306" s="833"/>
      <c r="E306" s="797" t="s">
        <v>658</v>
      </c>
      <c r="F306" s="790"/>
      <c r="G306" s="790"/>
      <c r="H306" s="2359" t="str">
        <f>'Part II-Development Team'!H111</f>
        <v>Atlanta</v>
      </c>
      <c r="I306" s="2377"/>
      <c r="J306" s="2377"/>
      <c r="K306" s="794" t="s">
        <v>2943</v>
      </c>
      <c r="L306" s="2359" t="str">
        <f>'Part II-Development Team'!L111</f>
        <v>www.cohnreznick.com</v>
      </c>
      <c r="M306" s="2377"/>
      <c r="N306" s="2377"/>
      <c r="O306" s="797" t="s">
        <v>1926</v>
      </c>
      <c r="P306" s="790"/>
      <c r="Q306" s="2361">
        <f>'Part II-Development Team'!Q111</f>
        <v>4048479447</v>
      </c>
      <c r="R306" s="2361"/>
      <c r="S306" s="2361"/>
    </row>
    <row r="307" spans="1:19">
      <c r="A307" s="790"/>
      <c r="B307" s="790"/>
      <c r="C307" s="790"/>
      <c r="D307" s="833"/>
      <c r="E307" s="797" t="s">
        <v>1922</v>
      </c>
      <c r="F307" s="790"/>
      <c r="G307" s="790"/>
      <c r="H307" s="794" t="str">
        <f>'Part II-Development Team'!H112</f>
        <v>GA</v>
      </c>
      <c r="I307" s="794" t="s">
        <v>3648</v>
      </c>
      <c r="J307" s="2362">
        <f>'Part II-Development Team'!J112</f>
        <v>303264276</v>
      </c>
      <c r="K307" s="2377"/>
      <c r="L307" s="790"/>
      <c r="M307" s="790"/>
      <c r="N307" s="790"/>
      <c r="O307" s="797" t="s">
        <v>2113</v>
      </c>
      <c r="P307" s="790"/>
      <c r="Q307" s="2361">
        <f>'Part II-Development Team'!Q112</f>
        <v>6785760400</v>
      </c>
      <c r="R307" s="2361"/>
      <c r="S307" s="2361"/>
    </row>
    <row r="308" spans="1:19">
      <c r="A308" s="795"/>
      <c r="B308" s="795"/>
      <c r="C308" s="795"/>
      <c r="D308" s="795"/>
      <c r="E308" s="797" t="s">
        <v>2119</v>
      </c>
      <c r="F308" s="790"/>
      <c r="G308" s="790"/>
      <c r="H308" s="2361">
        <f>'Part II-Development Team'!H113</f>
        <v>4048479447</v>
      </c>
      <c r="I308" s="2361"/>
      <c r="J308" s="802">
        <f>'Part II-Development Team'!J113</f>
        <v>0</v>
      </c>
      <c r="K308" s="794" t="s">
        <v>1925</v>
      </c>
      <c r="L308" s="2376">
        <f>'Part II-Development Team'!L113</f>
        <v>4048477765</v>
      </c>
      <c r="M308" s="2377"/>
      <c r="N308" s="799" t="s">
        <v>2118</v>
      </c>
      <c r="O308" s="2371" t="str">
        <f>'Part II-Development Team'!O113</f>
        <v>timothy.kemper@cohnreznick.com</v>
      </c>
      <c r="P308" s="2371"/>
      <c r="Q308" s="2371"/>
      <c r="R308" s="2371"/>
      <c r="S308" s="2371"/>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1857</v>
      </c>
      <c r="C310" s="793" t="s">
        <v>307</v>
      </c>
      <c r="D310" s="790"/>
      <c r="E310" s="790"/>
      <c r="F310" s="790"/>
      <c r="G310" s="790"/>
      <c r="H310" s="2359" t="str">
        <f>'Part II-Development Team'!H115</f>
        <v>Studio 8 Design</v>
      </c>
      <c r="I310" s="2377"/>
      <c r="J310" s="2377"/>
      <c r="K310" s="2377"/>
      <c r="L310" s="2377"/>
      <c r="M310" s="2377"/>
      <c r="N310" s="2377"/>
      <c r="O310" s="797" t="s">
        <v>2124</v>
      </c>
      <c r="P310" s="797"/>
      <c r="Q310" s="2359" t="str">
        <f>'Part II-Development Team'!Q115</f>
        <v>Robert Byington</v>
      </c>
      <c r="R310" s="2377"/>
      <c r="S310" s="2377"/>
    </row>
    <row r="311" spans="1:19">
      <c r="A311" s="790"/>
      <c r="B311" s="790"/>
      <c r="C311" s="790"/>
      <c r="D311" s="833"/>
      <c r="E311" s="797" t="s">
        <v>1082</v>
      </c>
      <c r="F311" s="799"/>
      <c r="G311" s="790"/>
      <c r="H311" s="2359" t="str">
        <f>'Part II-Development Team'!H116</f>
        <v>2215 Bemiss Road, Suite E</v>
      </c>
      <c r="I311" s="2377"/>
      <c r="J311" s="2377"/>
      <c r="K311" s="2377"/>
      <c r="L311" s="2377"/>
      <c r="M311" s="2377"/>
      <c r="N311" s="2377"/>
      <c r="O311" s="797" t="s">
        <v>1869</v>
      </c>
      <c r="P311" s="790"/>
      <c r="Q311" s="2359" t="str">
        <f>'Part II-Development Team'!Q116</f>
        <v>Managing Partner</v>
      </c>
      <c r="R311" s="2377"/>
      <c r="S311" s="2377"/>
    </row>
    <row r="312" spans="1:19">
      <c r="A312" s="790"/>
      <c r="B312" s="790"/>
      <c r="C312" s="790"/>
      <c r="D312" s="833"/>
      <c r="E312" s="797" t="s">
        <v>658</v>
      </c>
      <c r="F312" s="790"/>
      <c r="G312" s="790"/>
      <c r="H312" s="2359" t="str">
        <f>'Part II-Development Team'!H117</f>
        <v>Valdosta</v>
      </c>
      <c r="I312" s="2377"/>
      <c r="J312" s="2377"/>
      <c r="K312" s="794" t="s">
        <v>2943</v>
      </c>
      <c r="L312" s="2359" t="str">
        <f>'Part II-Development Team'!L117</f>
        <v>www.studio8design.biz</v>
      </c>
      <c r="M312" s="2377"/>
      <c r="N312" s="2377"/>
      <c r="O312" s="797" t="s">
        <v>1926</v>
      </c>
      <c r="P312" s="790"/>
      <c r="Q312" s="2361">
        <f>'Part II-Development Team'!Q117</f>
        <v>2292441188</v>
      </c>
      <c r="R312" s="2361"/>
      <c r="S312" s="2361"/>
    </row>
    <row r="313" spans="1:19">
      <c r="A313" s="790"/>
      <c r="B313" s="790"/>
      <c r="C313" s="790"/>
      <c r="D313" s="833"/>
      <c r="E313" s="797" t="s">
        <v>1922</v>
      </c>
      <c r="F313" s="790"/>
      <c r="G313" s="790"/>
      <c r="H313" s="794" t="str">
        <f>'Part II-Development Team'!H118</f>
        <v>GA</v>
      </c>
      <c r="I313" s="794" t="s">
        <v>3648</v>
      </c>
      <c r="J313" s="2362">
        <f>'Part II-Development Team'!J118</f>
        <v>316020000</v>
      </c>
      <c r="K313" s="2377"/>
      <c r="L313" s="790"/>
      <c r="M313" s="790"/>
      <c r="N313" s="790"/>
      <c r="O313" s="797" t="s">
        <v>2113</v>
      </c>
      <c r="P313" s="790"/>
      <c r="Q313" s="2361">
        <f>'Part II-Development Team'!Q118</f>
        <v>2295611863</v>
      </c>
      <c r="R313" s="2361"/>
      <c r="S313" s="2361"/>
    </row>
    <row r="314" spans="1:19">
      <c r="A314" s="790"/>
      <c r="B314" s="790"/>
      <c r="C314" s="790"/>
      <c r="D314" s="833"/>
      <c r="E314" s="797" t="s">
        <v>2119</v>
      </c>
      <c r="F314" s="790"/>
      <c r="G314" s="790"/>
      <c r="H314" s="2361">
        <f>'Part II-Development Team'!H119</f>
        <v>2292441188</v>
      </c>
      <c r="I314" s="2361"/>
      <c r="J314" s="802">
        <f>'Part II-Development Team'!J119</f>
        <v>0</v>
      </c>
      <c r="K314" s="794" t="s">
        <v>1925</v>
      </c>
      <c r="L314" s="2376">
        <f>'Part II-Development Team'!L119</f>
        <v>2292530004</v>
      </c>
      <c r="M314" s="2377"/>
      <c r="N314" s="799" t="s">
        <v>2118</v>
      </c>
      <c r="O314" s="2371" t="str">
        <f>'Part II-Development Team'!O119</f>
        <v>rbyington@studio8design.biz</v>
      </c>
      <c r="P314" s="2371"/>
      <c r="Q314" s="2371"/>
      <c r="R314" s="2371"/>
      <c r="S314" s="2371"/>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1915</v>
      </c>
      <c r="B316" s="793" t="s">
        <v>2784</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2117</v>
      </c>
      <c r="C318" s="793" t="s">
        <v>3381</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3382</v>
      </c>
      <c r="D319" s="795"/>
      <c r="E319" s="795"/>
      <c r="F319" s="795"/>
      <c r="G319" s="795"/>
      <c r="H319" s="802" t="s">
        <v>2680</v>
      </c>
      <c r="I319" s="795" t="s">
        <v>3385</v>
      </c>
      <c r="J319" s="795"/>
      <c r="K319" s="795"/>
      <c r="L319" s="795"/>
      <c r="M319" s="795"/>
      <c r="N319" s="795"/>
      <c r="O319" s="795"/>
      <c r="P319" s="795"/>
      <c r="Q319" s="795"/>
      <c r="R319" s="795"/>
      <c r="S319" s="795"/>
    </row>
    <row r="320" spans="1:19">
      <c r="A320" s="790"/>
      <c r="B320" s="790"/>
      <c r="C320" s="838" t="s">
        <v>2121</v>
      </c>
      <c r="D320" s="790" t="s">
        <v>3383</v>
      </c>
      <c r="E320" s="790"/>
      <c r="F320" s="790"/>
      <c r="G320" s="790"/>
      <c r="H320" s="794" t="str">
        <f>'Part II-Development Team'!H125</f>
        <v>Yes</v>
      </c>
      <c r="I320" s="2386" t="str">
        <f>'Part II-Development Team'!I125</f>
        <v>The members of Prestwick Development Company LLC are also members of  Prestwick Construction Company LLC.</v>
      </c>
      <c r="J320" s="2386"/>
      <c r="K320" s="2386"/>
      <c r="L320" s="2386"/>
      <c r="M320" s="2386"/>
      <c r="N320" s="2386"/>
      <c r="O320" s="2386"/>
      <c r="P320" s="2386"/>
      <c r="Q320" s="2386"/>
      <c r="R320" s="2386"/>
      <c r="S320" s="2386"/>
    </row>
    <row r="321" spans="1:19">
      <c r="A321" s="790"/>
      <c r="B321" s="790"/>
      <c r="C321" s="838" t="s">
        <v>2123</v>
      </c>
      <c r="D321" s="790" t="s">
        <v>3514</v>
      </c>
      <c r="E321" s="790"/>
      <c r="F321" s="790"/>
      <c r="G321" s="790"/>
      <c r="H321" s="794" t="str">
        <f>'Part II-Development Team'!H126</f>
        <v>No</v>
      </c>
      <c r="I321" s="2386">
        <f>'Part II-Development Team'!I126</f>
        <v>0</v>
      </c>
      <c r="J321" s="2386"/>
      <c r="K321" s="2386"/>
      <c r="L321" s="2386"/>
      <c r="M321" s="2386"/>
      <c r="N321" s="2386"/>
      <c r="O321" s="2386"/>
      <c r="P321" s="2386"/>
      <c r="Q321" s="2386"/>
      <c r="R321" s="2386"/>
      <c r="S321" s="2386"/>
    </row>
    <row r="322" spans="1:19">
      <c r="A322" s="790"/>
      <c r="B322" s="790"/>
      <c r="C322" s="838" t="s">
        <v>2706</v>
      </c>
      <c r="D322" s="790" t="s">
        <v>3573</v>
      </c>
      <c r="E322" s="790"/>
      <c r="F322" s="790"/>
      <c r="G322" s="790"/>
      <c r="H322" s="794" t="str">
        <f>'Part II-Development Team'!H127</f>
        <v>No</v>
      </c>
      <c r="I322" s="2386">
        <f>'Part II-Development Team'!I127</f>
        <v>0</v>
      </c>
      <c r="J322" s="2386"/>
      <c r="K322" s="2386"/>
      <c r="L322" s="2386"/>
      <c r="M322" s="2386"/>
      <c r="N322" s="2386"/>
      <c r="O322" s="2386"/>
      <c r="P322" s="2386"/>
      <c r="Q322" s="2386"/>
      <c r="R322" s="2386"/>
      <c r="S322" s="2386"/>
    </row>
    <row r="323" spans="1:19">
      <c r="A323" s="790"/>
      <c r="B323" s="790"/>
      <c r="C323" s="838" t="s">
        <v>1300</v>
      </c>
      <c r="D323" s="790" t="s">
        <v>3515</v>
      </c>
      <c r="E323" s="790"/>
      <c r="F323" s="790"/>
      <c r="G323" s="790"/>
      <c r="H323" s="794" t="str">
        <f>'Part II-Development Team'!H128</f>
        <v>Yes</v>
      </c>
      <c r="I323" s="2386" t="str">
        <f>'Part II-Development Team'!I128</f>
        <v>The members of the General Partner, North Grove GP, LLC are also members of Prestwick Construction Company, LLC.</v>
      </c>
      <c r="J323" s="2386"/>
      <c r="K323" s="2386"/>
      <c r="L323" s="2386"/>
      <c r="M323" s="2386"/>
      <c r="N323" s="2386"/>
      <c r="O323" s="2386"/>
      <c r="P323" s="2386"/>
      <c r="Q323" s="2386"/>
      <c r="R323" s="2386"/>
      <c r="S323" s="2386"/>
    </row>
    <row r="324" spans="1:19">
      <c r="A324" s="790"/>
      <c r="B324" s="790"/>
      <c r="C324" s="838" t="s">
        <v>1301</v>
      </c>
      <c r="D324" s="790" t="s">
        <v>3516</v>
      </c>
      <c r="E324" s="790"/>
      <c r="F324" s="790"/>
      <c r="G324" s="790"/>
      <c r="H324" s="794" t="str">
        <f>'Part II-Development Team'!H129</f>
        <v>No</v>
      </c>
      <c r="I324" s="2386">
        <f>'Part II-Development Team'!I129</f>
        <v>0</v>
      </c>
      <c r="J324" s="2386"/>
      <c r="K324" s="2386"/>
      <c r="L324" s="2386"/>
      <c r="M324" s="2386"/>
      <c r="N324" s="2386"/>
      <c r="O324" s="2386"/>
      <c r="P324" s="2386"/>
      <c r="Q324" s="2386"/>
      <c r="R324" s="2386"/>
      <c r="S324" s="2386"/>
    </row>
    <row r="325" spans="1:19">
      <c r="A325" s="790"/>
      <c r="B325" s="790"/>
      <c r="C325" s="838" t="s">
        <v>2013</v>
      </c>
      <c r="D325" s="790" t="s">
        <v>3384</v>
      </c>
      <c r="E325" s="790"/>
      <c r="F325" s="790"/>
      <c r="G325" s="790"/>
      <c r="H325" s="794" t="str">
        <f>'Part II-Development Team'!H130</f>
        <v>No</v>
      </c>
      <c r="I325" s="2386">
        <f>'Part II-Development Team'!I130</f>
        <v>0</v>
      </c>
      <c r="J325" s="2386"/>
      <c r="K325" s="2386"/>
      <c r="L325" s="2386"/>
      <c r="M325" s="2386"/>
      <c r="N325" s="2386"/>
      <c r="O325" s="2386"/>
      <c r="P325" s="2386"/>
      <c r="Q325" s="2386"/>
      <c r="R325" s="2386"/>
      <c r="S325" s="2386"/>
    </row>
    <row r="326" spans="1:19">
      <c r="A326" s="790"/>
      <c r="B326" s="790"/>
      <c r="C326" s="838" t="s">
        <v>534</v>
      </c>
      <c r="D326" s="790" t="s">
        <v>3386</v>
      </c>
      <c r="E326" s="790"/>
      <c r="F326" s="790"/>
      <c r="G326" s="790"/>
      <c r="H326" s="794" t="str">
        <f>'Part II-Development Team'!H131</f>
        <v>No</v>
      </c>
      <c r="I326" s="2386">
        <f>'Part II-Development Team'!I131</f>
        <v>0</v>
      </c>
      <c r="J326" s="2386"/>
      <c r="K326" s="2386"/>
      <c r="L326" s="2386"/>
      <c r="M326" s="2386"/>
      <c r="N326" s="2386"/>
      <c r="O326" s="2386"/>
      <c r="P326" s="2386"/>
      <c r="Q326" s="2386"/>
      <c r="R326" s="2386"/>
      <c r="S326" s="2386"/>
    </row>
    <row r="327" spans="1:19">
      <c r="A327" s="790"/>
      <c r="B327" s="790"/>
      <c r="C327" s="838" t="s">
        <v>535</v>
      </c>
      <c r="D327" s="790" t="s">
        <v>1709</v>
      </c>
      <c r="E327" s="790"/>
      <c r="F327" s="790"/>
      <c r="G327" s="790"/>
      <c r="H327" s="794">
        <f>'Part II-Development Team'!H132</f>
        <v>0</v>
      </c>
      <c r="I327" s="2386">
        <f>'Part II-Development Team'!I132</f>
        <v>0</v>
      </c>
      <c r="J327" s="2386"/>
      <c r="K327" s="2386"/>
      <c r="L327" s="2386"/>
      <c r="M327" s="2386"/>
      <c r="N327" s="2386"/>
      <c r="O327" s="2386"/>
      <c r="P327" s="2386"/>
      <c r="Q327" s="2386"/>
      <c r="R327" s="2386"/>
      <c r="S327" s="2386"/>
    </row>
    <row r="328" spans="1:19">
      <c r="A328" s="793" t="s">
        <v>1915</v>
      </c>
      <c r="B328" s="793" t="s">
        <v>3650</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2120</v>
      </c>
      <c r="C330" s="793" t="s">
        <v>3387</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64" t="s">
        <v>680</v>
      </c>
      <c r="B332" s="2364"/>
      <c r="C332" s="2364"/>
      <c r="D332" s="2364"/>
      <c r="E332" s="2364"/>
      <c r="F332" s="2391" t="s">
        <v>3567</v>
      </c>
      <c r="G332" s="2391"/>
      <c r="H332" s="2392" t="s">
        <v>3651</v>
      </c>
      <c r="I332" s="2392"/>
      <c r="J332" s="2392"/>
      <c r="K332" s="2392"/>
      <c r="L332" s="2393" t="s">
        <v>3652</v>
      </c>
      <c r="M332" s="2393"/>
      <c r="N332" s="2393"/>
      <c r="O332" s="2393"/>
      <c r="P332" s="2393" t="s">
        <v>3653</v>
      </c>
      <c r="Q332" s="2330"/>
      <c r="R332" s="2393" t="s">
        <v>3654</v>
      </c>
      <c r="S332" s="2394"/>
    </row>
    <row r="333" spans="1:19">
      <c r="A333" s="2364"/>
      <c r="B333" s="2364"/>
      <c r="C333" s="2364"/>
      <c r="D333" s="2364"/>
      <c r="E333" s="2364"/>
      <c r="F333" s="2391"/>
      <c r="G333" s="2391"/>
      <c r="H333" s="2392"/>
      <c r="I333" s="2392"/>
      <c r="J333" s="2392"/>
      <c r="K333" s="2392"/>
      <c r="L333" s="2393"/>
      <c r="M333" s="2393"/>
      <c r="N333" s="2393"/>
      <c r="O333" s="2393"/>
      <c r="P333" s="2330"/>
      <c r="Q333" s="2330"/>
      <c r="R333" s="2393"/>
      <c r="S333" s="2394"/>
    </row>
    <row r="334" spans="1:19">
      <c r="A334" s="2364"/>
      <c r="B334" s="2364"/>
      <c r="C334" s="2364"/>
      <c r="D334" s="2364"/>
      <c r="E334" s="2364"/>
      <c r="F334" s="2391"/>
      <c r="G334" s="2391"/>
      <c r="H334" s="2392"/>
      <c r="I334" s="2392"/>
      <c r="J334" s="2392"/>
      <c r="K334" s="2392"/>
      <c r="L334" s="2393"/>
      <c r="M334" s="2393"/>
      <c r="N334" s="2393"/>
      <c r="O334" s="2393"/>
      <c r="P334" s="2330"/>
      <c r="Q334" s="2330"/>
      <c r="R334" s="2394"/>
      <c r="S334" s="2394"/>
    </row>
    <row r="335" spans="1:19">
      <c r="A335" s="2364"/>
      <c r="B335" s="2364"/>
      <c r="C335" s="2364"/>
      <c r="D335" s="2364"/>
      <c r="E335" s="2364"/>
      <c r="F335" s="2391"/>
      <c r="G335" s="2391"/>
      <c r="H335" s="2392"/>
      <c r="I335" s="2392"/>
      <c r="J335" s="2392"/>
      <c r="K335" s="2392"/>
      <c r="L335" s="2393"/>
      <c r="M335" s="2393"/>
      <c r="N335" s="2393"/>
      <c r="O335" s="2393"/>
      <c r="P335" s="2330"/>
      <c r="Q335" s="2330"/>
      <c r="R335" s="2394"/>
      <c r="S335" s="2394"/>
    </row>
    <row r="336" spans="1:19">
      <c r="A336" s="2364"/>
      <c r="B336" s="2364"/>
      <c r="C336" s="2364"/>
      <c r="D336" s="2364"/>
      <c r="E336" s="2364"/>
      <c r="F336" s="2391"/>
      <c r="G336" s="2391"/>
      <c r="H336" s="2392"/>
      <c r="I336" s="2392"/>
      <c r="J336" s="2392"/>
      <c r="K336" s="2392"/>
      <c r="L336" s="2393"/>
      <c r="M336" s="2393"/>
      <c r="N336" s="2393"/>
      <c r="O336" s="2393"/>
      <c r="P336" s="2330"/>
      <c r="Q336" s="2330"/>
      <c r="R336" s="2394"/>
      <c r="S336" s="2394"/>
    </row>
    <row r="337" spans="1:19">
      <c r="A337" s="2359" t="s">
        <v>3558</v>
      </c>
      <c r="B337" s="2359"/>
      <c r="C337" s="2359"/>
      <c r="D337" s="2359"/>
      <c r="E337" s="2359"/>
      <c r="F337" s="2364" t="str">
        <f>'Part II-Development Team'!F142</f>
        <v>No</v>
      </c>
      <c r="G337" s="2364"/>
      <c r="H337" s="2364" t="str">
        <f>'Part II-Development Team'!H142</f>
        <v>No</v>
      </c>
      <c r="I337" s="2364"/>
      <c r="J337" s="2364"/>
      <c r="K337" s="2364"/>
      <c r="L337" s="2364" t="str">
        <f>'Part II-Development Team'!L142</f>
        <v>No</v>
      </c>
      <c r="M337" s="2364"/>
      <c r="N337" s="2364"/>
      <c r="O337" s="2364"/>
      <c r="P337" s="2383" t="str">
        <f>'Part II-Development Team'!P142</f>
        <v>For Profit</v>
      </c>
      <c r="Q337" s="2383"/>
      <c r="R337" s="2384">
        <f>'Part II-Development Team'!R142</f>
        <v>1E-4</v>
      </c>
      <c r="S337" s="2385"/>
    </row>
    <row r="338" spans="1:19">
      <c r="A338" s="2359" t="s">
        <v>3559</v>
      </c>
      <c r="B338" s="2359"/>
      <c r="C338" s="2359"/>
      <c r="D338" s="2359"/>
      <c r="E338" s="2359"/>
      <c r="F338" s="2364">
        <f>'Part II-Development Team'!F143</f>
        <v>0</v>
      </c>
      <c r="G338" s="2364"/>
      <c r="H338" s="2364">
        <f>'Part II-Development Team'!H143</f>
        <v>0</v>
      </c>
      <c r="I338" s="2364"/>
      <c r="J338" s="2364"/>
      <c r="K338" s="2364"/>
      <c r="L338" s="2364">
        <f>'Part II-Development Team'!L143</f>
        <v>0</v>
      </c>
      <c r="M338" s="2364"/>
      <c r="N338" s="2364"/>
      <c r="O338" s="2364"/>
      <c r="P338" s="2383">
        <f>'Part II-Development Team'!P143</f>
        <v>0</v>
      </c>
      <c r="Q338" s="2383"/>
      <c r="R338" s="2384">
        <f>'Part II-Development Team'!R143</f>
        <v>0</v>
      </c>
      <c r="S338" s="2385"/>
    </row>
    <row r="339" spans="1:19">
      <c r="A339" s="2359" t="s">
        <v>3560</v>
      </c>
      <c r="B339" s="2359"/>
      <c r="C339" s="2359"/>
      <c r="D339" s="2359"/>
      <c r="E339" s="2359"/>
      <c r="F339" s="2364">
        <f>'Part II-Development Team'!F144</f>
        <v>0</v>
      </c>
      <c r="G339" s="2364"/>
      <c r="H339" s="2364">
        <f>'Part II-Development Team'!H144</f>
        <v>0</v>
      </c>
      <c r="I339" s="2364"/>
      <c r="J339" s="2364"/>
      <c r="K339" s="2364"/>
      <c r="L339" s="2364">
        <f>'Part II-Development Team'!L144</f>
        <v>0</v>
      </c>
      <c r="M339" s="2364"/>
      <c r="N339" s="2364"/>
      <c r="O339" s="2364"/>
      <c r="P339" s="2383">
        <f>'Part II-Development Team'!P144</f>
        <v>0</v>
      </c>
      <c r="Q339" s="2383"/>
      <c r="R339" s="2384">
        <f>'Part II-Development Team'!R144</f>
        <v>0</v>
      </c>
      <c r="S339" s="2385"/>
    </row>
    <row r="340" spans="1:19">
      <c r="A340" s="2359" t="s">
        <v>799</v>
      </c>
      <c r="B340" s="2359"/>
      <c r="C340" s="2359"/>
      <c r="D340" s="2359"/>
      <c r="E340" s="2359"/>
      <c r="F340" s="2364" t="str">
        <f>'Part II-Development Team'!F145</f>
        <v>No</v>
      </c>
      <c r="G340" s="2364"/>
      <c r="H340" s="2364" t="str">
        <f>'Part II-Development Team'!H145</f>
        <v>No</v>
      </c>
      <c r="I340" s="2364"/>
      <c r="J340" s="2364"/>
      <c r="K340" s="2364"/>
      <c r="L340" s="2364" t="str">
        <f>'Part II-Development Team'!L145</f>
        <v>No</v>
      </c>
      <c r="M340" s="2364"/>
      <c r="N340" s="2364"/>
      <c r="O340" s="2364"/>
      <c r="P340" s="2383" t="str">
        <f>'Part II-Development Team'!P145</f>
        <v>For Profit</v>
      </c>
      <c r="Q340" s="2383"/>
      <c r="R340" s="2384">
        <f>'Part II-Development Team'!R145</f>
        <v>0.99980000000000002</v>
      </c>
      <c r="S340" s="2385"/>
    </row>
    <row r="341" spans="1:19">
      <c r="A341" s="2359" t="s">
        <v>800</v>
      </c>
      <c r="B341" s="2359"/>
      <c r="C341" s="2359"/>
      <c r="D341" s="2359"/>
      <c r="E341" s="2359"/>
      <c r="F341" s="2364" t="str">
        <f>'Part II-Development Team'!F146</f>
        <v>No</v>
      </c>
      <c r="G341" s="2364"/>
      <c r="H341" s="2364" t="str">
        <f>'Part II-Development Team'!H146</f>
        <v>No</v>
      </c>
      <c r="I341" s="2364"/>
      <c r="J341" s="2364"/>
      <c r="K341" s="2364"/>
      <c r="L341" s="2364" t="str">
        <f>'Part II-Development Team'!L146</f>
        <v>No</v>
      </c>
      <c r="M341" s="2364"/>
      <c r="N341" s="2364"/>
      <c r="O341" s="2364"/>
      <c r="P341" s="2383" t="str">
        <f>'Part II-Development Team'!P146</f>
        <v>For Profit</v>
      </c>
      <c r="Q341" s="2383"/>
      <c r="R341" s="2384">
        <f>'Part II-Development Team'!R146</f>
        <v>1E-4</v>
      </c>
      <c r="S341" s="2385"/>
    </row>
    <row r="342" spans="1:19">
      <c r="A342" s="2359" t="s">
        <v>3561</v>
      </c>
      <c r="B342" s="2359"/>
      <c r="C342" s="2359"/>
      <c r="D342" s="2359"/>
      <c r="E342" s="2359"/>
      <c r="F342" s="2364">
        <f>'Part II-Development Team'!F147</f>
        <v>0</v>
      </c>
      <c r="G342" s="2364"/>
      <c r="H342" s="2364">
        <f>'Part II-Development Team'!H147</f>
        <v>0</v>
      </c>
      <c r="I342" s="2364"/>
      <c r="J342" s="2364"/>
      <c r="K342" s="2364"/>
      <c r="L342" s="2364">
        <f>'Part II-Development Team'!L147</f>
        <v>0</v>
      </c>
      <c r="M342" s="2364"/>
      <c r="N342" s="2364"/>
      <c r="O342" s="2364"/>
      <c r="P342" s="2383">
        <f>'Part II-Development Team'!P147</f>
        <v>0</v>
      </c>
      <c r="Q342" s="2383"/>
      <c r="R342" s="2384">
        <f>'Part II-Development Team'!R147</f>
        <v>0</v>
      </c>
      <c r="S342" s="2385"/>
    </row>
    <row r="343" spans="1:19">
      <c r="A343" s="2359" t="s">
        <v>697</v>
      </c>
      <c r="B343" s="2359"/>
      <c r="C343" s="2359"/>
      <c r="D343" s="2359"/>
      <c r="E343" s="2359"/>
      <c r="F343" s="2364" t="str">
        <f>'Part II-Development Team'!F148</f>
        <v>No</v>
      </c>
      <c r="G343" s="2364"/>
      <c r="H343" s="2364" t="str">
        <f>'Part II-Development Team'!H148</f>
        <v>No</v>
      </c>
      <c r="I343" s="2364"/>
      <c r="J343" s="2364"/>
      <c r="K343" s="2364"/>
      <c r="L343" s="2364" t="str">
        <f>'Part II-Development Team'!L148</f>
        <v>No</v>
      </c>
      <c r="M343" s="2364"/>
      <c r="N343" s="2364"/>
      <c r="O343" s="2364"/>
      <c r="P343" s="2383" t="str">
        <f>'Part II-Development Team'!P148</f>
        <v>For Profit</v>
      </c>
      <c r="Q343" s="2383"/>
      <c r="R343" s="2384">
        <f>'Part II-Development Team'!R148</f>
        <v>0</v>
      </c>
      <c r="S343" s="2385"/>
    </row>
    <row r="344" spans="1:19">
      <c r="A344" s="2359" t="s">
        <v>3562</v>
      </c>
      <c r="B344" s="2359"/>
      <c r="C344" s="2359"/>
      <c r="D344" s="2359"/>
      <c r="E344" s="2359"/>
      <c r="F344" s="2364">
        <f>'Part II-Development Team'!F149</f>
        <v>0</v>
      </c>
      <c r="G344" s="2364"/>
      <c r="H344" s="2364">
        <f>'Part II-Development Team'!H149</f>
        <v>0</v>
      </c>
      <c r="I344" s="2364"/>
      <c r="J344" s="2364"/>
      <c r="K344" s="2364"/>
      <c r="L344" s="2364">
        <f>'Part II-Development Team'!L149</f>
        <v>0</v>
      </c>
      <c r="M344" s="2364"/>
      <c r="N344" s="2364"/>
      <c r="O344" s="2364"/>
      <c r="P344" s="2383">
        <f>'Part II-Development Team'!P149</f>
        <v>0</v>
      </c>
      <c r="Q344" s="2383"/>
      <c r="R344" s="2384">
        <f>'Part II-Development Team'!R149</f>
        <v>0</v>
      </c>
      <c r="S344" s="2385"/>
    </row>
    <row r="345" spans="1:19">
      <c r="A345" s="2359" t="s">
        <v>3563</v>
      </c>
      <c r="B345" s="2359"/>
      <c r="C345" s="2359"/>
      <c r="D345" s="2359"/>
      <c r="E345" s="2359"/>
      <c r="F345" s="2364">
        <f>'Part II-Development Team'!F150</f>
        <v>0</v>
      </c>
      <c r="G345" s="2364"/>
      <c r="H345" s="2364">
        <f>'Part II-Development Team'!H150</f>
        <v>0</v>
      </c>
      <c r="I345" s="2364"/>
      <c r="J345" s="2364"/>
      <c r="K345" s="2364"/>
      <c r="L345" s="2364">
        <f>'Part II-Development Team'!L150</f>
        <v>0</v>
      </c>
      <c r="M345" s="2364"/>
      <c r="N345" s="2364"/>
      <c r="O345" s="2364"/>
      <c r="P345" s="2383">
        <f>'Part II-Development Team'!P150</f>
        <v>0</v>
      </c>
      <c r="Q345" s="2383"/>
      <c r="R345" s="2384">
        <f>'Part II-Development Team'!R150</f>
        <v>0</v>
      </c>
      <c r="S345" s="2385"/>
    </row>
    <row r="346" spans="1:19">
      <c r="A346" s="2359" t="s">
        <v>3565</v>
      </c>
      <c r="B346" s="2359"/>
      <c r="C346" s="2359"/>
      <c r="D346" s="2359"/>
      <c r="E346" s="2359"/>
      <c r="F346" s="2364">
        <f>'Part II-Development Team'!F151</f>
        <v>0</v>
      </c>
      <c r="G346" s="2364"/>
      <c r="H346" s="2364">
        <f>'Part II-Development Team'!H151</f>
        <v>0</v>
      </c>
      <c r="I346" s="2364"/>
      <c r="J346" s="2364"/>
      <c r="K346" s="2364"/>
      <c r="L346" s="2364">
        <f>'Part II-Development Team'!L151</f>
        <v>0</v>
      </c>
      <c r="M346" s="2364"/>
      <c r="N346" s="2364"/>
      <c r="O346" s="2364"/>
      <c r="P346" s="2383">
        <f>'Part II-Development Team'!P151</f>
        <v>0</v>
      </c>
      <c r="Q346" s="2383"/>
      <c r="R346" s="2384">
        <f>'Part II-Development Team'!R151</f>
        <v>0</v>
      </c>
      <c r="S346" s="2385"/>
    </row>
    <row r="347" spans="1:19">
      <c r="A347" s="2359" t="s">
        <v>3564</v>
      </c>
      <c r="B347" s="2359"/>
      <c r="C347" s="2359"/>
      <c r="D347" s="2359"/>
      <c r="E347" s="2359"/>
      <c r="F347" s="2364">
        <f>'Part II-Development Team'!F152</f>
        <v>0</v>
      </c>
      <c r="G347" s="2364"/>
      <c r="H347" s="2364">
        <f>'Part II-Development Team'!H152</f>
        <v>0</v>
      </c>
      <c r="I347" s="2364"/>
      <c r="J347" s="2364"/>
      <c r="K347" s="2364"/>
      <c r="L347" s="2364">
        <f>'Part II-Development Team'!L152</f>
        <v>0</v>
      </c>
      <c r="M347" s="2364"/>
      <c r="N347" s="2364"/>
      <c r="O347" s="2364"/>
      <c r="P347" s="2383">
        <f>'Part II-Development Team'!P152</f>
        <v>0</v>
      </c>
      <c r="Q347" s="2383"/>
      <c r="R347" s="2384">
        <f>'Part II-Development Team'!R152</f>
        <v>0</v>
      </c>
      <c r="S347" s="2385"/>
    </row>
    <row r="348" spans="1:19">
      <c r="A348" s="2359" t="s">
        <v>1634</v>
      </c>
      <c r="B348" s="2359"/>
      <c r="C348" s="2359"/>
      <c r="D348" s="2359"/>
      <c r="E348" s="2359"/>
      <c r="F348" s="2364" t="str">
        <f>'Part II-Development Team'!F153</f>
        <v>No</v>
      </c>
      <c r="G348" s="2364"/>
      <c r="H348" s="2364" t="str">
        <f>'Part II-Development Team'!H153</f>
        <v>No</v>
      </c>
      <c r="I348" s="2364"/>
      <c r="J348" s="2364"/>
      <c r="K348" s="2364"/>
      <c r="L348" s="2364" t="str">
        <f>'Part II-Development Team'!L153</f>
        <v>No</v>
      </c>
      <c r="M348" s="2364"/>
      <c r="N348" s="2364"/>
      <c r="O348" s="2364"/>
      <c r="P348" s="2383" t="str">
        <f>'Part II-Development Team'!P153</f>
        <v>For Profit</v>
      </c>
      <c r="Q348" s="2383"/>
      <c r="R348" s="2384">
        <f>'Part II-Development Team'!R153</f>
        <v>0</v>
      </c>
      <c r="S348" s="2385"/>
    </row>
    <row r="349" spans="1:19">
      <c r="A349" s="2359" t="s">
        <v>3566</v>
      </c>
      <c r="B349" s="2359"/>
      <c r="C349" s="2359"/>
      <c r="D349" s="2359"/>
      <c r="E349" s="2359"/>
      <c r="F349" s="2364" t="str">
        <f>'Part II-Development Team'!F154</f>
        <v>No</v>
      </c>
      <c r="G349" s="2364"/>
      <c r="H349" s="2364" t="str">
        <f>'Part II-Development Team'!H154</f>
        <v>No</v>
      </c>
      <c r="I349" s="2364"/>
      <c r="J349" s="2364"/>
      <c r="K349" s="2364"/>
      <c r="L349" s="2364" t="str">
        <f>'Part II-Development Team'!L154</f>
        <v>No</v>
      </c>
      <c r="M349" s="2364"/>
      <c r="N349" s="2364"/>
      <c r="O349" s="2364"/>
      <c r="P349" s="2383" t="str">
        <f>'Part II-Development Team'!P154</f>
        <v>For Profit</v>
      </c>
      <c r="Q349" s="2383"/>
      <c r="R349" s="2384">
        <f>'Part II-Development Team'!R154</f>
        <v>0</v>
      </c>
      <c r="S349" s="2385"/>
    </row>
    <row r="350" spans="1:19">
      <c r="A350" s="790"/>
      <c r="B350" s="790"/>
      <c r="C350" s="790"/>
      <c r="D350" s="790"/>
      <c r="E350" s="790"/>
      <c r="F350" s="790"/>
      <c r="G350" s="793"/>
      <c r="H350" s="793"/>
      <c r="I350" s="793"/>
      <c r="J350" s="794"/>
      <c r="K350" s="794"/>
      <c r="L350" s="794"/>
      <c r="M350" s="794"/>
      <c r="N350" s="790"/>
      <c r="O350" s="790"/>
      <c r="P350" s="795"/>
      <c r="Q350" s="839" t="s">
        <v>571</v>
      </c>
      <c r="R350" s="2389">
        <f>SUM(R337:S349)</f>
        <v>1</v>
      </c>
      <c r="S350" s="2390"/>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1917</v>
      </c>
      <c r="B352" s="820"/>
      <c r="C352" s="816" t="s">
        <v>607</v>
      </c>
      <c r="D352" s="795"/>
      <c r="E352" s="795"/>
      <c r="F352" s="795"/>
      <c r="G352" s="795"/>
      <c r="H352" s="795"/>
      <c r="I352" s="795"/>
      <c r="J352" s="795"/>
      <c r="K352" s="795"/>
      <c r="L352" s="795"/>
      <c r="M352" s="795"/>
      <c r="N352" s="816" t="s">
        <v>562</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80" t="str">
        <f>'Part II-Development Team'!A159</f>
        <v xml:space="preserve">Members of Prestwick Development Company are also members of the GP entity and members of Prestwick Construction Company, LLC, the contractor for the project. </v>
      </c>
      <c r="B354" s="2380"/>
      <c r="C354" s="2380"/>
      <c r="D354" s="2380"/>
      <c r="E354" s="2380"/>
      <c r="F354" s="2380"/>
      <c r="G354" s="2380"/>
      <c r="H354" s="2380"/>
      <c r="I354" s="2380"/>
      <c r="J354" s="2380"/>
      <c r="K354" s="2380"/>
      <c r="L354" s="2380"/>
      <c r="M354" s="2380"/>
      <c r="N354" s="2380">
        <f>'Part II-Development Team'!N159</f>
        <v>0</v>
      </c>
      <c r="O354" s="2380"/>
      <c r="P354" s="2380"/>
      <c r="Q354" s="2380"/>
      <c r="R354" s="2380"/>
      <c r="S354" s="2380"/>
    </row>
    <row r="357" spans="1:19">
      <c r="A357" s="2356" t="str">
        <f>CONCATENATE("PART THREE - SOURCES OF FUNDS","  -  ",'Part I-Project Information'!$O$4," ",'Part I-Project Information'!$F$23,", ",'Part I-Project Information'!$F$27,", ",'Part I-Project Information'!$J$28," County")</f>
        <v>PART THREE - SOURCES OF FUNDS  -  2014-006 North Grove Apartments, Athens, Clarke County</v>
      </c>
      <c r="B357" s="2356"/>
      <c r="C357" s="2356"/>
      <c r="D357" s="2356"/>
      <c r="E357" s="2356"/>
      <c r="F357" s="2356"/>
      <c r="G357" s="2356"/>
      <c r="H357" s="2356"/>
      <c r="I357" s="2356"/>
      <c r="J357" s="2356"/>
      <c r="K357" s="2356"/>
      <c r="L357" s="2356"/>
      <c r="M357" s="2356"/>
      <c r="N357" s="2356"/>
      <c r="O357" s="2356"/>
      <c r="P357" s="2356"/>
      <c r="Q357" s="2356"/>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656</v>
      </c>
      <c r="B359" s="816" t="s">
        <v>2658</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3231</v>
      </c>
      <c r="J360" s="790"/>
      <c r="K360" s="834"/>
      <c r="L360" s="834"/>
      <c r="M360" s="834"/>
      <c r="N360" s="834"/>
      <c r="O360" s="834"/>
      <c r="P360" s="2387">
        <f>'Part III-Sources of Funds'!P4</f>
        <v>0</v>
      </c>
      <c r="Q360" s="2330"/>
    </row>
    <row r="361" spans="1:19" ht="13.5">
      <c r="A361" s="789"/>
      <c r="B361" s="794" t="str">
        <f>'Part III-Sources of Funds'!B5</f>
        <v>Yes</v>
      </c>
      <c r="C361" s="797" t="s">
        <v>2572</v>
      </c>
      <c r="D361" s="790"/>
      <c r="E361" s="794" t="str">
        <f>'Part III-Sources of Funds'!E5</f>
        <v>No</v>
      </c>
      <c r="F361" s="797" t="s">
        <v>583</v>
      </c>
      <c r="G361" s="834"/>
      <c r="H361" s="794" t="str">
        <f>'Part III-Sources of Funds'!H5</f>
        <v>No</v>
      </c>
      <c r="I361" s="790" t="s">
        <v>2792</v>
      </c>
      <c r="J361" s="834"/>
      <c r="K361" s="834"/>
      <c r="L361" s="834"/>
      <c r="M361" s="794" t="str">
        <f>'Part III-Sources of Funds'!M5</f>
        <v>No</v>
      </c>
      <c r="N361" s="797" t="s">
        <v>581</v>
      </c>
      <c r="O361" s="834"/>
      <c r="P361" s="834"/>
      <c r="Q361" s="834"/>
    </row>
    <row r="362" spans="1:19" ht="13.5">
      <c r="A362" s="789"/>
      <c r="B362" s="794" t="str">
        <f>'Part III-Sources of Funds'!B6</f>
        <v>No</v>
      </c>
      <c r="C362" s="797" t="s">
        <v>1927</v>
      </c>
      <c r="D362" s="790"/>
      <c r="E362" s="794" t="str">
        <f>'Part III-Sources of Funds'!E6</f>
        <v>No</v>
      </c>
      <c r="F362" s="790" t="s">
        <v>2790</v>
      </c>
      <c r="G362" s="834"/>
      <c r="H362" s="794" t="str">
        <f>'Part III-Sources of Funds'!H6</f>
        <v>No</v>
      </c>
      <c r="I362" s="797" t="s">
        <v>3249</v>
      </c>
      <c r="J362" s="797"/>
      <c r="K362" s="792"/>
      <c r="L362" s="792"/>
      <c r="M362" s="794" t="str">
        <f>'Part III-Sources of Funds'!M6</f>
        <v>No</v>
      </c>
      <c r="N362" s="797" t="s">
        <v>2791</v>
      </c>
      <c r="O362" s="834"/>
      <c r="P362" s="834"/>
      <c r="Q362" s="827"/>
    </row>
    <row r="363" spans="1:19" ht="13.5">
      <c r="A363" s="790"/>
      <c r="B363" s="794" t="str">
        <f>'Part III-Sources of Funds'!B7</f>
        <v>No</v>
      </c>
      <c r="C363" s="797" t="s">
        <v>1928</v>
      </c>
      <c r="D363" s="834"/>
      <c r="E363" s="794" t="str">
        <f>'Part III-Sources of Funds'!E7</f>
        <v>No</v>
      </c>
      <c r="F363" s="817" t="s">
        <v>2340</v>
      </c>
      <c r="G363" s="790"/>
      <c r="H363" s="794" t="str">
        <f>'Part III-Sources of Funds'!H7</f>
        <v>No</v>
      </c>
      <c r="I363" s="797" t="s">
        <v>1643</v>
      </c>
      <c r="J363" s="792"/>
      <c r="K363" s="834"/>
      <c r="L363" s="834"/>
      <c r="M363" s="794" t="str">
        <f>'Part III-Sources of Funds'!M7</f>
        <v>No</v>
      </c>
      <c r="N363" s="797" t="s">
        <v>3230</v>
      </c>
      <c r="O363" s="834"/>
      <c r="P363" s="2388">
        <f>'Part III-Sources of Funds'!P7</f>
        <v>0</v>
      </c>
      <c r="Q363" s="2388"/>
    </row>
    <row r="364" spans="1:19" ht="13.5">
      <c r="A364" s="789"/>
      <c r="B364" s="794" t="str">
        <f>'Part III-Sources of Funds'!B8</f>
        <v>No</v>
      </c>
      <c r="C364" s="790" t="s">
        <v>2782</v>
      </c>
      <c r="D364" s="790"/>
      <c r="E364" s="794" t="str">
        <f>'Part III-Sources of Funds'!E8</f>
        <v>No</v>
      </c>
      <c r="F364" s="819" t="s">
        <v>2783</v>
      </c>
      <c r="G364" s="834"/>
      <c r="H364" s="794" t="str">
        <f>'Part III-Sources of Funds'!H8</f>
        <v>No</v>
      </c>
      <c r="I364" s="797" t="s">
        <v>582</v>
      </c>
      <c r="J364" s="792"/>
      <c r="K364" s="797"/>
      <c r="L364" s="797"/>
      <c r="M364" s="794" t="str">
        <f>'Part III-Sources of Funds'!M8</f>
        <v>Yes</v>
      </c>
      <c r="N364" s="2359" t="str">
        <f>'Part III-Sources of Funds'!N8</f>
        <v>Possible HUD Section 811 PBRA</v>
      </c>
      <c r="O364" s="2359"/>
      <c r="P364" s="2359"/>
      <c r="Q364" s="2359"/>
    </row>
    <row r="365" spans="1:19" ht="13.5">
      <c r="A365" s="789"/>
      <c r="B365" s="834" t="s">
        <v>3145</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789</v>
      </c>
      <c r="B367" s="791" t="s">
        <v>2495</v>
      </c>
      <c r="C367" s="790"/>
      <c r="D367" s="790"/>
      <c r="E367" s="790"/>
      <c r="F367" s="790"/>
      <c r="G367" s="790"/>
      <c r="H367" s="834"/>
      <c r="I367" s="834"/>
      <c r="J367" s="793"/>
      <c r="K367" s="790"/>
      <c r="L367" s="790"/>
      <c r="M367" s="790"/>
      <c r="N367" s="2364"/>
      <c r="O367" s="2364"/>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2000</v>
      </c>
      <c r="C369" s="790"/>
      <c r="D369" s="790"/>
      <c r="E369" s="790"/>
      <c r="F369" s="790"/>
      <c r="G369" s="790"/>
      <c r="H369" s="2359" t="s">
        <v>1382</v>
      </c>
      <c r="I369" s="2359"/>
      <c r="J369" s="2359"/>
      <c r="K369" s="2359"/>
      <c r="L369" s="2364" t="s">
        <v>2125</v>
      </c>
      <c r="M369" s="2364"/>
      <c r="N369" s="2364" t="s">
        <v>1612</v>
      </c>
      <c r="O369" s="2364"/>
      <c r="P369" s="2364" t="s">
        <v>1740</v>
      </c>
      <c r="Q369" s="2364"/>
    </row>
    <row r="370" spans="1:17">
      <c r="A370" s="790"/>
      <c r="B370" s="2395" t="s">
        <v>1698</v>
      </c>
      <c r="C370" s="2395"/>
      <c r="D370" s="2395"/>
      <c r="E370" s="790"/>
      <c r="F370" s="790"/>
      <c r="G370" s="790"/>
      <c r="H370" s="2359" t="str">
        <f>'Part III-Sources of Funds'!H14</f>
        <v>Community and Southern Bank</v>
      </c>
      <c r="I370" s="2359"/>
      <c r="J370" s="2359"/>
      <c r="K370" s="2359"/>
      <c r="L370" s="2396">
        <f>'Part III-Sources of Funds'!L14</f>
        <v>7466069</v>
      </c>
      <c r="M370" s="2396"/>
      <c r="N370" s="2397">
        <f>'Part III-Sources of Funds'!N14</f>
        <v>0.04</v>
      </c>
      <c r="O370" s="2397"/>
      <c r="P370" s="2398">
        <f>'Part III-Sources of Funds'!P14</f>
        <v>24</v>
      </c>
      <c r="Q370" s="2398"/>
    </row>
    <row r="371" spans="1:17">
      <c r="A371" s="790"/>
      <c r="B371" s="2395" t="s">
        <v>1699</v>
      </c>
      <c r="C371" s="2395"/>
      <c r="D371" s="2395"/>
      <c r="E371" s="790"/>
      <c r="F371" s="790"/>
      <c r="G371" s="790"/>
      <c r="H371" s="2359">
        <f>'Part III-Sources of Funds'!H15</f>
        <v>0</v>
      </c>
      <c r="I371" s="2359"/>
      <c r="J371" s="2359"/>
      <c r="K371" s="2359"/>
      <c r="L371" s="2396">
        <f>'Part III-Sources of Funds'!L15</f>
        <v>0</v>
      </c>
      <c r="M371" s="2396"/>
      <c r="N371" s="2397">
        <f>'Part III-Sources of Funds'!N15</f>
        <v>0</v>
      </c>
      <c r="O371" s="2397"/>
      <c r="P371" s="2398">
        <f>'Part III-Sources of Funds'!P15</f>
        <v>0</v>
      </c>
      <c r="Q371" s="2398"/>
    </row>
    <row r="372" spans="1:17">
      <c r="A372" s="790"/>
      <c r="B372" s="2395" t="s">
        <v>1700</v>
      </c>
      <c r="C372" s="2395"/>
      <c r="D372" s="2395"/>
      <c r="E372" s="790"/>
      <c r="F372" s="790"/>
      <c r="G372" s="790"/>
      <c r="H372" s="2359">
        <f>'Part III-Sources of Funds'!H16</f>
        <v>0</v>
      </c>
      <c r="I372" s="2359"/>
      <c r="J372" s="2359"/>
      <c r="K372" s="2359"/>
      <c r="L372" s="2396">
        <f>'Part III-Sources of Funds'!L16</f>
        <v>0</v>
      </c>
      <c r="M372" s="2396"/>
      <c r="N372" s="2397">
        <f>'Part III-Sources of Funds'!N16</f>
        <v>0</v>
      </c>
      <c r="O372" s="2397"/>
      <c r="P372" s="2398">
        <f>'Part III-Sources of Funds'!P16</f>
        <v>0</v>
      </c>
      <c r="Q372" s="2398"/>
    </row>
    <row r="373" spans="1:17">
      <c r="A373" s="790"/>
      <c r="B373" s="2395" t="s">
        <v>2358</v>
      </c>
      <c r="C373" s="2395"/>
      <c r="D373" s="2395"/>
      <c r="E373" s="790"/>
      <c r="F373" s="790"/>
      <c r="G373" s="790"/>
      <c r="H373" s="2359">
        <f>'Part III-Sources of Funds'!H17</f>
        <v>0</v>
      </c>
      <c r="I373" s="2359"/>
      <c r="J373" s="2359"/>
      <c r="K373" s="2359"/>
      <c r="L373" s="2396">
        <f>'Part III-Sources of Funds'!L17</f>
        <v>0</v>
      </c>
      <c r="M373" s="2396"/>
      <c r="N373" s="2399"/>
      <c r="O373" s="2399"/>
      <c r="P373" s="2364"/>
      <c r="Q373" s="2364"/>
    </row>
    <row r="374" spans="1:17" ht="13.5">
      <c r="A374" s="790"/>
      <c r="B374" s="2395" t="s">
        <v>854</v>
      </c>
      <c r="C374" s="2395"/>
      <c r="D374" s="2395"/>
      <c r="E374" s="790"/>
      <c r="F374" s="834"/>
      <c r="G374" s="834"/>
      <c r="H374" s="2359">
        <f>'Part III-Sources of Funds'!H18</f>
        <v>0</v>
      </c>
      <c r="I374" s="2359"/>
      <c r="J374" s="2359"/>
      <c r="K374" s="2359"/>
      <c r="L374" s="2396">
        <f>'Part III-Sources of Funds'!L18</f>
        <v>0</v>
      </c>
      <c r="M374" s="2396"/>
      <c r="N374" s="2399"/>
      <c r="O374" s="2399"/>
      <c r="P374" s="2364"/>
      <c r="Q374" s="2364"/>
    </row>
    <row r="375" spans="1:17" ht="13.5">
      <c r="A375" s="790"/>
      <c r="B375" s="2395" t="s">
        <v>681</v>
      </c>
      <c r="C375" s="2395"/>
      <c r="D375" s="2395"/>
      <c r="E375" s="790"/>
      <c r="F375" s="834"/>
      <c r="G375" s="834"/>
      <c r="H375" s="2359">
        <f>'Part III-Sources of Funds'!H19</f>
        <v>0</v>
      </c>
      <c r="I375" s="2359"/>
      <c r="J375" s="2359"/>
      <c r="K375" s="2359"/>
      <c r="L375" s="2396">
        <f>'Part III-Sources of Funds'!L19</f>
        <v>0</v>
      </c>
      <c r="M375" s="2396"/>
      <c r="N375" s="2399"/>
      <c r="O375" s="2399"/>
      <c r="P375" s="2364"/>
      <c r="Q375" s="2364"/>
    </row>
    <row r="376" spans="1:17" ht="13.5">
      <c r="A376" s="790"/>
      <c r="B376" s="2395" t="s">
        <v>855</v>
      </c>
      <c r="C376" s="2395"/>
      <c r="D376" s="2395"/>
      <c r="E376" s="790"/>
      <c r="F376" s="834"/>
      <c r="G376" s="834"/>
      <c r="H376" s="2359" t="str">
        <f>'Part III-Sources of Funds'!H20</f>
        <v>Enterprise Community Investments</v>
      </c>
      <c r="I376" s="2359"/>
      <c r="J376" s="2359"/>
      <c r="K376" s="2359"/>
      <c r="L376" s="2396">
        <f>'Part III-Sources of Funds'!L20</f>
        <v>3869460</v>
      </c>
      <c r="M376" s="2396"/>
      <c r="N376" s="790"/>
      <c r="O376" s="790"/>
      <c r="P376" s="790"/>
      <c r="Q376" s="790"/>
    </row>
    <row r="377" spans="1:17" ht="13.5">
      <c r="A377" s="790"/>
      <c r="B377" s="2395" t="s">
        <v>856</v>
      </c>
      <c r="C377" s="2395"/>
      <c r="D377" s="2395"/>
      <c r="E377" s="790"/>
      <c r="F377" s="834"/>
      <c r="G377" s="834"/>
      <c r="H377" s="2359">
        <f>'Part III-Sources of Funds'!H21</f>
        <v>0</v>
      </c>
      <c r="I377" s="2359"/>
      <c r="J377" s="2359"/>
      <c r="K377" s="2359"/>
      <c r="L377" s="2396">
        <f>'Part III-Sources of Funds'!L21</f>
        <v>0</v>
      </c>
      <c r="M377" s="2396"/>
      <c r="N377" s="790"/>
      <c r="O377" s="790"/>
      <c r="P377" s="790"/>
      <c r="Q377" s="790"/>
    </row>
    <row r="378" spans="1:17">
      <c r="A378" s="790"/>
      <c r="B378" s="790" t="s">
        <v>255</v>
      </c>
      <c r="C378" s="790"/>
      <c r="D378" s="2359">
        <f>'Part III-Sources of Funds'!D22</f>
        <v>0</v>
      </c>
      <c r="E378" s="2359"/>
      <c r="F378" s="2359"/>
      <c r="G378" s="2359"/>
      <c r="H378" s="2359">
        <f>'Part III-Sources of Funds'!H22</f>
        <v>0</v>
      </c>
      <c r="I378" s="2359"/>
      <c r="J378" s="2359"/>
      <c r="K378" s="2359"/>
      <c r="L378" s="2396">
        <f>'Part III-Sources of Funds'!L22</f>
        <v>0</v>
      </c>
      <c r="M378" s="2396"/>
      <c r="N378" s="790"/>
      <c r="O378" s="790"/>
      <c r="P378" s="790"/>
      <c r="Q378" s="790"/>
    </row>
    <row r="379" spans="1:17">
      <c r="A379" s="790"/>
      <c r="B379" s="790" t="s">
        <v>255</v>
      </c>
      <c r="C379" s="790"/>
      <c r="D379" s="2359">
        <f>'Part III-Sources of Funds'!D23</f>
        <v>0</v>
      </c>
      <c r="E379" s="2359"/>
      <c r="F379" s="2359"/>
      <c r="G379" s="2359"/>
      <c r="H379" s="2359">
        <f>'Part III-Sources of Funds'!H23</f>
        <v>0</v>
      </c>
      <c r="I379" s="2359"/>
      <c r="J379" s="2359"/>
      <c r="K379" s="2359"/>
      <c r="L379" s="2396">
        <f>'Part III-Sources of Funds'!L23</f>
        <v>0</v>
      </c>
      <c r="M379" s="2396"/>
      <c r="N379" s="790"/>
      <c r="O379" s="790"/>
      <c r="P379" s="790"/>
      <c r="Q379" s="790"/>
    </row>
    <row r="380" spans="1:17">
      <c r="A380" s="790"/>
      <c r="B380" s="790" t="s">
        <v>255</v>
      </c>
      <c r="C380" s="790"/>
      <c r="D380" s="2359">
        <f>'Part III-Sources of Funds'!D24</f>
        <v>0</v>
      </c>
      <c r="E380" s="2359"/>
      <c r="F380" s="2359"/>
      <c r="G380" s="2359"/>
      <c r="H380" s="2359">
        <f>'Part III-Sources of Funds'!H24</f>
        <v>0</v>
      </c>
      <c r="I380" s="2359"/>
      <c r="J380" s="2359"/>
      <c r="K380" s="2359"/>
      <c r="L380" s="2396">
        <f>'Part III-Sources of Funds'!L24</f>
        <v>0</v>
      </c>
      <c r="M380" s="2396"/>
      <c r="N380" s="790"/>
      <c r="O380" s="790"/>
      <c r="P380" s="790"/>
      <c r="Q380" s="790"/>
    </row>
    <row r="381" spans="1:17" ht="13.5">
      <c r="A381" s="790"/>
      <c r="B381" s="791" t="s">
        <v>1383</v>
      </c>
      <c r="C381" s="790"/>
      <c r="D381" s="790"/>
      <c r="E381" s="790"/>
      <c r="F381" s="790"/>
      <c r="G381" s="790"/>
      <c r="H381" s="790"/>
      <c r="I381" s="790"/>
      <c r="J381" s="834"/>
      <c r="K381" s="834"/>
      <c r="L381" s="2402">
        <f>SUM(L370:L380)</f>
        <v>11335529</v>
      </c>
      <c r="M381" s="2402"/>
      <c r="N381" s="795"/>
      <c r="O381" s="795"/>
      <c r="P381" s="795"/>
      <c r="Q381" s="795"/>
    </row>
    <row r="382" spans="1:17" ht="13.5">
      <c r="A382" s="790"/>
      <c r="B382" s="797" t="s">
        <v>1384</v>
      </c>
      <c r="C382" s="790"/>
      <c r="D382" s="790"/>
      <c r="E382" s="790"/>
      <c r="F382" s="790"/>
      <c r="G382" s="790"/>
      <c r="H382" s="790"/>
      <c r="I382" s="790"/>
      <c r="J382" s="834"/>
      <c r="K382" s="834"/>
      <c r="L382" s="2402">
        <f>'Part III-Sources of Funds'!L26</f>
        <v>11257616</v>
      </c>
      <c r="M382" s="2402"/>
      <c r="N382" s="2403"/>
      <c r="O382" s="2403"/>
      <c r="P382" s="2403"/>
      <c r="Q382" s="2403"/>
    </row>
    <row r="383" spans="1:17" ht="13.5">
      <c r="A383" s="790"/>
      <c r="B383" s="797" t="s">
        <v>2294</v>
      </c>
      <c r="C383" s="790"/>
      <c r="D383" s="790"/>
      <c r="E383" s="790"/>
      <c r="F383" s="790"/>
      <c r="G383" s="790"/>
      <c r="H383" s="790"/>
      <c r="I383" s="790"/>
      <c r="J383" s="834"/>
      <c r="K383" s="834"/>
      <c r="L383" s="2404">
        <f>L381-L382</f>
        <v>77913</v>
      </c>
      <c r="M383" s="2404"/>
      <c r="N383" s="2403"/>
      <c r="O383" s="2403"/>
      <c r="P383" s="2403"/>
      <c r="Q383" s="2403"/>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791</v>
      </c>
      <c r="B385" s="791" t="s">
        <v>853</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64"/>
      <c r="I386" s="2364"/>
      <c r="J386" s="802" t="s">
        <v>2236</v>
      </c>
      <c r="K386" s="794" t="s">
        <v>1380</v>
      </c>
      <c r="L386" s="794" t="s">
        <v>1385</v>
      </c>
      <c r="M386" s="2374" t="s">
        <v>36</v>
      </c>
      <c r="N386" s="2374"/>
      <c r="O386" s="794"/>
      <c r="P386" s="794"/>
      <c r="Q386" s="2405" t="s">
        <v>2492</v>
      </c>
    </row>
    <row r="387" spans="1:17">
      <c r="A387" s="790"/>
      <c r="B387" s="797" t="s">
        <v>2000</v>
      </c>
      <c r="C387" s="790"/>
      <c r="D387" s="790"/>
      <c r="E387" s="2395" t="s">
        <v>1382</v>
      </c>
      <c r="F387" s="2395"/>
      <c r="G387" s="2395"/>
      <c r="H387" s="2364" t="s">
        <v>518</v>
      </c>
      <c r="I387" s="2364"/>
      <c r="J387" s="794" t="s">
        <v>1932</v>
      </c>
      <c r="K387" s="794" t="s">
        <v>2357</v>
      </c>
      <c r="L387" s="794" t="s">
        <v>2357</v>
      </c>
      <c r="M387" s="2374"/>
      <c r="N387" s="2374"/>
      <c r="O387" s="2364" t="s">
        <v>77</v>
      </c>
      <c r="P387" s="2364"/>
      <c r="Q387" s="2405"/>
    </row>
    <row r="388" spans="1:17">
      <c r="A388" s="790"/>
      <c r="B388" s="2395" t="s">
        <v>2796</v>
      </c>
      <c r="C388" s="2395"/>
      <c r="D388" s="2395"/>
      <c r="E388" s="2359" t="str">
        <f>'Part III-Sources of Funds'!E32</f>
        <v>Community and Southern Bank</v>
      </c>
      <c r="F388" s="2395"/>
      <c r="G388" s="2395"/>
      <c r="H388" s="2400">
        <f>'Part III-Sources of Funds'!H32</f>
        <v>1515000</v>
      </c>
      <c r="I388" s="2395"/>
      <c r="J388" s="841">
        <f>'Part III-Sources of Funds'!J32</f>
        <v>6.5000000000000002E-2</v>
      </c>
      <c r="K388" s="794">
        <f>'Part III-Sources of Funds'!K32</f>
        <v>18</v>
      </c>
      <c r="L388" s="794">
        <f>'Part III-Sources of Funds'!L32</f>
        <v>30</v>
      </c>
      <c r="M388" s="2401">
        <f>'Part III-Sources of Funds'!M32</f>
        <v>114909.96667102081</v>
      </c>
      <c r="N388" s="2401"/>
      <c r="O388" s="2364" t="str">
        <f>'Part III-Sources of Funds'!O32</f>
        <v>Amortizing</v>
      </c>
      <c r="P388" s="2364"/>
      <c r="Q388" s="842">
        <f>'Part III-Sources of Funds'!Q32</f>
        <v>1.66</v>
      </c>
    </row>
    <row r="389" spans="1:17">
      <c r="A389" s="790"/>
      <c r="B389" s="2395" t="s">
        <v>2797</v>
      </c>
      <c r="C389" s="2395"/>
      <c r="D389" s="2395"/>
      <c r="E389" s="2359">
        <f>'Part III-Sources of Funds'!E33</f>
        <v>0</v>
      </c>
      <c r="F389" s="2395"/>
      <c r="G389" s="2395"/>
      <c r="H389" s="2400">
        <f>'Part III-Sources of Funds'!H33</f>
        <v>0</v>
      </c>
      <c r="I389" s="2395"/>
      <c r="J389" s="841">
        <f>'Part III-Sources of Funds'!J33</f>
        <v>0</v>
      </c>
      <c r="K389" s="794">
        <f>'Part III-Sources of Funds'!K33</f>
        <v>0</v>
      </c>
      <c r="L389" s="794">
        <f>'Part III-Sources of Funds'!L33</f>
        <v>0</v>
      </c>
      <c r="M389" s="2401" t="str">
        <f>'Part III-Sources of Funds'!M33</f>
        <v/>
      </c>
      <c r="N389" s="2401"/>
      <c r="O389" s="2364">
        <f>'Part III-Sources of Funds'!O33</f>
        <v>0</v>
      </c>
      <c r="P389" s="2364"/>
      <c r="Q389" s="842">
        <f>'Part III-Sources of Funds'!Q33</f>
        <v>0</v>
      </c>
    </row>
    <row r="390" spans="1:17">
      <c r="A390" s="790"/>
      <c r="B390" s="2395" t="s">
        <v>2798</v>
      </c>
      <c r="C390" s="2395"/>
      <c r="D390" s="2395"/>
      <c r="E390" s="2359">
        <f>'Part III-Sources of Funds'!E34</f>
        <v>0</v>
      </c>
      <c r="F390" s="2395"/>
      <c r="G390" s="2395"/>
      <c r="H390" s="2400">
        <f>'Part III-Sources of Funds'!H34</f>
        <v>0</v>
      </c>
      <c r="I390" s="2395"/>
      <c r="J390" s="841">
        <f>'Part III-Sources of Funds'!J34</f>
        <v>0</v>
      </c>
      <c r="K390" s="794">
        <f>'Part III-Sources of Funds'!K34</f>
        <v>0</v>
      </c>
      <c r="L390" s="794">
        <f>'Part III-Sources of Funds'!L34</f>
        <v>0</v>
      </c>
      <c r="M390" s="2401" t="str">
        <f>'Part III-Sources of Funds'!M34</f>
        <v/>
      </c>
      <c r="N390" s="2401"/>
      <c r="O390" s="2364">
        <f>'Part III-Sources of Funds'!O34</f>
        <v>0</v>
      </c>
      <c r="P390" s="2364"/>
      <c r="Q390" s="842">
        <f>'Part III-Sources of Funds'!Q34</f>
        <v>0</v>
      </c>
    </row>
    <row r="391" spans="1:17">
      <c r="A391" s="790"/>
      <c r="B391" s="790" t="s">
        <v>790</v>
      </c>
      <c r="C391" s="2359">
        <f>'Part III-Sources of Funds'!C35</f>
        <v>0</v>
      </c>
      <c r="D391" s="2359"/>
      <c r="E391" s="2359">
        <f>'Part III-Sources of Funds'!E35</f>
        <v>0</v>
      </c>
      <c r="F391" s="2395"/>
      <c r="G391" s="2395"/>
      <c r="H391" s="2400">
        <f>'Part III-Sources of Funds'!H35</f>
        <v>0</v>
      </c>
      <c r="I391" s="2395"/>
      <c r="J391" s="841">
        <f>'Part III-Sources of Funds'!J35</f>
        <v>0</v>
      </c>
      <c r="K391" s="794">
        <f>'Part III-Sources of Funds'!K35</f>
        <v>0</v>
      </c>
      <c r="L391" s="794">
        <f>'Part III-Sources of Funds'!L35</f>
        <v>0</v>
      </c>
      <c r="M391" s="2401" t="str">
        <f>'Part III-Sources of Funds'!M35</f>
        <v/>
      </c>
      <c r="N391" s="2401"/>
      <c r="O391" s="2364">
        <f>'Part III-Sources of Funds'!O35</f>
        <v>0</v>
      </c>
      <c r="P391" s="2364"/>
      <c r="Q391" s="842">
        <f>'Part III-Sources of Funds'!Q35</f>
        <v>0</v>
      </c>
    </row>
    <row r="392" spans="1:17">
      <c r="A392" s="790"/>
      <c r="B392" s="790" t="s">
        <v>3021</v>
      </c>
      <c r="C392" s="790"/>
      <c r="D392" s="790"/>
      <c r="E392" s="2359">
        <f>'Part III-Sources of Funds'!E36</f>
        <v>0</v>
      </c>
      <c r="F392" s="2395"/>
      <c r="G392" s="2395"/>
      <c r="H392" s="2400">
        <f>'Part III-Sources of Funds'!H36</f>
        <v>0</v>
      </c>
      <c r="I392" s="2395"/>
      <c r="J392" s="841"/>
      <c r="K392" s="794"/>
      <c r="L392" s="794"/>
      <c r="M392" s="2401" t="str">
        <f>IF(OR(H392&lt;=0,H392=""),"",IF(O392="Amortizing",-PMT(J392/12,L392*12,H392,0,0)*12,""))</f>
        <v/>
      </c>
      <c r="N392" s="2401"/>
      <c r="O392" s="2364"/>
      <c r="P392" s="2364"/>
      <c r="Q392" s="842"/>
    </row>
    <row r="393" spans="1:17">
      <c r="A393" s="790"/>
      <c r="B393" s="790" t="s">
        <v>239</v>
      </c>
      <c r="C393" s="790"/>
      <c r="D393" s="843">
        <f>IF(OR(H393="",H393=0,'Part IV-Uses of Funds'!$G$116="",'Part IV-Uses of Funds'!$G$116=0),"",H393/'Part IV-Uses of Funds'!$G$116)</f>
        <v>6.7197056035984776E-2</v>
      </c>
      <c r="E393" s="2359" t="str">
        <f>'Part III-Sources of Funds'!E37</f>
        <v>Prestwick Development Company, LLC</v>
      </c>
      <c r="F393" s="2395"/>
      <c r="G393" s="2395"/>
      <c r="H393" s="2400">
        <f>'Part III-Sources of Funds'!H37</f>
        <v>119751</v>
      </c>
      <c r="I393" s="2395"/>
      <c r="J393" s="841">
        <f>'Part III-Sources of Funds'!J37</f>
        <v>0</v>
      </c>
      <c r="K393" s="794">
        <f>'Part III-Sources of Funds'!K37</f>
        <v>2</v>
      </c>
      <c r="L393" s="794">
        <f>'Part III-Sources of Funds'!L37</f>
        <v>2</v>
      </c>
      <c r="M393" s="2401" t="str">
        <f>'Part III-Sources of Funds'!M37</f>
        <v/>
      </c>
      <c r="N393" s="2401"/>
      <c r="O393" s="2364" t="str">
        <f>'Part III-Sources of Funds'!O37</f>
        <v>Cash Flow</v>
      </c>
      <c r="P393" s="2364"/>
      <c r="Q393" s="842">
        <f>'Part III-Sources of Funds'!Q37</f>
        <v>0</v>
      </c>
    </row>
    <row r="394" spans="1:17" ht="13.5">
      <c r="A394" s="790"/>
      <c r="B394" s="2395" t="s">
        <v>2358</v>
      </c>
      <c r="C394" s="2395"/>
      <c r="D394" s="2395"/>
      <c r="E394" s="2359">
        <f>'Part III-Sources of Funds'!E38</f>
        <v>0</v>
      </c>
      <c r="F394" s="2395"/>
      <c r="G394" s="2395"/>
      <c r="H394" s="2400">
        <f>'Part III-Sources of Funds'!H38</f>
        <v>0</v>
      </c>
      <c r="I394" s="2395"/>
      <c r="J394" s="834"/>
      <c r="K394" s="790"/>
      <c r="L394" s="790"/>
      <c r="M394" s="790"/>
      <c r="N394" s="790"/>
      <c r="O394" s="790"/>
      <c r="P394" s="790"/>
      <c r="Q394" s="790"/>
    </row>
    <row r="395" spans="1:17" ht="13.5">
      <c r="A395" s="790"/>
      <c r="B395" s="2395" t="s">
        <v>854</v>
      </c>
      <c r="C395" s="2395"/>
      <c r="D395" s="2395"/>
      <c r="E395" s="2359">
        <f>'Part III-Sources of Funds'!E39</f>
        <v>0</v>
      </c>
      <c r="F395" s="2395"/>
      <c r="G395" s="2395"/>
      <c r="H395" s="2400">
        <f>'Part III-Sources of Funds'!H39</f>
        <v>0</v>
      </c>
      <c r="I395" s="2395"/>
      <c r="J395" s="2408" t="s">
        <v>549</v>
      </c>
      <c r="K395" s="2408"/>
      <c r="L395" s="2409" t="s">
        <v>550</v>
      </c>
      <c r="M395" s="2409"/>
      <c r="N395" s="834"/>
      <c r="O395" s="794" t="s">
        <v>548</v>
      </c>
      <c r="P395" s="844"/>
      <c r="Q395" s="790"/>
    </row>
    <row r="396" spans="1:17" ht="13.5">
      <c r="A396" s="790"/>
      <c r="B396" s="2395" t="s">
        <v>855</v>
      </c>
      <c r="C396" s="2395"/>
      <c r="D396" s="2395"/>
      <c r="E396" s="2359" t="str">
        <f>'Part III-Sources of Funds'!E40</f>
        <v>Enterprise Community Investments</v>
      </c>
      <c r="F396" s="2395"/>
      <c r="G396" s="2395"/>
      <c r="H396" s="2400">
        <f>'Part III-Sources of Funds'!H40</f>
        <v>8998200</v>
      </c>
      <c r="I396" s="2395"/>
      <c r="J396" s="2406">
        <f>'Part IV-Uses of Funds'!$J$173*10*'Part IV-Uses of Funds'!$N$166</f>
        <v>9000000</v>
      </c>
      <c r="K396" s="2406"/>
      <c r="L396" s="2407">
        <f>H396-J396</f>
        <v>-1800</v>
      </c>
      <c r="M396" s="2407"/>
      <c r="N396" s="834"/>
      <c r="O396" s="845" t="s">
        <v>2741</v>
      </c>
      <c r="P396" s="844"/>
      <c r="Q396" s="790"/>
    </row>
    <row r="397" spans="1:17" ht="13.5">
      <c r="A397" s="790"/>
      <c r="B397" s="2395" t="s">
        <v>856</v>
      </c>
      <c r="C397" s="2395"/>
      <c r="D397" s="2395"/>
      <c r="E397" s="2359" t="str">
        <f>'Part III-Sources of Funds'!E41</f>
        <v>Enterprise Community Investments</v>
      </c>
      <c r="F397" s="2395"/>
      <c r="G397" s="2395"/>
      <c r="H397" s="2400">
        <f>'Part III-Sources of Funds'!H41</f>
        <v>3900000</v>
      </c>
      <c r="I397" s="2395"/>
      <c r="J397" s="2406">
        <f>'Part IV-Uses of Funds'!$J$173*10*'Part IV-Uses of Funds'!$Q$166</f>
        <v>3900000</v>
      </c>
      <c r="K397" s="2406"/>
      <c r="L397" s="2407">
        <f>H397-J397</f>
        <v>0</v>
      </c>
      <c r="M397" s="2407"/>
      <c r="N397" s="834"/>
      <c r="O397" s="846">
        <f>H396/H406</f>
        <v>0.61915849024743841</v>
      </c>
      <c r="P397" s="844"/>
      <c r="Q397" s="790"/>
    </row>
    <row r="398" spans="1:17" ht="13.5">
      <c r="A398" s="790"/>
      <c r="B398" s="2395" t="s">
        <v>1501</v>
      </c>
      <c r="C398" s="2395"/>
      <c r="D398" s="2395"/>
      <c r="E398" s="2359">
        <f>'Part III-Sources of Funds'!E42</f>
        <v>0</v>
      </c>
      <c r="F398" s="2395"/>
      <c r="G398" s="2395"/>
      <c r="H398" s="2400">
        <f>'Part III-Sources of Funds'!H42</f>
        <v>0</v>
      </c>
      <c r="I398" s="2395"/>
      <c r="J398" s="834"/>
      <c r="K398" s="834"/>
      <c r="L398" s="834"/>
      <c r="M398" s="844"/>
      <c r="N398" s="834"/>
      <c r="O398" s="846">
        <f>H397/H406</f>
        <v>0.26835568357727208</v>
      </c>
      <c r="P398" s="844"/>
      <c r="Q398" s="790"/>
    </row>
    <row r="399" spans="1:17" ht="13.5">
      <c r="A399" s="790"/>
      <c r="B399" s="790" t="s">
        <v>563</v>
      </c>
      <c r="C399" s="790"/>
      <c r="D399" s="790"/>
      <c r="E399" s="2359">
        <f>'Part III-Sources of Funds'!E43</f>
        <v>0</v>
      </c>
      <c r="F399" s="2395"/>
      <c r="G399" s="2395"/>
      <c r="H399" s="2400">
        <f>'Part III-Sources of Funds'!H43</f>
        <v>0</v>
      </c>
      <c r="I399" s="2395"/>
      <c r="J399" s="834"/>
      <c r="K399" s="790"/>
      <c r="L399" s="790"/>
      <c r="M399" s="844"/>
      <c r="N399" s="834"/>
      <c r="O399" s="846">
        <f>SUM(O397:O398)</f>
        <v>0.88751417382471054</v>
      </c>
      <c r="P399" s="844"/>
      <c r="Q399" s="790"/>
    </row>
    <row r="400" spans="1:17" ht="13.5">
      <c r="A400" s="790"/>
      <c r="B400" s="790" t="s">
        <v>1998</v>
      </c>
      <c r="C400" s="790"/>
      <c r="D400" s="790"/>
      <c r="E400" s="2359">
        <f>'Part III-Sources of Funds'!E44</f>
        <v>0</v>
      </c>
      <c r="F400" s="2395"/>
      <c r="G400" s="2395"/>
      <c r="H400" s="2400">
        <f>'Part III-Sources of Funds'!H44</f>
        <v>0</v>
      </c>
      <c r="I400" s="2395"/>
      <c r="J400" s="790"/>
      <c r="K400" s="834"/>
      <c r="L400" s="834"/>
      <c r="M400" s="844"/>
      <c r="N400" s="844"/>
      <c r="O400" s="844"/>
      <c r="P400" s="844"/>
      <c r="Q400" s="790"/>
    </row>
    <row r="401" spans="1:20" ht="13.5">
      <c r="A401" s="790"/>
      <c r="B401" s="790" t="s">
        <v>1999</v>
      </c>
      <c r="C401" s="790"/>
      <c r="D401" s="790"/>
      <c r="E401" s="2359">
        <f>'Part III-Sources of Funds'!E45</f>
        <v>0</v>
      </c>
      <c r="F401" s="2395"/>
      <c r="G401" s="2395"/>
      <c r="H401" s="2400">
        <f>'Part III-Sources of Funds'!H45</f>
        <v>0</v>
      </c>
      <c r="I401" s="2395"/>
      <c r="J401" s="790"/>
      <c r="K401" s="834"/>
      <c r="L401" s="834"/>
      <c r="M401" s="844"/>
      <c r="N401" s="844"/>
      <c r="O401" s="844"/>
      <c r="P401" s="844"/>
      <c r="Q401" s="790"/>
    </row>
    <row r="402" spans="1:20" ht="13.5">
      <c r="A402" s="790"/>
      <c r="B402" s="790" t="s">
        <v>790</v>
      </c>
      <c r="C402" s="2359">
        <f>'Part III-Sources of Funds'!C46</f>
        <v>0</v>
      </c>
      <c r="D402" s="2359"/>
      <c r="E402" s="2359">
        <f>'Part III-Sources of Funds'!E46</f>
        <v>0</v>
      </c>
      <c r="F402" s="2395"/>
      <c r="G402" s="2395"/>
      <c r="H402" s="2400">
        <f>'Part III-Sources of Funds'!H46</f>
        <v>0</v>
      </c>
      <c r="I402" s="2395"/>
      <c r="J402" s="790"/>
      <c r="K402" s="834"/>
      <c r="L402" s="834"/>
      <c r="M402" s="844"/>
      <c r="N402" s="844"/>
      <c r="O402" s="844"/>
      <c r="P402" s="844"/>
      <c r="Q402" s="790"/>
    </row>
    <row r="403" spans="1:20">
      <c r="A403" s="790"/>
      <c r="B403" s="790" t="s">
        <v>790</v>
      </c>
      <c r="C403" s="2359">
        <f>'Part III-Sources of Funds'!C47</f>
        <v>0</v>
      </c>
      <c r="D403" s="2359"/>
      <c r="E403" s="2359">
        <f>'Part III-Sources of Funds'!E47</f>
        <v>0</v>
      </c>
      <c r="F403" s="2395"/>
      <c r="G403" s="2395"/>
      <c r="H403" s="2400">
        <f>'Part III-Sources of Funds'!H47</f>
        <v>0</v>
      </c>
      <c r="I403" s="2395"/>
      <c r="J403" s="790"/>
      <c r="K403" s="790"/>
      <c r="L403" s="794"/>
      <c r="M403" s="844"/>
      <c r="N403" s="844"/>
      <c r="O403" s="844"/>
      <c r="P403" s="844"/>
      <c r="Q403" s="790"/>
    </row>
    <row r="404" spans="1:20">
      <c r="A404" s="790"/>
      <c r="B404" s="790" t="s">
        <v>790</v>
      </c>
      <c r="C404" s="2359">
        <f>'Part III-Sources of Funds'!C48</f>
        <v>0</v>
      </c>
      <c r="D404" s="2359"/>
      <c r="E404" s="2359">
        <f>'Part III-Sources of Funds'!E48</f>
        <v>0</v>
      </c>
      <c r="F404" s="2395"/>
      <c r="G404" s="2395"/>
      <c r="H404" s="2400">
        <f>'Part III-Sources of Funds'!H48</f>
        <v>0</v>
      </c>
      <c r="I404" s="2395"/>
      <c r="J404" s="790"/>
      <c r="K404" s="790"/>
      <c r="L404" s="794"/>
      <c r="M404" s="844"/>
      <c r="N404" s="844"/>
      <c r="O404" s="844"/>
      <c r="P404" s="844"/>
      <c r="Q404" s="790"/>
    </row>
    <row r="405" spans="1:20">
      <c r="A405" s="790"/>
      <c r="B405" s="797" t="s">
        <v>2359</v>
      </c>
      <c r="C405" s="790"/>
      <c r="D405" s="790"/>
      <c r="E405" s="790"/>
      <c r="F405" s="790"/>
      <c r="G405" s="790"/>
      <c r="H405" s="2410">
        <f>SUM(H388:I404)</f>
        <v>14532951</v>
      </c>
      <c r="I405" s="2410"/>
      <c r="J405" s="795"/>
      <c r="K405" s="790"/>
      <c r="L405" s="794"/>
      <c r="M405" s="844"/>
      <c r="N405" s="844"/>
      <c r="O405" s="844"/>
      <c r="P405" s="844"/>
      <c r="Q405" s="790"/>
    </row>
    <row r="406" spans="1:20">
      <c r="A406" s="790"/>
      <c r="B406" s="797" t="s">
        <v>2360</v>
      </c>
      <c r="C406" s="790"/>
      <c r="D406" s="790"/>
      <c r="E406" s="790"/>
      <c r="F406" s="790"/>
      <c r="G406" s="790"/>
      <c r="H406" s="2410">
        <f>'Part IV-Uses of Funds'!$G$130</f>
        <v>14532951</v>
      </c>
      <c r="I406" s="2410"/>
      <c r="J406" s="795"/>
      <c r="K406" s="790"/>
      <c r="L406" s="794"/>
      <c r="M406" s="844"/>
      <c r="N406" s="844"/>
      <c r="O406" s="844"/>
      <c r="P406" s="844"/>
      <c r="Q406" s="790"/>
    </row>
    <row r="407" spans="1:20">
      <c r="A407" s="790"/>
      <c r="B407" s="797" t="s">
        <v>1630</v>
      </c>
      <c r="C407" s="790"/>
      <c r="D407" s="790"/>
      <c r="E407" s="790"/>
      <c r="F407" s="790"/>
      <c r="G407" s="790"/>
      <c r="H407" s="2411">
        <f>H405-H406</f>
        <v>0</v>
      </c>
      <c r="I407" s="2411"/>
      <c r="J407" s="795"/>
      <c r="K407" s="790"/>
      <c r="L407" s="794"/>
      <c r="M407" s="844"/>
      <c r="N407" s="844"/>
      <c r="O407" s="844"/>
      <c r="P407" s="844"/>
      <c r="Q407" s="790"/>
    </row>
    <row r="408" spans="1:20">
      <c r="A408" s="790" t="s">
        <v>3022</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1915</v>
      </c>
      <c r="B410" s="793" t="s">
        <v>607</v>
      </c>
      <c r="C410" s="795"/>
      <c r="D410" s="795"/>
      <c r="E410" s="795"/>
      <c r="F410" s="795"/>
      <c r="G410" s="795"/>
      <c r="H410" s="795"/>
      <c r="I410" s="795"/>
      <c r="J410" s="795"/>
      <c r="K410" s="793" t="s">
        <v>1915</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80" t="str">
        <f>'Part III-Sources of Funds'!A56</f>
        <v>DCA's "Equity Check" calculation is incorrect. The Federal Investor receives 99.98% of the federal tax credits in a transaction. The State LP receives .01% and the GP receives .01% of the federal credits. Therefore, only 99.98% of the federal credits should be used in the calculation. The calculation should be:  $1,000,000 X 10 X .90 X .9998 = $8,998,200 as shown above in our permanent sources.</v>
      </c>
      <c r="B412" s="2341"/>
      <c r="C412" s="2341"/>
      <c r="D412" s="2341"/>
      <c r="E412" s="2341"/>
      <c r="F412" s="2341"/>
      <c r="G412" s="2341"/>
      <c r="H412" s="2341"/>
      <c r="I412" s="2341"/>
      <c r="J412" s="2341"/>
      <c r="K412" s="2380">
        <f>'Part III-Sources of Funds'!K56</f>
        <v>0</v>
      </c>
      <c r="L412" s="2341"/>
      <c r="M412" s="2341"/>
      <c r="N412" s="2341"/>
      <c r="O412" s="2341"/>
      <c r="P412" s="2341"/>
      <c r="Q412" s="2341"/>
    </row>
    <row r="415" spans="1:20">
      <c r="A415" s="2356" t="str">
        <f>CONCATENATE("PART FOUR -  USES OF FUNDS","  -  ",'Part I-Project Information'!$O$4," ",'Part I-Project Information'!$F$23,", ",'Part I-Project Information'!F441,", ",'Part I-Project Information'!J442," County")</f>
        <v>PART FOUR -  USES OF FUNDS  -  2014-006 North Grove Apartments, , Fitzgerald/Ben Hill County Development Authority County</v>
      </c>
      <c r="B415" s="2356"/>
      <c r="C415" s="2356"/>
      <c r="D415" s="2356"/>
      <c r="E415" s="2356"/>
      <c r="F415" s="2356"/>
      <c r="G415" s="2356"/>
      <c r="H415" s="2356"/>
      <c r="I415" s="2356"/>
      <c r="J415" s="2356"/>
      <c r="K415" s="2356"/>
      <c r="L415" s="2356"/>
      <c r="M415" s="2356"/>
      <c r="N415" s="2356"/>
      <c r="O415" s="2356"/>
      <c r="P415" s="2356"/>
      <c r="Q415" s="2356"/>
      <c r="R415" s="2356"/>
      <c r="S415" s="2356"/>
      <c r="T415" s="2356"/>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656</v>
      </c>
      <c r="B419" s="850" t="s">
        <v>955</v>
      </c>
      <c r="C419" s="790"/>
      <c r="D419" s="850"/>
      <c r="E419" s="850"/>
      <c r="F419" s="850"/>
      <c r="G419" s="850"/>
      <c r="H419" s="850"/>
      <c r="I419" s="850"/>
      <c r="J419" s="2412" t="s">
        <v>285</v>
      </c>
      <c r="K419" s="2412"/>
      <c r="L419" s="851"/>
      <c r="M419" s="2413" t="s">
        <v>519</v>
      </c>
      <c r="N419" s="2413"/>
      <c r="O419" s="790"/>
      <c r="P419" s="2412" t="s">
        <v>286</v>
      </c>
      <c r="Q419" s="2412"/>
      <c r="R419" s="790"/>
      <c r="S419" s="2412" t="s">
        <v>287</v>
      </c>
      <c r="T419" s="2412"/>
    </row>
    <row r="420" spans="1:20">
      <c r="A420" s="790"/>
      <c r="B420" s="790"/>
      <c r="C420" s="790"/>
      <c r="D420" s="790"/>
      <c r="E420" s="790"/>
      <c r="F420" s="790"/>
      <c r="G420" s="2356" t="s">
        <v>104</v>
      </c>
      <c r="H420" s="2356"/>
      <c r="I420" s="790"/>
      <c r="J420" s="2412"/>
      <c r="K420" s="2412"/>
      <c r="L420" s="851"/>
      <c r="M420" s="2413"/>
      <c r="N420" s="2413"/>
      <c r="O420" s="790"/>
      <c r="P420" s="2412"/>
      <c r="Q420" s="2412"/>
      <c r="R420" s="790"/>
      <c r="S420" s="2412"/>
      <c r="T420" s="2412"/>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2135</v>
      </c>
      <c r="C422" s="790"/>
      <c r="D422" s="790"/>
      <c r="E422" s="790"/>
      <c r="F422" s="790"/>
      <c r="G422" s="2396">
        <f>'Part IV-Uses of Funds'!G8</f>
        <v>10000</v>
      </c>
      <c r="H422" s="2396"/>
      <c r="I422" s="790"/>
      <c r="J422" s="2396">
        <f>'Part IV-Uses of Funds'!J8</f>
        <v>0</v>
      </c>
      <c r="K422" s="2396"/>
      <c r="L422" s="805"/>
      <c r="M422" s="2396">
        <f>'Part IV-Uses of Funds'!M8</f>
        <v>0</v>
      </c>
      <c r="N422" s="2396"/>
      <c r="O422" s="790"/>
      <c r="P422" s="2396">
        <f>'Part IV-Uses of Funds'!P8</f>
        <v>10000</v>
      </c>
      <c r="Q422" s="2396"/>
      <c r="R422" s="790"/>
      <c r="S422" s="2396">
        <f>'Part IV-Uses of Funds'!S8</f>
        <v>0</v>
      </c>
      <c r="T422" s="2396"/>
    </row>
    <row r="423" spans="1:20">
      <c r="A423" s="790"/>
      <c r="B423" s="790" t="s">
        <v>481</v>
      </c>
      <c r="C423" s="790"/>
      <c r="D423" s="790"/>
      <c r="E423" s="790"/>
      <c r="F423" s="790"/>
      <c r="G423" s="2396">
        <f>'Part IV-Uses of Funds'!G9</f>
        <v>16000</v>
      </c>
      <c r="H423" s="2396"/>
      <c r="I423" s="790"/>
      <c r="J423" s="2396">
        <f>'Part IV-Uses of Funds'!J9</f>
        <v>0</v>
      </c>
      <c r="K423" s="2396"/>
      <c r="L423" s="805"/>
      <c r="M423" s="2396">
        <f>'Part IV-Uses of Funds'!M9</f>
        <v>0</v>
      </c>
      <c r="N423" s="2396"/>
      <c r="O423" s="790"/>
      <c r="P423" s="2396">
        <f>'Part IV-Uses of Funds'!P9</f>
        <v>16000</v>
      </c>
      <c r="Q423" s="2396"/>
      <c r="R423" s="790"/>
      <c r="S423" s="2396">
        <f>'Part IV-Uses of Funds'!S9</f>
        <v>0</v>
      </c>
      <c r="T423" s="2396"/>
    </row>
    <row r="424" spans="1:20">
      <c r="A424" s="790"/>
      <c r="B424" s="790" t="s">
        <v>516</v>
      </c>
      <c r="C424" s="790"/>
      <c r="D424" s="790"/>
      <c r="E424" s="790"/>
      <c r="F424" s="790"/>
      <c r="G424" s="2396">
        <f>'Part IV-Uses of Funds'!G10</f>
        <v>21000</v>
      </c>
      <c r="H424" s="2396"/>
      <c r="I424" s="790"/>
      <c r="J424" s="2396">
        <f>'Part IV-Uses of Funds'!J10</f>
        <v>0</v>
      </c>
      <c r="K424" s="2396"/>
      <c r="L424" s="805"/>
      <c r="M424" s="2396">
        <f>'Part IV-Uses of Funds'!M10</f>
        <v>0</v>
      </c>
      <c r="N424" s="2396"/>
      <c r="O424" s="790"/>
      <c r="P424" s="2396">
        <f>'Part IV-Uses of Funds'!P10</f>
        <v>21000</v>
      </c>
      <c r="Q424" s="2396"/>
      <c r="R424" s="790"/>
      <c r="S424" s="2396">
        <f>'Part IV-Uses of Funds'!S10</f>
        <v>0</v>
      </c>
      <c r="T424" s="2396"/>
    </row>
    <row r="425" spans="1:20">
      <c r="A425" s="790"/>
      <c r="B425" s="790" t="s">
        <v>517</v>
      </c>
      <c r="C425" s="790"/>
      <c r="D425" s="790"/>
      <c r="E425" s="790"/>
      <c r="F425" s="790"/>
      <c r="G425" s="2396">
        <f>'Part IV-Uses of Funds'!G11</f>
        <v>4400</v>
      </c>
      <c r="H425" s="2396"/>
      <c r="I425" s="790"/>
      <c r="J425" s="2396">
        <f>'Part IV-Uses of Funds'!J11</f>
        <v>0</v>
      </c>
      <c r="K425" s="2396"/>
      <c r="L425" s="805"/>
      <c r="M425" s="2396">
        <f>'Part IV-Uses of Funds'!M11</f>
        <v>0</v>
      </c>
      <c r="N425" s="2396"/>
      <c r="O425" s="790"/>
      <c r="P425" s="2396">
        <f>'Part IV-Uses of Funds'!P11</f>
        <v>4400</v>
      </c>
      <c r="Q425" s="2396"/>
      <c r="R425" s="790"/>
      <c r="S425" s="2396">
        <f>'Part IV-Uses of Funds'!S11</f>
        <v>0</v>
      </c>
      <c r="T425" s="2396"/>
    </row>
    <row r="426" spans="1:20">
      <c r="A426" s="790"/>
      <c r="B426" s="790" t="s">
        <v>2667</v>
      </c>
      <c r="C426" s="790"/>
      <c r="D426" s="790"/>
      <c r="E426" s="790"/>
      <c r="F426" s="790"/>
      <c r="G426" s="2396">
        <f>'Part IV-Uses of Funds'!G12</f>
        <v>5500</v>
      </c>
      <c r="H426" s="2396"/>
      <c r="I426" s="790"/>
      <c r="J426" s="2396">
        <f>'Part IV-Uses of Funds'!J12</f>
        <v>0</v>
      </c>
      <c r="K426" s="2396"/>
      <c r="L426" s="805"/>
      <c r="M426" s="2396">
        <f>'Part IV-Uses of Funds'!M12</f>
        <v>0</v>
      </c>
      <c r="N426" s="2396"/>
      <c r="O426" s="790"/>
      <c r="P426" s="2396">
        <f>'Part IV-Uses of Funds'!P12</f>
        <v>5500</v>
      </c>
      <c r="Q426" s="2396"/>
      <c r="R426" s="790"/>
      <c r="S426" s="2396">
        <f>'Part IV-Uses of Funds'!S12</f>
        <v>0</v>
      </c>
      <c r="T426" s="2396"/>
    </row>
    <row r="427" spans="1:20">
      <c r="A427" s="790"/>
      <c r="B427" s="790" t="s">
        <v>198</v>
      </c>
      <c r="C427" s="790"/>
      <c r="D427" s="790"/>
      <c r="E427" s="790"/>
      <c r="F427" s="790"/>
      <c r="G427" s="2396">
        <f>'Part IV-Uses of Funds'!G13</f>
        <v>0</v>
      </c>
      <c r="H427" s="2396"/>
      <c r="I427" s="790"/>
      <c r="J427" s="2396">
        <f>'Part IV-Uses of Funds'!J13</f>
        <v>0</v>
      </c>
      <c r="K427" s="2396"/>
      <c r="L427" s="805"/>
      <c r="M427" s="2396">
        <f>'Part IV-Uses of Funds'!M13</f>
        <v>0</v>
      </c>
      <c r="N427" s="2396"/>
      <c r="O427" s="790"/>
      <c r="P427" s="2396">
        <f>'Part IV-Uses of Funds'!P13</f>
        <v>0</v>
      </c>
      <c r="Q427" s="2396"/>
      <c r="R427" s="790"/>
      <c r="S427" s="2396">
        <f>'Part IV-Uses of Funds'!S13</f>
        <v>0</v>
      </c>
      <c r="T427" s="2396"/>
    </row>
    <row r="428" spans="1:20" ht="12.75" customHeight="1">
      <c r="A428" s="852" t="str">
        <f>IF(AND(G428&gt;0,OR(C428="",C428="&lt;Enter detailed description here; use Comments section if needed&gt;")),"X","")</f>
        <v/>
      </c>
      <c r="B428" s="790" t="s">
        <v>790</v>
      </c>
      <c r="C428" s="2359">
        <f>'Part IV-Uses of Funds'!C14</f>
        <v>0</v>
      </c>
      <c r="D428" s="2359"/>
      <c r="E428" s="2359"/>
      <c r="F428" s="2359"/>
      <c r="G428" s="2396">
        <f>'Part IV-Uses of Funds'!G14</f>
        <v>0</v>
      </c>
      <c r="H428" s="2396"/>
      <c r="I428" s="790"/>
      <c r="J428" s="2396">
        <f>'Part IV-Uses of Funds'!J14</f>
        <v>0</v>
      </c>
      <c r="K428" s="2396"/>
      <c r="L428" s="805"/>
      <c r="M428" s="2396">
        <f>'Part IV-Uses of Funds'!M14</f>
        <v>0</v>
      </c>
      <c r="N428" s="2396"/>
      <c r="O428" s="790"/>
      <c r="P428" s="2396">
        <f>'Part IV-Uses of Funds'!P14</f>
        <v>0</v>
      </c>
      <c r="Q428" s="2396"/>
      <c r="R428" s="790"/>
      <c r="S428" s="2396">
        <f>'Part IV-Uses of Funds'!S14</f>
        <v>0</v>
      </c>
      <c r="T428" s="2396"/>
    </row>
    <row r="429" spans="1:20" ht="12.75" customHeight="1">
      <c r="A429" s="852" t="str">
        <f>IF(AND(G429&gt;0,OR(C429="",C429="&lt;Enter detailed description here; use Comments section if needed&gt;")),"X","")</f>
        <v/>
      </c>
      <c r="B429" s="790" t="s">
        <v>790</v>
      </c>
      <c r="C429" s="2359" t="str">
        <f>'Part IV-Uses of Funds'!C15</f>
        <v>PNA</v>
      </c>
      <c r="D429" s="2359"/>
      <c r="E429" s="2359"/>
      <c r="F429" s="2359"/>
      <c r="G429" s="2396">
        <f>'Part IV-Uses of Funds'!G15</f>
        <v>6600</v>
      </c>
      <c r="H429" s="2396"/>
      <c r="I429" s="790"/>
      <c r="J429" s="2396">
        <f>'Part IV-Uses of Funds'!J15</f>
        <v>0</v>
      </c>
      <c r="K429" s="2396"/>
      <c r="L429" s="805"/>
      <c r="M429" s="2396">
        <f>'Part IV-Uses of Funds'!M15</f>
        <v>0</v>
      </c>
      <c r="N429" s="2396"/>
      <c r="O429" s="790"/>
      <c r="P429" s="2396">
        <f>'Part IV-Uses of Funds'!P15</f>
        <v>6600</v>
      </c>
      <c r="Q429" s="2396"/>
      <c r="R429" s="790"/>
      <c r="S429" s="2396">
        <f>'Part IV-Uses of Funds'!S15</f>
        <v>0</v>
      </c>
      <c r="T429" s="2396"/>
    </row>
    <row r="430" spans="1:20" ht="12.75" customHeight="1">
      <c r="A430" s="852" t="str">
        <f>IF(AND(G430&gt;0,OR(C430="",C430="&lt;Enter detailed description here; use Comments section if needed&gt;")),"X","")</f>
        <v/>
      </c>
      <c r="B430" s="790" t="s">
        <v>790</v>
      </c>
      <c r="C430" s="2359">
        <f>'Part IV-Uses of Funds'!C16</f>
        <v>0</v>
      </c>
      <c r="D430" s="2359"/>
      <c r="E430" s="2359"/>
      <c r="F430" s="2359"/>
      <c r="G430" s="2396">
        <f>'Part IV-Uses of Funds'!G16</f>
        <v>0</v>
      </c>
      <c r="H430" s="2396"/>
      <c r="I430" s="790"/>
      <c r="J430" s="2396">
        <f>'Part IV-Uses of Funds'!J16</f>
        <v>0</v>
      </c>
      <c r="K430" s="2396"/>
      <c r="L430" s="805"/>
      <c r="M430" s="2396">
        <f>'Part IV-Uses of Funds'!M16</f>
        <v>0</v>
      </c>
      <c r="N430" s="2396"/>
      <c r="O430" s="790"/>
      <c r="P430" s="2396">
        <f>'Part IV-Uses of Funds'!P16</f>
        <v>0</v>
      </c>
      <c r="Q430" s="2396"/>
      <c r="R430" s="790"/>
      <c r="S430" s="2396">
        <f>'Part IV-Uses of Funds'!S16</f>
        <v>0</v>
      </c>
      <c r="T430" s="2396"/>
    </row>
    <row r="431" spans="1:20">
      <c r="A431" s="790"/>
      <c r="B431" s="790"/>
      <c r="C431" s="790"/>
      <c r="D431" s="790"/>
      <c r="E431" s="790"/>
      <c r="F431" s="853" t="s">
        <v>199</v>
      </c>
      <c r="G431" s="2396">
        <f>SUM(G422:H430)</f>
        <v>63500</v>
      </c>
      <c r="H431" s="2396"/>
      <c r="I431" s="790"/>
      <c r="J431" s="2396">
        <f>SUM(J422:K430)</f>
        <v>0</v>
      </c>
      <c r="K431" s="2377"/>
      <c r="L431" s="805"/>
      <c r="M431" s="2396">
        <f>SUM(M422:N430)</f>
        <v>0</v>
      </c>
      <c r="N431" s="2396"/>
      <c r="O431" s="790"/>
      <c r="P431" s="2396">
        <f>SUM(P422:Q430)</f>
        <v>63500</v>
      </c>
      <c r="Q431" s="2396"/>
      <c r="R431" s="790"/>
      <c r="S431" s="2396">
        <f>SUM(S422:T430)</f>
        <v>0</v>
      </c>
      <c r="T431" s="2396"/>
    </row>
    <row r="432" spans="1:20">
      <c r="A432" s="790"/>
      <c r="B432" s="793" t="s">
        <v>2336</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2337</v>
      </c>
      <c r="C433" s="790"/>
      <c r="D433" s="790"/>
      <c r="E433" s="790"/>
      <c r="F433" s="790"/>
      <c r="G433" s="2396">
        <f>'Part IV-Uses of Funds'!G19</f>
        <v>480000</v>
      </c>
      <c r="H433" s="2396"/>
      <c r="I433" s="790"/>
      <c r="J433" s="805"/>
      <c r="K433" s="851"/>
      <c r="L433" s="805"/>
      <c r="M433" s="805"/>
      <c r="N433" s="851"/>
      <c r="O433" s="790"/>
      <c r="P433" s="805"/>
      <c r="Q433" s="851"/>
      <c r="R433" s="790"/>
      <c r="S433" s="2396">
        <f>'Part IV-Uses of Funds'!S19</f>
        <v>480000</v>
      </c>
      <c r="T433" s="2396"/>
    </row>
    <row r="434" spans="1:20">
      <c r="A434" s="790"/>
      <c r="B434" s="790" t="s">
        <v>1183</v>
      </c>
      <c r="C434" s="790"/>
      <c r="D434" s="790"/>
      <c r="E434" s="790"/>
      <c r="F434" s="790"/>
      <c r="G434" s="2396">
        <f>'Part IV-Uses of Funds'!G20</f>
        <v>28000</v>
      </c>
      <c r="H434" s="2396"/>
      <c r="I434" s="790"/>
      <c r="J434" s="805"/>
      <c r="K434" s="851"/>
      <c r="L434" s="805"/>
      <c r="M434" s="805"/>
      <c r="N434" s="851"/>
      <c r="O434" s="790"/>
      <c r="P434" s="805"/>
      <c r="Q434" s="851"/>
      <c r="R434" s="790"/>
      <c r="S434" s="2396">
        <f>'Part IV-Uses of Funds'!S20</f>
        <v>28000</v>
      </c>
      <c r="T434" s="2396"/>
    </row>
    <row r="435" spans="1:20">
      <c r="A435" s="790"/>
      <c r="B435" s="790" t="s">
        <v>482</v>
      </c>
      <c r="C435" s="790"/>
      <c r="D435" s="790"/>
      <c r="E435" s="790"/>
      <c r="F435" s="790"/>
      <c r="G435" s="2396">
        <f>'Part IV-Uses of Funds'!G21</f>
        <v>0</v>
      </c>
      <c r="H435" s="2396"/>
      <c r="I435" s="790"/>
      <c r="J435" s="805"/>
      <c r="K435" s="851"/>
      <c r="L435" s="805"/>
      <c r="M435" s="2396">
        <f>'Part IV-Uses of Funds'!M21</f>
        <v>0</v>
      </c>
      <c r="N435" s="2396"/>
      <c r="O435" s="790"/>
      <c r="P435" s="805"/>
      <c r="Q435" s="851"/>
      <c r="R435" s="790"/>
      <c r="S435" s="2396">
        <f>'Part IV-Uses of Funds'!S21</f>
        <v>0</v>
      </c>
      <c r="T435" s="2396"/>
    </row>
    <row r="436" spans="1:20">
      <c r="A436" s="790"/>
      <c r="B436" s="790" t="s">
        <v>451</v>
      </c>
      <c r="C436" s="790"/>
      <c r="D436" s="790"/>
      <c r="E436" s="790"/>
      <c r="F436" s="790"/>
      <c r="G436" s="2396">
        <f>'Part IV-Uses of Funds'!G22</f>
        <v>2695000</v>
      </c>
      <c r="H436" s="2396"/>
      <c r="I436" s="790"/>
      <c r="J436" s="805"/>
      <c r="K436" s="851"/>
      <c r="L436" s="805"/>
      <c r="M436" s="2396">
        <f>'Part IV-Uses of Funds'!M22</f>
        <v>2695000</v>
      </c>
      <c r="N436" s="2396"/>
      <c r="O436" s="790"/>
      <c r="P436" s="805"/>
      <c r="Q436" s="851"/>
      <c r="R436" s="790"/>
      <c r="S436" s="2396">
        <f>'Part IV-Uses of Funds'!S22</f>
        <v>0</v>
      </c>
      <c r="T436" s="2396"/>
    </row>
    <row r="437" spans="1:20">
      <c r="A437" s="790"/>
      <c r="B437" s="790"/>
      <c r="C437" s="790"/>
      <c r="D437" s="790"/>
      <c r="E437" s="790"/>
      <c r="F437" s="853" t="s">
        <v>199</v>
      </c>
      <c r="G437" s="2396">
        <f>SUM(G433:H436)</f>
        <v>3203000</v>
      </c>
      <c r="H437" s="2396"/>
      <c r="I437" s="790"/>
      <c r="J437" s="805"/>
      <c r="K437" s="851"/>
      <c r="L437" s="805"/>
      <c r="M437" s="2396">
        <f>SUM(M435:N436)</f>
        <v>2695000</v>
      </c>
      <c r="N437" s="2396"/>
      <c r="O437" s="790"/>
      <c r="P437" s="805"/>
      <c r="Q437" s="851"/>
      <c r="R437" s="790"/>
      <c r="S437" s="2396">
        <f>SUM(S433:T436)</f>
        <v>508000</v>
      </c>
      <c r="T437" s="2396"/>
    </row>
    <row r="438" spans="1:20">
      <c r="A438" s="790"/>
      <c r="B438" s="793" t="s">
        <v>1184</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1185</v>
      </c>
      <c r="C439" s="790"/>
      <c r="D439" s="790"/>
      <c r="E439" s="790"/>
      <c r="F439" s="790"/>
      <c r="G439" s="2396">
        <f>'Part IV-Uses of Funds'!G25</f>
        <v>150000</v>
      </c>
      <c r="H439" s="2396"/>
      <c r="I439" s="790"/>
      <c r="J439" s="2396">
        <f>'Part IV-Uses of Funds'!J25</f>
        <v>0</v>
      </c>
      <c r="K439" s="2396"/>
      <c r="L439" s="805"/>
      <c r="M439" s="2396">
        <f>'Part IV-Uses of Funds'!M25</f>
        <v>0</v>
      </c>
      <c r="N439" s="2396"/>
      <c r="O439" s="790"/>
      <c r="P439" s="2396">
        <f>'Part IV-Uses of Funds'!P25</f>
        <v>150000</v>
      </c>
      <c r="Q439" s="2396"/>
      <c r="R439" s="790"/>
      <c r="S439" s="2396">
        <f>'Part IV-Uses of Funds'!S25</f>
        <v>0</v>
      </c>
      <c r="T439" s="2396"/>
    </row>
    <row r="440" spans="1:20">
      <c r="A440" s="790"/>
      <c r="B440" s="790" t="s">
        <v>1186</v>
      </c>
      <c r="C440" s="790"/>
      <c r="D440" s="790"/>
      <c r="E440" s="790"/>
      <c r="F440" s="790"/>
      <c r="G440" s="2396">
        <f>'Part IV-Uses of Funds'!G26</f>
        <v>0</v>
      </c>
      <c r="H440" s="2396"/>
      <c r="I440" s="790"/>
      <c r="J440" s="2396">
        <f>'Part IV-Uses of Funds'!J26</f>
        <v>0</v>
      </c>
      <c r="K440" s="2396"/>
      <c r="L440" s="855"/>
      <c r="M440" s="2396"/>
      <c r="N440" s="2396"/>
      <c r="O440" s="790"/>
      <c r="P440" s="2396"/>
      <c r="Q440" s="2396"/>
      <c r="R440" s="790"/>
      <c r="S440" s="2396">
        <f>'Part IV-Uses of Funds'!S26</f>
        <v>0</v>
      </c>
      <c r="T440" s="2396"/>
    </row>
    <row r="441" spans="1:20">
      <c r="A441" s="790"/>
      <c r="B441" s="790"/>
      <c r="C441" s="790"/>
      <c r="D441" s="790"/>
      <c r="E441" s="790"/>
      <c r="F441" s="853" t="s">
        <v>199</v>
      </c>
      <c r="G441" s="2396">
        <f>SUM(G439:H440)</f>
        <v>150000</v>
      </c>
      <c r="H441" s="2396"/>
      <c r="I441" s="790"/>
      <c r="J441" s="2396">
        <f>SUM(J439:K440)</f>
        <v>0</v>
      </c>
      <c r="K441" s="2396"/>
      <c r="L441" s="805"/>
      <c r="M441" s="2396">
        <f>M439</f>
        <v>0</v>
      </c>
      <c r="N441" s="2396"/>
      <c r="O441" s="790"/>
      <c r="P441" s="2396">
        <f>P439</f>
        <v>150000</v>
      </c>
      <c r="Q441" s="2396"/>
      <c r="R441" s="790"/>
      <c r="S441" s="2396">
        <f>SUM(S439:T440)</f>
        <v>0</v>
      </c>
      <c r="T441" s="2396"/>
    </row>
    <row r="442" spans="1:20">
      <c r="A442" s="790"/>
      <c r="B442" s="793" t="s">
        <v>1187</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1188</v>
      </c>
      <c r="C443" s="790"/>
      <c r="D443" s="790"/>
      <c r="E443" s="790"/>
      <c r="F443" s="790"/>
      <c r="G443" s="2396">
        <f>'Part IV-Uses of Funds'!G29</f>
        <v>0</v>
      </c>
      <c r="H443" s="2396"/>
      <c r="I443" s="790"/>
      <c r="J443" s="2396">
        <f>'Part IV-Uses of Funds'!J29</f>
        <v>0</v>
      </c>
      <c r="K443" s="2396"/>
      <c r="L443" s="805"/>
      <c r="M443" s="2396">
        <f>'Part IV-Uses of Funds'!M29</f>
        <v>0</v>
      </c>
      <c r="N443" s="2396"/>
      <c r="O443" s="790"/>
      <c r="P443" s="2396">
        <f>'Part IV-Uses of Funds'!P29</f>
        <v>0</v>
      </c>
      <c r="Q443" s="2396"/>
      <c r="R443" s="790"/>
      <c r="S443" s="2396">
        <f>'Part IV-Uses of Funds'!S29</f>
        <v>0</v>
      </c>
      <c r="T443" s="2396"/>
    </row>
    <row r="444" spans="1:20">
      <c r="A444" s="790"/>
      <c r="B444" s="790" t="s">
        <v>1189</v>
      </c>
      <c r="C444" s="790"/>
      <c r="D444" s="790"/>
      <c r="E444" s="790"/>
      <c r="F444" s="790"/>
      <c r="G444" s="2396">
        <f>'Part IV-Uses of Funds'!G30</f>
        <v>5607623</v>
      </c>
      <c r="H444" s="2396"/>
      <c r="I444" s="790"/>
      <c r="J444" s="2396">
        <f>'Part IV-Uses of Funds'!J30</f>
        <v>0</v>
      </c>
      <c r="K444" s="2396"/>
      <c r="L444" s="805"/>
      <c r="M444" s="2396">
        <f>'Part IV-Uses of Funds'!M30</f>
        <v>0</v>
      </c>
      <c r="N444" s="2396"/>
      <c r="O444" s="790"/>
      <c r="P444" s="2396">
        <f>'Part IV-Uses of Funds'!P30</f>
        <v>5607623</v>
      </c>
      <c r="Q444" s="2396"/>
      <c r="R444" s="790"/>
      <c r="S444" s="2396">
        <f>'Part IV-Uses of Funds'!S30</f>
        <v>0</v>
      </c>
      <c r="T444" s="2396"/>
    </row>
    <row r="445" spans="1:20">
      <c r="A445" s="790"/>
      <c r="B445" s="790" t="s">
        <v>3229</v>
      </c>
      <c r="C445" s="790"/>
      <c r="D445" s="790"/>
      <c r="E445" s="790"/>
      <c r="F445" s="790"/>
      <c r="G445" s="2396">
        <f>'Part IV-Uses of Funds'!G31</f>
        <v>280435</v>
      </c>
      <c r="H445" s="2396"/>
      <c r="I445" s="790"/>
      <c r="J445" s="2396">
        <f>'Part IV-Uses of Funds'!J31</f>
        <v>0</v>
      </c>
      <c r="K445" s="2396"/>
      <c r="L445" s="805"/>
      <c r="M445" s="2396">
        <f>'Part IV-Uses of Funds'!M31</f>
        <v>0</v>
      </c>
      <c r="N445" s="2396"/>
      <c r="O445" s="790"/>
      <c r="P445" s="2396">
        <f>'Part IV-Uses of Funds'!P31</f>
        <v>280435</v>
      </c>
      <c r="Q445" s="2396"/>
      <c r="R445" s="790"/>
      <c r="S445" s="2396">
        <f>'Part IV-Uses of Funds'!S31</f>
        <v>0</v>
      </c>
      <c r="T445" s="2396"/>
    </row>
    <row r="446" spans="1:20">
      <c r="A446" s="795"/>
      <c r="B446" s="790" t="s">
        <v>3228</v>
      </c>
      <c r="C446" s="795"/>
      <c r="D446" s="795"/>
      <c r="E446" s="795"/>
      <c r="F446" s="795"/>
      <c r="G446" s="2396">
        <f>'Part IV-Uses of Funds'!G32</f>
        <v>0</v>
      </c>
      <c r="H446" s="2396"/>
      <c r="I446" s="790"/>
      <c r="J446" s="2396">
        <f>'Part IV-Uses of Funds'!J32</f>
        <v>0</v>
      </c>
      <c r="K446" s="2396"/>
      <c r="L446" s="805"/>
      <c r="M446" s="2396">
        <f>'Part IV-Uses of Funds'!M32</f>
        <v>0</v>
      </c>
      <c r="N446" s="2396"/>
      <c r="O446" s="790"/>
      <c r="P446" s="2396">
        <f>'Part IV-Uses of Funds'!P32</f>
        <v>0</v>
      </c>
      <c r="Q446" s="2396"/>
      <c r="R446" s="790"/>
      <c r="S446" s="2396">
        <f>'Part IV-Uses of Funds'!S32</f>
        <v>0</v>
      </c>
      <c r="T446" s="2396"/>
    </row>
    <row r="447" spans="1:20">
      <c r="A447" s="790"/>
      <c r="B447" s="790"/>
      <c r="C447" s="2414"/>
      <c r="D447" s="2414"/>
      <c r="E447" s="856"/>
      <c r="F447" s="853" t="s">
        <v>199</v>
      </c>
      <c r="G447" s="2396">
        <f>SUM(G443:H446)</f>
        <v>5888058</v>
      </c>
      <c r="H447" s="2396"/>
      <c r="I447" s="790"/>
      <c r="J447" s="2396">
        <f>SUM(J443:K446)</f>
        <v>0</v>
      </c>
      <c r="K447" s="2396"/>
      <c r="L447" s="805"/>
      <c r="M447" s="2396">
        <f>SUM(M443:N446)</f>
        <v>0</v>
      </c>
      <c r="N447" s="2396"/>
      <c r="O447" s="790"/>
      <c r="P447" s="2396">
        <f>SUM(P443:Q446)</f>
        <v>5888058</v>
      </c>
      <c r="Q447" s="2396"/>
      <c r="R447" s="790"/>
      <c r="S447" s="2396">
        <f>SUM(S443:T446)</f>
        <v>0</v>
      </c>
      <c r="T447" s="2396"/>
    </row>
    <row r="448" spans="1:20">
      <c r="A448" s="790"/>
      <c r="B448" s="793" t="s">
        <v>2493</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2494</v>
      </c>
      <c r="C449" s="790"/>
      <c r="D449" s="790"/>
      <c r="E449" s="858">
        <f>'Part IV-Uses of Funds'!E35</f>
        <v>0.06</v>
      </c>
      <c r="F449" s="859">
        <f>'Part IV-Uses of Funds'!F35</f>
        <v>362283.48</v>
      </c>
      <c r="G449" s="2396">
        <f>'Part IV-Uses of Funds'!G35</f>
        <v>362283</v>
      </c>
      <c r="H449" s="2396"/>
      <c r="I449" s="795"/>
      <c r="J449" s="2396">
        <f>'Part IV-Uses of Funds'!J35</f>
        <v>0</v>
      </c>
      <c r="K449" s="2396"/>
      <c r="L449" s="805"/>
      <c r="M449" s="2396">
        <f>'Part IV-Uses of Funds'!M35</f>
        <v>0</v>
      </c>
      <c r="N449" s="2396"/>
      <c r="O449" s="790"/>
      <c r="P449" s="2396">
        <f>'Part IV-Uses of Funds'!P35</f>
        <v>362283</v>
      </c>
      <c r="Q449" s="2396"/>
      <c r="R449" s="790"/>
      <c r="S449" s="2396">
        <f>'Part IV-Uses of Funds'!S35</f>
        <v>0</v>
      </c>
      <c r="T449" s="2396"/>
    </row>
    <row r="450" spans="1:20">
      <c r="A450" s="790"/>
      <c r="B450" s="790" t="s">
        <v>3006</v>
      </c>
      <c r="C450" s="790"/>
      <c r="D450" s="790"/>
      <c r="E450" s="858">
        <f>'Part IV-Uses of Funds'!E36</f>
        <v>0.02</v>
      </c>
      <c r="F450" s="859">
        <f>'Part IV-Uses of Funds'!F36</f>
        <v>120761.16</v>
      </c>
      <c r="G450" s="2396">
        <f>'Part IV-Uses of Funds'!G36</f>
        <v>120761</v>
      </c>
      <c r="H450" s="2396"/>
      <c r="I450" s="795"/>
      <c r="J450" s="2396">
        <f>'Part IV-Uses of Funds'!J36</f>
        <v>0</v>
      </c>
      <c r="K450" s="2396"/>
      <c r="L450" s="805"/>
      <c r="M450" s="2396">
        <f>'Part IV-Uses of Funds'!M36</f>
        <v>0</v>
      </c>
      <c r="N450" s="2396"/>
      <c r="O450" s="790"/>
      <c r="P450" s="2396">
        <f>'Part IV-Uses of Funds'!P36</f>
        <v>120761</v>
      </c>
      <c r="Q450" s="2396"/>
      <c r="R450" s="790"/>
      <c r="S450" s="2396">
        <f>'Part IV-Uses of Funds'!S36</f>
        <v>0</v>
      </c>
      <c r="T450" s="2396"/>
    </row>
    <row r="451" spans="1:20">
      <c r="A451" s="790"/>
      <c r="B451" s="790" t="s">
        <v>3007</v>
      </c>
      <c r="C451" s="790"/>
      <c r="D451" s="790"/>
      <c r="E451" s="858">
        <f>'Part IV-Uses of Funds'!E37</f>
        <v>0.06</v>
      </c>
      <c r="F451" s="859">
        <f>'Part IV-Uses of Funds'!F37</f>
        <v>362283.48</v>
      </c>
      <c r="G451" s="2396">
        <f>'Part IV-Uses of Funds'!G37</f>
        <v>362283</v>
      </c>
      <c r="H451" s="2396"/>
      <c r="I451" s="795"/>
      <c r="J451" s="2396">
        <f>'Part IV-Uses of Funds'!J37</f>
        <v>0</v>
      </c>
      <c r="K451" s="2396"/>
      <c r="L451" s="805"/>
      <c r="M451" s="2396">
        <f>'Part IV-Uses of Funds'!M37</f>
        <v>0</v>
      </c>
      <c r="N451" s="2396"/>
      <c r="O451" s="790"/>
      <c r="P451" s="2396">
        <f>'Part IV-Uses of Funds'!P37</f>
        <v>362283</v>
      </c>
      <c r="Q451" s="2396"/>
      <c r="R451" s="790"/>
      <c r="S451" s="2396">
        <f>'Part IV-Uses of Funds'!S37</f>
        <v>0</v>
      </c>
      <c r="T451" s="2396"/>
    </row>
    <row r="452" spans="1:20">
      <c r="A452" s="790"/>
      <c r="B452" s="790" t="s">
        <v>2176</v>
      </c>
      <c r="C452" s="790"/>
      <c r="D452" s="860"/>
      <c r="E452" s="790"/>
      <c r="F452" s="853" t="s">
        <v>199</v>
      </c>
      <c r="G452" s="2396">
        <f>SUM(G449:H451)</f>
        <v>845327</v>
      </c>
      <c r="H452" s="2396"/>
      <c r="I452" s="790"/>
      <c r="J452" s="2396">
        <f>SUM(J449:K451)</f>
        <v>0</v>
      </c>
      <c r="K452" s="2396"/>
      <c r="L452" s="805"/>
      <c r="M452" s="2396">
        <f>SUM(M449:N451)</f>
        <v>0</v>
      </c>
      <c r="N452" s="2396"/>
      <c r="O452" s="790"/>
      <c r="P452" s="2396">
        <f>SUM(P449:Q451)</f>
        <v>845327</v>
      </c>
      <c r="Q452" s="2396"/>
      <c r="R452" s="790"/>
      <c r="S452" s="2396">
        <f>SUM(S449:T451)</f>
        <v>0</v>
      </c>
      <c r="T452" s="2396"/>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3655</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790</v>
      </c>
      <c r="C455" s="2359" t="str">
        <f>'Part IV-Uses of Funds'!C41</f>
        <v>&lt;Enter detailed description here; use Comments section if needed&gt;</v>
      </c>
      <c r="D455" s="2359"/>
      <c r="E455" s="2359"/>
      <c r="F455" s="2359"/>
      <c r="G455" s="2396">
        <f>'Part IV-Uses of Funds'!G41</f>
        <v>0</v>
      </c>
      <c r="H455" s="2396"/>
      <c r="I455" s="790"/>
      <c r="J455" s="2396">
        <f>'Part IV-Uses of Funds'!J41</f>
        <v>0</v>
      </c>
      <c r="K455" s="2396"/>
      <c r="L455" s="805"/>
      <c r="M455" s="2396">
        <f>'Part IV-Uses of Funds'!M41</f>
        <v>0</v>
      </c>
      <c r="N455" s="2396"/>
      <c r="O455" s="790"/>
      <c r="P455" s="2396">
        <f>'Part IV-Uses of Funds'!P41</f>
        <v>0</v>
      </c>
      <c r="Q455" s="2396"/>
      <c r="R455" s="790"/>
      <c r="S455" s="2396">
        <f>'Part IV-Uses of Funds'!S41</f>
        <v>0</v>
      </c>
      <c r="T455" s="2396"/>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3656</v>
      </c>
      <c r="C457" s="862"/>
      <c r="D457" s="790"/>
      <c r="E457" s="2412" t="s">
        <v>3016</v>
      </c>
      <c r="F457" s="863">
        <f>B458/'Part VI-Revenues &amp; Expenses'!$M$60</f>
        <v>54199.881889763783</v>
      </c>
      <c r="G457" s="864" t="s">
        <v>3657</v>
      </c>
      <c r="H457" s="790"/>
      <c r="I457" s="790"/>
      <c r="J457" s="2415">
        <f>B458/'Part VI-Revenues &amp; Expenses'!$M$62</f>
        <v>53776.4453125</v>
      </c>
      <c r="K457" s="2415"/>
      <c r="L457" s="790"/>
      <c r="M457" s="2416" t="s">
        <v>1491</v>
      </c>
      <c r="N457" s="2416"/>
      <c r="O457" s="790"/>
      <c r="P457" s="2415">
        <f>B458/'Part I-Project Information'!$P$59</f>
        <v>50.799139496095997</v>
      </c>
      <c r="Q457" s="2415"/>
      <c r="R457" s="790"/>
      <c r="S457" s="2417" t="s">
        <v>3227</v>
      </c>
      <c r="T457" s="2417"/>
    </row>
    <row r="458" spans="1:20">
      <c r="A458" s="790"/>
      <c r="B458" s="2418">
        <f>G441+G447+G452+G455</f>
        <v>6883385</v>
      </c>
      <c r="C458" s="2418"/>
      <c r="D458" s="790"/>
      <c r="E458" s="2412"/>
      <c r="F458" s="863">
        <f>B458/'Part VI-Revenues &amp; Expenses'!$M$98</f>
        <v>52.344336968259036</v>
      </c>
      <c r="G458" s="810" t="s">
        <v>3658</v>
      </c>
      <c r="H458" s="790"/>
      <c r="I458" s="790"/>
      <c r="J458" s="2415">
        <f>B458/'Part VI-Revenues &amp; Expenses'!$M$100</f>
        <v>51.959487001419127</v>
      </c>
      <c r="K458" s="2415"/>
      <c r="L458" s="790"/>
      <c r="M458" s="2417" t="s">
        <v>3226</v>
      </c>
      <c r="N458" s="2417"/>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1190</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2095</v>
      </c>
      <c r="C461" s="795"/>
      <c r="D461" s="795"/>
      <c r="E461" s="795"/>
      <c r="F461" s="865" t="e">
        <f>G461/$B$44</f>
        <v>#DIV/0!</v>
      </c>
      <c r="G461" s="2396">
        <f>'Part IV-Uses of Funds'!G47</f>
        <v>481837</v>
      </c>
      <c r="H461" s="2396"/>
      <c r="I461" s="790"/>
      <c r="J461" s="2396">
        <f>'Part IV-Uses of Funds'!J47</f>
        <v>0</v>
      </c>
      <c r="K461" s="2396"/>
      <c r="L461" s="805"/>
      <c r="M461" s="2396">
        <f>'Part IV-Uses of Funds'!M47</f>
        <v>0</v>
      </c>
      <c r="N461" s="2396"/>
      <c r="O461" s="790"/>
      <c r="P461" s="2396">
        <f>'Part IV-Uses of Funds'!P47</f>
        <v>481837</v>
      </c>
      <c r="Q461" s="2396"/>
      <c r="R461" s="790"/>
      <c r="S461" s="2396">
        <f>'Part IV-Uses of Funds'!S47</f>
        <v>0</v>
      </c>
      <c r="T461" s="2396"/>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656</v>
      </c>
      <c r="B464" s="850" t="s">
        <v>3659</v>
      </c>
      <c r="C464" s="790"/>
      <c r="D464" s="790"/>
      <c r="E464" s="790"/>
      <c r="F464" s="790"/>
      <c r="G464" s="790"/>
      <c r="H464" s="790"/>
      <c r="I464" s="790"/>
      <c r="J464" s="2412" t="s">
        <v>285</v>
      </c>
      <c r="K464" s="2412"/>
      <c r="L464" s="851"/>
      <c r="M464" s="2413" t="s">
        <v>519</v>
      </c>
      <c r="N464" s="2413"/>
      <c r="O464" s="790"/>
      <c r="P464" s="2412" t="s">
        <v>286</v>
      </c>
      <c r="Q464" s="2412"/>
      <c r="R464" s="790"/>
      <c r="S464" s="2412" t="s">
        <v>287</v>
      </c>
      <c r="T464" s="2412"/>
    </row>
    <row r="465" spans="1:20">
      <c r="A465" s="790"/>
      <c r="B465" s="790"/>
      <c r="C465" s="790"/>
      <c r="D465" s="790"/>
      <c r="E465" s="790"/>
      <c r="F465" s="790"/>
      <c r="G465" s="2356" t="s">
        <v>104</v>
      </c>
      <c r="H465" s="2356"/>
      <c r="I465" s="790"/>
      <c r="J465" s="2412"/>
      <c r="K465" s="2412"/>
      <c r="L465" s="851"/>
      <c r="M465" s="2413"/>
      <c r="N465" s="2413"/>
      <c r="O465" s="790"/>
      <c r="P465" s="2412"/>
      <c r="Q465" s="2412"/>
      <c r="R465" s="790"/>
      <c r="S465" s="2412"/>
      <c r="T465" s="2412"/>
    </row>
    <row r="466" spans="1:20">
      <c r="A466" s="790"/>
      <c r="B466" s="793" t="s">
        <v>771</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2496</v>
      </c>
      <c r="C467" s="790"/>
      <c r="D467" s="790"/>
      <c r="E467" s="790"/>
      <c r="F467" s="790"/>
      <c r="G467" s="2396">
        <f>'Part IV-Uses of Funds'!G53</f>
        <v>74661</v>
      </c>
      <c r="H467" s="2396"/>
      <c r="I467" s="790"/>
      <c r="J467" s="2396">
        <f>'Part IV-Uses of Funds'!J53</f>
        <v>0</v>
      </c>
      <c r="K467" s="2396"/>
      <c r="L467" s="805"/>
      <c r="M467" s="2396">
        <f>'Part IV-Uses of Funds'!M53</f>
        <v>0</v>
      </c>
      <c r="N467" s="2396"/>
      <c r="O467" s="790"/>
      <c r="P467" s="2396">
        <f>'Part IV-Uses of Funds'!P53</f>
        <v>74661</v>
      </c>
      <c r="Q467" s="2396"/>
      <c r="R467" s="790"/>
      <c r="S467" s="2396">
        <f>'Part IV-Uses of Funds'!S53</f>
        <v>0</v>
      </c>
      <c r="T467" s="2396"/>
    </row>
    <row r="468" spans="1:20">
      <c r="A468" s="790"/>
      <c r="B468" s="790" t="s">
        <v>2497</v>
      </c>
      <c r="C468" s="790"/>
      <c r="D468" s="790"/>
      <c r="E468" s="790"/>
      <c r="F468" s="790"/>
      <c r="G468" s="2396">
        <f>'Part IV-Uses of Funds'!G54</f>
        <v>298715</v>
      </c>
      <c r="H468" s="2396"/>
      <c r="I468" s="790"/>
      <c r="J468" s="2396">
        <f>'Part IV-Uses of Funds'!J54</f>
        <v>0</v>
      </c>
      <c r="K468" s="2396"/>
      <c r="L468" s="805"/>
      <c r="M468" s="2396">
        <f>'Part IV-Uses of Funds'!M54</f>
        <v>0</v>
      </c>
      <c r="N468" s="2396"/>
      <c r="O468" s="790"/>
      <c r="P468" s="2396">
        <f>'Part IV-Uses of Funds'!P54</f>
        <v>298715</v>
      </c>
      <c r="Q468" s="2396"/>
      <c r="R468" s="790"/>
      <c r="S468" s="2396">
        <f>'Part IV-Uses of Funds'!S54</f>
        <v>0</v>
      </c>
      <c r="T468" s="2396"/>
    </row>
    <row r="469" spans="1:20">
      <c r="A469" s="790"/>
      <c r="B469" s="790" t="s">
        <v>2498</v>
      </c>
      <c r="C469" s="790"/>
      <c r="D469" s="790"/>
      <c r="E469" s="790"/>
      <c r="F469" s="790"/>
      <c r="G469" s="2396">
        <f>'Part IV-Uses of Funds'!G55</f>
        <v>25000</v>
      </c>
      <c r="H469" s="2396"/>
      <c r="I469" s="790"/>
      <c r="J469" s="2396">
        <f>'Part IV-Uses of Funds'!J55</f>
        <v>0</v>
      </c>
      <c r="K469" s="2396"/>
      <c r="L469" s="805"/>
      <c r="M469" s="2396">
        <f>'Part IV-Uses of Funds'!M55</f>
        <v>0</v>
      </c>
      <c r="N469" s="2396"/>
      <c r="O469" s="790"/>
      <c r="P469" s="2396">
        <f>'Part IV-Uses of Funds'!P55</f>
        <v>25000</v>
      </c>
      <c r="Q469" s="2396"/>
      <c r="R469" s="790"/>
      <c r="S469" s="2396">
        <f>'Part IV-Uses of Funds'!S55</f>
        <v>0</v>
      </c>
      <c r="T469" s="2396"/>
    </row>
    <row r="470" spans="1:20">
      <c r="A470" s="790"/>
      <c r="B470" s="790" t="s">
        <v>2912</v>
      </c>
      <c r="C470" s="790"/>
      <c r="D470" s="790"/>
      <c r="E470" s="790"/>
      <c r="F470" s="790"/>
      <c r="G470" s="2396">
        <f>'Part IV-Uses of Funds'!G56</f>
        <v>0</v>
      </c>
      <c r="H470" s="2396"/>
      <c r="I470" s="790"/>
      <c r="J470" s="2396">
        <f>'Part IV-Uses of Funds'!J56</f>
        <v>0</v>
      </c>
      <c r="K470" s="2396"/>
      <c r="L470" s="805"/>
      <c r="M470" s="2396">
        <f>'Part IV-Uses of Funds'!M56</f>
        <v>0</v>
      </c>
      <c r="N470" s="2396"/>
      <c r="O470" s="790"/>
      <c r="P470" s="2396">
        <f>'Part IV-Uses of Funds'!P56</f>
        <v>0</v>
      </c>
      <c r="Q470" s="2396"/>
      <c r="R470" s="790"/>
      <c r="S470" s="2396">
        <f>'Part IV-Uses of Funds'!S56</f>
        <v>0</v>
      </c>
      <c r="T470" s="2396"/>
    </row>
    <row r="471" spans="1:20">
      <c r="A471" s="790"/>
      <c r="B471" s="790" t="s">
        <v>772</v>
      </c>
      <c r="C471" s="790"/>
      <c r="D471" s="790"/>
      <c r="E471" s="790"/>
      <c r="F471" s="790"/>
      <c r="G471" s="2396">
        <f>'Part IV-Uses of Funds'!G57</f>
        <v>61415</v>
      </c>
      <c r="H471" s="2396"/>
      <c r="I471" s="790"/>
      <c r="J471" s="2396">
        <f>'Part IV-Uses of Funds'!J57</f>
        <v>0</v>
      </c>
      <c r="K471" s="2396"/>
      <c r="L471" s="805"/>
      <c r="M471" s="2396">
        <f>'Part IV-Uses of Funds'!M57</f>
        <v>0</v>
      </c>
      <c r="N471" s="2396"/>
      <c r="O471" s="790"/>
      <c r="P471" s="2396">
        <f>'Part IV-Uses of Funds'!P57</f>
        <v>61415</v>
      </c>
      <c r="Q471" s="2396"/>
      <c r="R471" s="790"/>
      <c r="S471" s="2396">
        <f>'Part IV-Uses of Funds'!S57</f>
        <v>0</v>
      </c>
      <c r="T471" s="2396"/>
    </row>
    <row r="472" spans="1:20">
      <c r="A472" s="790"/>
      <c r="B472" s="790" t="s">
        <v>2499</v>
      </c>
      <c r="C472" s="790"/>
      <c r="D472" s="790"/>
      <c r="E472" s="790"/>
      <c r="F472" s="790"/>
      <c r="G472" s="2396">
        <f>'Part IV-Uses of Funds'!G58</f>
        <v>50000</v>
      </c>
      <c r="H472" s="2396"/>
      <c r="I472" s="790"/>
      <c r="J472" s="2396">
        <f>'Part IV-Uses of Funds'!J58</f>
        <v>0</v>
      </c>
      <c r="K472" s="2396"/>
      <c r="L472" s="805"/>
      <c r="M472" s="2396">
        <f>'Part IV-Uses of Funds'!M58</f>
        <v>0</v>
      </c>
      <c r="N472" s="2396"/>
      <c r="O472" s="790"/>
      <c r="P472" s="2396">
        <f>'Part IV-Uses of Funds'!P58</f>
        <v>50000</v>
      </c>
      <c r="Q472" s="2396"/>
      <c r="R472" s="790"/>
      <c r="S472" s="2396">
        <f>'Part IV-Uses of Funds'!S58</f>
        <v>0</v>
      </c>
      <c r="T472" s="2396"/>
    </row>
    <row r="473" spans="1:20">
      <c r="A473" s="790"/>
      <c r="B473" s="790" t="s">
        <v>1355</v>
      </c>
      <c r="C473" s="790"/>
      <c r="D473" s="790"/>
      <c r="E473" s="790"/>
      <c r="F473" s="790"/>
      <c r="G473" s="2396">
        <f>'Part IV-Uses of Funds'!G59</f>
        <v>0</v>
      </c>
      <c r="H473" s="2396"/>
      <c r="I473" s="790"/>
      <c r="J473" s="2396">
        <f>'Part IV-Uses of Funds'!J59</f>
        <v>0</v>
      </c>
      <c r="K473" s="2396"/>
      <c r="L473" s="805"/>
      <c r="M473" s="2396">
        <f>'Part IV-Uses of Funds'!M59</f>
        <v>0</v>
      </c>
      <c r="N473" s="2396"/>
      <c r="O473" s="790"/>
      <c r="P473" s="2396">
        <f>'Part IV-Uses of Funds'!P59</f>
        <v>0</v>
      </c>
      <c r="Q473" s="2396"/>
      <c r="R473" s="790"/>
      <c r="S473" s="2396">
        <f>'Part IV-Uses of Funds'!S59</f>
        <v>0</v>
      </c>
      <c r="T473" s="2396"/>
    </row>
    <row r="474" spans="1:20">
      <c r="A474" s="790"/>
      <c r="B474" s="790" t="s">
        <v>295</v>
      </c>
      <c r="C474" s="790"/>
      <c r="D474" s="790"/>
      <c r="E474" s="790"/>
      <c r="F474" s="790"/>
      <c r="G474" s="2396">
        <f>'Part IV-Uses of Funds'!G60</f>
        <v>0</v>
      </c>
      <c r="H474" s="2396"/>
      <c r="I474" s="790"/>
      <c r="J474" s="2396">
        <f>'Part IV-Uses of Funds'!J60</f>
        <v>0</v>
      </c>
      <c r="K474" s="2396"/>
      <c r="L474" s="805"/>
      <c r="M474" s="2396">
        <f>'Part IV-Uses of Funds'!M60</f>
        <v>0</v>
      </c>
      <c r="N474" s="2396"/>
      <c r="O474" s="790"/>
      <c r="P474" s="2396">
        <f>'Part IV-Uses of Funds'!P60</f>
        <v>0</v>
      </c>
      <c r="Q474" s="2396"/>
      <c r="R474" s="790"/>
      <c r="S474" s="2396">
        <f>'Part IV-Uses of Funds'!S60</f>
        <v>0</v>
      </c>
      <c r="T474" s="2396"/>
    </row>
    <row r="475" spans="1:20">
      <c r="A475" s="790"/>
      <c r="B475" s="860" t="s">
        <v>1221</v>
      </c>
      <c r="C475" s="790"/>
      <c r="D475" s="858"/>
      <c r="E475" s="858"/>
      <c r="F475" s="859"/>
      <c r="G475" s="2396">
        <f>'Part IV-Uses of Funds'!G61</f>
        <v>40834</v>
      </c>
      <c r="H475" s="2396"/>
      <c r="I475" s="795"/>
      <c r="J475" s="2396">
        <f>'Part IV-Uses of Funds'!J61</f>
        <v>0</v>
      </c>
      <c r="K475" s="2396"/>
      <c r="L475" s="805"/>
      <c r="M475" s="2396">
        <f>'Part IV-Uses of Funds'!M61</f>
        <v>0</v>
      </c>
      <c r="N475" s="2396"/>
      <c r="O475" s="790"/>
      <c r="P475" s="2396">
        <f>'Part IV-Uses of Funds'!P61</f>
        <v>40834</v>
      </c>
      <c r="Q475" s="2396"/>
      <c r="R475" s="790"/>
      <c r="S475" s="2396">
        <f>'Part IV-Uses of Funds'!S61</f>
        <v>0</v>
      </c>
      <c r="T475" s="2396"/>
    </row>
    <row r="476" spans="1:20" ht="12.75" customHeight="1">
      <c r="A476" s="852" t="str">
        <f>IF(AND(G476&gt;0,OR(C476="",C476="&lt;Enter detailed description here; use Comments section if needed&gt;")),"X","")</f>
        <v/>
      </c>
      <c r="B476" s="790" t="s">
        <v>790</v>
      </c>
      <c r="C476" s="2359" t="str">
        <f>'Part IV-Uses of Funds'!C62</f>
        <v>Lender Front End</v>
      </c>
      <c r="D476" s="2359"/>
      <c r="E476" s="2359"/>
      <c r="F476" s="2359"/>
      <c r="G476" s="2396">
        <f>'Part IV-Uses of Funds'!G62</f>
        <v>2500</v>
      </c>
      <c r="H476" s="2396"/>
      <c r="I476" s="790"/>
      <c r="J476" s="2396">
        <f>'Part IV-Uses of Funds'!J62</f>
        <v>0</v>
      </c>
      <c r="K476" s="2396"/>
      <c r="L476" s="805"/>
      <c r="M476" s="2396">
        <f>'Part IV-Uses of Funds'!M62</f>
        <v>0</v>
      </c>
      <c r="N476" s="2396"/>
      <c r="O476" s="790"/>
      <c r="P476" s="2396">
        <f>'Part IV-Uses of Funds'!P62</f>
        <v>2500</v>
      </c>
      <c r="Q476" s="2396"/>
      <c r="R476" s="790"/>
      <c r="S476" s="2396">
        <f>'Part IV-Uses of Funds'!S62</f>
        <v>0</v>
      </c>
      <c r="T476" s="2396"/>
    </row>
    <row r="477" spans="1:20" ht="12.75" customHeight="1">
      <c r="A477" s="852" t="str">
        <f>IF(AND(G477&gt;0,OR(C477="",C477="&lt;Enter detailed description here; use Comments section if needed&gt;")),"X","")</f>
        <v/>
      </c>
      <c r="B477" s="790" t="s">
        <v>790</v>
      </c>
      <c r="C477" s="2359" t="str">
        <f>'Part IV-Uses of Funds'!C63</f>
        <v>Lender Underwriting</v>
      </c>
      <c r="D477" s="2359"/>
      <c r="E477" s="2359"/>
      <c r="F477" s="2359"/>
      <c r="G477" s="2396">
        <f>'Part IV-Uses of Funds'!G63</f>
        <v>8000</v>
      </c>
      <c r="H477" s="2396"/>
      <c r="I477" s="790"/>
      <c r="J477" s="2396">
        <f>'Part IV-Uses of Funds'!J63</f>
        <v>0</v>
      </c>
      <c r="K477" s="2396"/>
      <c r="L477" s="805"/>
      <c r="M477" s="2396">
        <f>'Part IV-Uses of Funds'!M63</f>
        <v>0</v>
      </c>
      <c r="N477" s="2396"/>
      <c r="O477" s="790"/>
      <c r="P477" s="2396">
        <f>'Part IV-Uses of Funds'!P63</f>
        <v>8000</v>
      </c>
      <c r="Q477" s="2396"/>
      <c r="R477" s="790"/>
      <c r="S477" s="2396">
        <f>'Part IV-Uses of Funds'!S63</f>
        <v>0</v>
      </c>
      <c r="T477" s="2396"/>
    </row>
    <row r="478" spans="1:20">
      <c r="A478" s="790"/>
      <c r="B478" s="790"/>
      <c r="C478" s="790"/>
      <c r="D478" s="790"/>
      <c r="E478" s="790"/>
      <c r="F478" s="853" t="s">
        <v>199</v>
      </c>
      <c r="G478" s="2396">
        <f>SUM(G467:H477)</f>
        <v>561125</v>
      </c>
      <c r="H478" s="2396"/>
      <c r="I478" s="790"/>
      <c r="J478" s="2396">
        <f>SUM(J467:K477)</f>
        <v>0</v>
      </c>
      <c r="K478" s="2396"/>
      <c r="L478" s="805"/>
      <c r="M478" s="2396">
        <f>SUM(M467:N477)</f>
        <v>0</v>
      </c>
      <c r="N478" s="2396"/>
      <c r="O478" s="790"/>
      <c r="P478" s="2396">
        <f>SUM(P467:Q477)</f>
        <v>561125</v>
      </c>
      <c r="Q478" s="2396"/>
      <c r="R478" s="790"/>
      <c r="S478" s="2396">
        <f>SUM(S467:T477)</f>
        <v>0</v>
      </c>
      <c r="T478" s="2396"/>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96">
        <f>'Part IV-Uses of Funds'!G66</f>
        <v>209000</v>
      </c>
      <c r="H480" s="2396"/>
      <c r="I480" s="790"/>
      <c r="J480" s="2396">
        <f>'Part IV-Uses of Funds'!J66</f>
        <v>0</v>
      </c>
      <c r="K480" s="2396"/>
      <c r="L480" s="805"/>
      <c r="M480" s="2396">
        <f>'Part IV-Uses of Funds'!M66</f>
        <v>0</v>
      </c>
      <c r="N480" s="2396"/>
      <c r="O480" s="790"/>
      <c r="P480" s="2396">
        <f>'Part IV-Uses of Funds'!P66</f>
        <v>209000</v>
      </c>
      <c r="Q480" s="2396"/>
      <c r="R480" s="790"/>
      <c r="S480" s="2396">
        <f>'Part IV-Uses of Funds'!S66</f>
        <v>0</v>
      </c>
      <c r="T480" s="2396"/>
    </row>
    <row r="481" spans="1:20">
      <c r="A481" s="790"/>
      <c r="B481" s="790" t="s">
        <v>507</v>
      </c>
      <c r="C481" s="790"/>
      <c r="D481" s="790"/>
      <c r="E481" s="790"/>
      <c r="F481" s="790"/>
      <c r="G481" s="2396">
        <f>'Part IV-Uses of Funds'!G67</f>
        <v>3000</v>
      </c>
      <c r="H481" s="2396"/>
      <c r="I481" s="790"/>
      <c r="J481" s="2396">
        <f>'Part IV-Uses of Funds'!J67</f>
        <v>0</v>
      </c>
      <c r="K481" s="2396"/>
      <c r="L481" s="805"/>
      <c r="M481" s="2396">
        <f>'Part IV-Uses of Funds'!M67</f>
        <v>0</v>
      </c>
      <c r="N481" s="2396"/>
      <c r="O481" s="790"/>
      <c r="P481" s="2396">
        <f>'Part IV-Uses of Funds'!P67</f>
        <v>3000</v>
      </c>
      <c r="Q481" s="2396"/>
      <c r="R481" s="790"/>
      <c r="S481" s="2396">
        <f>'Part IV-Uses of Funds'!S67</f>
        <v>0</v>
      </c>
      <c r="T481" s="2396"/>
    </row>
    <row r="482" spans="1:20">
      <c r="A482" s="790"/>
      <c r="B482" s="790" t="s">
        <v>1192</v>
      </c>
      <c r="C482" s="790"/>
      <c r="D482" s="790"/>
      <c r="E482" s="790"/>
      <c r="F482" s="790" t="s">
        <v>3146</v>
      </c>
      <c r="G482" s="2396">
        <f>'Part IV-Uses of Funds'!G68</f>
        <v>20000</v>
      </c>
      <c r="H482" s="2396"/>
      <c r="I482" s="790"/>
      <c r="J482" s="2396">
        <f>'Part IV-Uses of Funds'!J68</f>
        <v>0</v>
      </c>
      <c r="K482" s="2396"/>
      <c r="L482" s="805"/>
      <c r="M482" s="2396">
        <f>'Part IV-Uses of Funds'!M68</f>
        <v>0</v>
      </c>
      <c r="N482" s="2396"/>
      <c r="O482" s="790"/>
      <c r="P482" s="2396">
        <f>'Part IV-Uses of Funds'!P68</f>
        <v>20000</v>
      </c>
      <c r="Q482" s="2396"/>
      <c r="R482" s="790"/>
      <c r="S482" s="2396">
        <f>'Part IV-Uses of Funds'!S68</f>
        <v>0</v>
      </c>
      <c r="T482" s="2396"/>
    </row>
    <row r="483" spans="1:20">
      <c r="A483" s="790"/>
      <c r="B483" s="790" t="s">
        <v>1193</v>
      </c>
      <c r="C483" s="790"/>
      <c r="D483" s="790"/>
      <c r="E483" s="790"/>
      <c r="F483" s="790"/>
      <c r="G483" s="2396">
        <f>'Part IV-Uses of Funds'!G69</f>
        <v>9600</v>
      </c>
      <c r="H483" s="2396"/>
      <c r="I483" s="790"/>
      <c r="J483" s="2396">
        <f>'Part IV-Uses of Funds'!J69</f>
        <v>0</v>
      </c>
      <c r="K483" s="2396"/>
      <c r="L483" s="805"/>
      <c r="M483" s="2396">
        <f>'Part IV-Uses of Funds'!M69</f>
        <v>0</v>
      </c>
      <c r="N483" s="2396"/>
      <c r="O483" s="790"/>
      <c r="P483" s="2396">
        <f>'Part IV-Uses of Funds'!P69</f>
        <v>9600</v>
      </c>
      <c r="Q483" s="2396"/>
      <c r="R483" s="790"/>
      <c r="S483" s="2396">
        <f>'Part IV-Uses of Funds'!S69</f>
        <v>0</v>
      </c>
      <c r="T483" s="2396"/>
    </row>
    <row r="484" spans="1:20">
      <c r="A484" s="790"/>
      <c r="B484" s="790" t="s">
        <v>1194</v>
      </c>
      <c r="C484" s="790"/>
      <c r="D484" s="790"/>
      <c r="E484" s="790"/>
      <c r="F484" s="790"/>
      <c r="G484" s="2396">
        <f>'Part IV-Uses of Funds'!G70</f>
        <v>5667</v>
      </c>
      <c r="H484" s="2396"/>
      <c r="I484" s="790"/>
      <c r="J484" s="2396">
        <f>'Part IV-Uses of Funds'!J70</f>
        <v>0</v>
      </c>
      <c r="K484" s="2396"/>
      <c r="L484" s="805"/>
      <c r="M484" s="2396">
        <f>'Part IV-Uses of Funds'!M70</f>
        <v>0</v>
      </c>
      <c r="N484" s="2396"/>
      <c r="O484" s="790"/>
      <c r="P484" s="2396">
        <f>'Part IV-Uses of Funds'!P70</f>
        <v>5667</v>
      </c>
      <c r="Q484" s="2396"/>
      <c r="R484" s="790"/>
      <c r="S484" s="2396">
        <f>'Part IV-Uses of Funds'!S70</f>
        <v>0</v>
      </c>
      <c r="T484" s="2396"/>
    </row>
    <row r="485" spans="1:20">
      <c r="A485" s="790"/>
      <c r="B485" s="790" t="s">
        <v>1195</v>
      </c>
      <c r="C485" s="790"/>
      <c r="D485" s="790"/>
      <c r="E485" s="790"/>
      <c r="F485" s="790"/>
      <c r="G485" s="2396">
        <f>'Part IV-Uses of Funds'!G71</f>
        <v>10000</v>
      </c>
      <c r="H485" s="2396"/>
      <c r="I485" s="790"/>
      <c r="J485" s="2396">
        <f>'Part IV-Uses of Funds'!J71</f>
        <v>0</v>
      </c>
      <c r="K485" s="2396"/>
      <c r="L485" s="805"/>
      <c r="M485" s="2396">
        <f>'Part IV-Uses of Funds'!M71</f>
        <v>0</v>
      </c>
      <c r="N485" s="2396"/>
      <c r="O485" s="790"/>
      <c r="P485" s="2396">
        <f>'Part IV-Uses of Funds'!P71</f>
        <v>10000</v>
      </c>
      <c r="Q485" s="2396"/>
      <c r="R485" s="790"/>
      <c r="S485" s="2396">
        <f>'Part IV-Uses of Funds'!S71</f>
        <v>0</v>
      </c>
      <c r="T485" s="2396"/>
    </row>
    <row r="486" spans="1:20">
      <c r="A486" s="790"/>
      <c r="B486" s="790" t="s">
        <v>508</v>
      </c>
      <c r="C486" s="790"/>
      <c r="D486" s="790"/>
      <c r="E486" s="790"/>
      <c r="F486" s="790"/>
      <c r="G486" s="2396">
        <f>'Part IV-Uses of Funds'!G72</f>
        <v>10000</v>
      </c>
      <c r="H486" s="2396"/>
      <c r="I486" s="790"/>
      <c r="J486" s="2396">
        <f>'Part IV-Uses of Funds'!J72</f>
        <v>0</v>
      </c>
      <c r="K486" s="2396"/>
      <c r="L486" s="805"/>
      <c r="M486" s="2396">
        <f>'Part IV-Uses of Funds'!M72</f>
        <v>0</v>
      </c>
      <c r="N486" s="2396"/>
      <c r="O486" s="790"/>
      <c r="P486" s="2396">
        <f>'Part IV-Uses of Funds'!P72</f>
        <v>10000</v>
      </c>
      <c r="Q486" s="2396"/>
      <c r="R486" s="790"/>
      <c r="S486" s="2396">
        <f>'Part IV-Uses of Funds'!S72</f>
        <v>0</v>
      </c>
      <c r="T486" s="2396"/>
    </row>
    <row r="487" spans="1:20">
      <c r="A487" s="790"/>
      <c r="B487" s="790" t="s">
        <v>509</v>
      </c>
      <c r="C487" s="790"/>
      <c r="D487" s="790"/>
      <c r="E487" s="790"/>
      <c r="F487" s="790"/>
      <c r="G487" s="2396">
        <f>'Part IV-Uses of Funds'!G73</f>
        <v>70000</v>
      </c>
      <c r="H487" s="2396"/>
      <c r="I487" s="790"/>
      <c r="J487" s="2396">
        <f>'Part IV-Uses of Funds'!J73</f>
        <v>0</v>
      </c>
      <c r="K487" s="2396"/>
      <c r="L487" s="805"/>
      <c r="M487" s="2396">
        <f>'Part IV-Uses of Funds'!M73</f>
        <v>10000</v>
      </c>
      <c r="N487" s="2396"/>
      <c r="O487" s="790"/>
      <c r="P487" s="2396">
        <f>'Part IV-Uses of Funds'!P73</f>
        <v>30000</v>
      </c>
      <c r="Q487" s="2396"/>
      <c r="R487" s="790"/>
      <c r="S487" s="2396">
        <f>'Part IV-Uses of Funds'!S73</f>
        <v>30000</v>
      </c>
      <c r="T487" s="2396"/>
    </row>
    <row r="488" spans="1:20">
      <c r="A488" s="790"/>
      <c r="B488" s="790" t="s">
        <v>2186</v>
      </c>
      <c r="C488" s="790"/>
      <c r="D488" s="790"/>
      <c r="E488" s="790"/>
      <c r="F488" s="790"/>
      <c r="G488" s="2396">
        <f>'Part IV-Uses of Funds'!G74</f>
        <v>26000</v>
      </c>
      <c r="H488" s="2396"/>
      <c r="I488" s="790"/>
      <c r="J488" s="2396">
        <f>'Part IV-Uses of Funds'!J74</f>
        <v>0</v>
      </c>
      <c r="K488" s="2396"/>
      <c r="L488" s="805"/>
      <c r="M488" s="2396">
        <f>'Part IV-Uses of Funds'!M74</f>
        <v>0</v>
      </c>
      <c r="N488" s="2396"/>
      <c r="O488" s="790"/>
      <c r="P488" s="2396">
        <f>'Part IV-Uses of Funds'!P74</f>
        <v>26000</v>
      </c>
      <c r="Q488" s="2396"/>
      <c r="R488" s="790"/>
      <c r="S488" s="2396">
        <f>'Part IV-Uses of Funds'!S74</f>
        <v>0</v>
      </c>
      <c r="T488" s="2396"/>
    </row>
    <row r="489" spans="1:20">
      <c r="A489" s="790"/>
      <c r="B489" s="790" t="s">
        <v>1356</v>
      </c>
      <c r="C489" s="790"/>
      <c r="D489" s="790"/>
      <c r="E489" s="790"/>
      <c r="F489" s="790"/>
      <c r="G489" s="2396">
        <f>'Part IV-Uses of Funds'!G75</f>
        <v>2000</v>
      </c>
      <c r="H489" s="2396"/>
      <c r="I489" s="790"/>
      <c r="J489" s="2396">
        <f>'Part IV-Uses of Funds'!J75</f>
        <v>0</v>
      </c>
      <c r="K489" s="2396"/>
      <c r="L489" s="805"/>
      <c r="M489" s="2396">
        <f>'Part IV-Uses of Funds'!M75</f>
        <v>0</v>
      </c>
      <c r="N489" s="2396"/>
      <c r="O489" s="790"/>
      <c r="P489" s="2396">
        <f>'Part IV-Uses of Funds'!P75</f>
        <v>2000</v>
      </c>
      <c r="Q489" s="2396"/>
      <c r="R489" s="790"/>
      <c r="S489" s="2396">
        <f>'Part IV-Uses of Funds'!S75</f>
        <v>0</v>
      </c>
      <c r="T489" s="2396"/>
    </row>
    <row r="490" spans="1:20" ht="12.75" customHeight="1">
      <c r="A490" s="852" t="str">
        <f>IF(AND(G490&gt;0,OR(C490="",C490="&lt;Enter detailed description here; use Comments section if needed&gt;")),"X","")</f>
        <v/>
      </c>
      <c r="B490" s="790" t="s">
        <v>790</v>
      </c>
      <c r="C490" s="2359">
        <f>'Part IV-Uses of Funds'!C76</f>
        <v>0</v>
      </c>
      <c r="D490" s="2359"/>
      <c r="E490" s="2359"/>
      <c r="F490" s="2359"/>
      <c r="G490" s="2396">
        <f>'Part IV-Uses of Funds'!G76</f>
        <v>0</v>
      </c>
      <c r="H490" s="2396"/>
      <c r="I490" s="790"/>
      <c r="J490" s="2396">
        <f>'Part IV-Uses of Funds'!J76</f>
        <v>0</v>
      </c>
      <c r="K490" s="2396"/>
      <c r="L490" s="805"/>
      <c r="M490" s="2396">
        <f>'Part IV-Uses of Funds'!M76</f>
        <v>0</v>
      </c>
      <c r="N490" s="2396"/>
      <c r="O490" s="790"/>
      <c r="P490" s="2396">
        <f>'Part IV-Uses of Funds'!P76</f>
        <v>0</v>
      </c>
      <c r="Q490" s="2396"/>
      <c r="R490" s="790"/>
      <c r="S490" s="2396">
        <f>'Part IV-Uses of Funds'!S76</f>
        <v>0</v>
      </c>
      <c r="T490" s="2396"/>
    </row>
    <row r="491" spans="1:20">
      <c r="A491" s="790"/>
      <c r="B491" s="790"/>
      <c r="C491" s="790"/>
      <c r="D491" s="790"/>
      <c r="E491" s="790"/>
      <c r="F491" s="853" t="s">
        <v>199</v>
      </c>
      <c r="G491" s="2396">
        <f>SUM(G480:H490)</f>
        <v>365267</v>
      </c>
      <c r="H491" s="2396"/>
      <c r="I491" s="790"/>
      <c r="J491" s="2396">
        <f>SUM(J480:K490)</f>
        <v>0</v>
      </c>
      <c r="K491" s="2396"/>
      <c r="L491" s="805"/>
      <c r="M491" s="2396">
        <f>SUM(M480:N490)</f>
        <v>10000</v>
      </c>
      <c r="N491" s="2396"/>
      <c r="O491" s="790"/>
      <c r="P491" s="2396">
        <f>SUM(P480:Q490)</f>
        <v>325267</v>
      </c>
      <c r="Q491" s="2396"/>
      <c r="R491" s="790"/>
      <c r="S491" s="2396">
        <f>SUM(S480:T490)</f>
        <v>30000</v>
      </c>
      <c r="T491" s="2396"/>
    </row>
    <row r="492" spans="1:20">
      <c r="A492" s="790"/>
      <c r="B492" s="793" t="s">
        <v>1348</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1349</v>
      </c>
      <c r="C493" s="790"/>
      <c r="D493" s="790"/>
      <c r="E493" s="790"/>
      <c r="F493" s="790"/>
      <c r="G493" s="2396">
        <f>'Part IV-Uses of Funds'!G79</f>
        <v>21639</v>
      </c>
      <c r="H493" s="2396"/>
      <c r="I493" s="790"/>
      <c r="J493" s="2396">
        <f>'Part IV-Uses of Funds'!J79</f>
        <v>0</v>
      </c>
      <c r="K493" s="2396"/>
      <c r="L493" s="805"/>
      <c r="M493" s="2396">
        <f>'Part IV-Uses of Funds'!M79</f>
        <v>0</v>
      </c>
      <c r="N493" s="2396"/>
      <c r="O493" s="790"/>
      <c r="P493" s="2396">
        <f>'Part IV-Uses of Funds'!P79</f>
        <v>21639</v>
      </c>
      <c r="Q493" s="2396"/>
      <c r="R493" s="790"/>
      <c r="S493" s="2396">
        <f>'Part IV-Uses of Funds'!S79</f>
        <v>0</v>
      </c>
      <c r="T493" s="2396"/>
    </row>
    <row r="494" spans="1:20">
      <c r="A494" s="790"/>
      <c r="B494" s="790" t="s">
        <v>1350</v>
      </c>
      <c r="C494" s="790"/>
      <c r="D494" s="790"/>
      <c r="E494" s="790"/>
      <c r="F494" s="790"/>
      <c r="G494" s="2396">
        <f>'Part IV-Uses of Funds'!G80</f>
        <v>0</v>
      </c>
      <c r="H494" s="2396"/>
      <c r="I494" s="790"/>
      <c r="J494" s="2396">
        <f>'Part IV-Uses of Funds'!J80</f>
        <v>0</v>
      </c>
      <c r="K494" s="2396"/>
      <c r="L494" s="805"/>
      <c r="M494" s="2396">
        <f>'Part IV-Uses of Funds'!M80</f>
        <v>0</v>
      </c>
      <c r="N494" s="2396"/>
      <c r="O494" s="790"/>
      <c r="P494" s="2396">
        <f>'Part IV-Uses of Funds'!P80</f>
        <v>0</v>
      </c>
      <c r="Q494" s="2396"/>
      <c r="R494" s="790"/>
      <c r="S494" s="2396">
        <f>'Part IV-Uses of Funds'!S80</f>
        <v>0</v>
      </c>
      <c r="T494" s="2396"/>
    </row>
    <row r="495" spans="1:20">
      <c r="A495" s="790"/>
      <c r="B495" s="790" t="s">
        <v>1351</v>
      </c>
      <c r="C495" s="790"/>
      <c r="D495" s="866" t="s">
        <v>1492</v>
      </c>
      <c r="E495" s="874">
        <f>'Part IV-Uses of Funds'!E81</f>
        <v>0</v>
      </c>
      <c r="F495" s="790"/>
      <c r="G495" s="2396">
        <f>'Part IV-Uses of Funds'!G81</f>
        <v>0</v>
      </c>
      <c r="H495" s="2396"/>
      <c r="I495" s="795"/>
      <c r="J495" s="2396">
        <f>'Part IV-Uses of Funds'!J81</f>
        <v>0</v>
      </c>
      <c r="K495" s="2396"/>
      <c r="L495" s="805"/>
      <c r="M495" s="2396">
        <f>'Part IV-Uses of Funds'!M81</f>
        <v>0</v>
      </c>
      <c r="N495" s="2396"/>
      <c r="O495" s="790"/>
      <c r="P495" s="2396">
        <f>'Part IV-Uses of Funds'!P81</f>
        <v>0</v>
      </c>
      <c r="Q495" s="2396"/>
      <c r="R495" s="790"/>
      <c r="S495" s="2396">
        <f>'Part IV-Uses of Funds'!S81</f>
        <v>0</v>
      </c>
      <c r="T495" s="2396"/>
    </row>
    <row r="496" spans="1:20">
      <c r="A496" s="790"/>
      <c r="B496" s="790" t="s">
        <v>1352</v>
      </c>
      <c r="C496" s="790"/>
      <c r="D496" s="866" t="s">
        <v>1492</v>
      </c>
      <c r="E496" s="874">
        <f>'Part IV-Uses of Funds'!E82</f>
        <v>0</v>
      </c>
      <c r="F496" s="790"/>
      <c r="G496" s="2396">
        <f>'Part IV-Uses of Funds'!G82</f>
        <v>0</v>
      </c>
      <c r="H496" s="2396"/>
      <c r="I496" s="795"/>
      <c r="J496" s="2396">
        <f>'Part IV-Uses of Funds'!J82</f>
        <v>0</v>
      </c>
      <c r="K496" s="2396"/>
      <c r="L496" s="805"/>
      <c r="M496" s="2396">
        <f>'Part IV-Uses of Funds'!M82</f>
        <v>0</v>
      </c>
      <c r="N496" s="2396"/>
      <c r="O496" s="790"/>
      <c r="P496" s="2396">
        <f>'Part IV-Uses of Funds'!P82</f>
        <v>0</v>
      </c>
      <c r="Q496" s="2396"/>
      <c r="R496" s="790"/>
      <c r="S496" s="2396">
        <f>'Part IV-Uses of Funds'!S82</f>
        <v>0</v>
      </c>
      <c r="T496" s="2396"/>
    </row>
    <row r="497" spans="1:20">
      <c r="A497" s="790"/>
      <c r="B497" s="790"/>
      <c r="C497" s="790"/>
      <c r="D497" s="790"/>
      <c r="E497" s="790"/>
      <c r="F497" s="853" t="s">
        <v>199</v>
      </c>
      <c r="G497" s="2396">
        <f>SUM(G493:H496)</f>
        <v>21639</v>
      </c>
      <c r="H497" s="2396"/>
      <c r="I497" s="790"/>
      <c r="J497" s="2396">
        <f>SUM(J493:K496)</f>
        <v>0</v>
      </c>
      <c r="K497" s="2396"/>
      <c r="L497" s="805"/>
      <c r="M497" s="2396">
        <f>SUM(M493:N496)</f>
        <v>0</v>
      </c>
      <c r="N497" s="2396"/>
      <c r="O497" s="790"/>
      <c r="P497" s="2396">
        <f>SUM(P493:Q496)</f>
        <v>21639</v>
      </c>
      <c r="Q497" s="2396"/>
      <c r="R497" s="790"/>
      <c r="S497" s="2396">
        <f>SUM(S493:T496)</f>
        <v>0</v>
      </c>
      <c r="T497" s="2396"/>
    </row>
    <row r="498" spans="1:20">
      <c r="A498" s="790"/>
      <c r="B498" s="793" t="s">
        <v>773</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1353</v>
      </c>
      <c r="C499" s="790"/>
      <c r="D499" s="790"/>
      <c r="E499" s="790"/>
      <c r="F499" s="790"/>
      <c r="G499" s="2396">
        <f>'Part IV-Uses of Funds'!G85</f>
        <v>22725</v>
      </c>
      <c r="H499" s="2396"/>
      <c r="I499" s="790"/>
      <c r="J499" s="2419"/>
      <c r="K499" s="2419"/>
      <c r="L499" s="805"/>
      <c r="M499" s="2419"/>
      <c r="N499" s="2419"/>
      <c r="O499" s="790"/>
      <c r="P499" s="2419"/>
      <c r="Q499" s="2419"/>
      <c r="R499" s="790"/>
      <c r="S499" s="2396">
        <f>'Part IV-Uses of Funds'!S85</f>
        <v>22725</v>
      </c>
      <c r="T499" s="2396"/>
    </row>
    <row r="500" spans="1:20">
      <c r="A500" s="790"/>
      <c r="B500" s="790" t="s">
        <v>1354</v>
      </c>
      <c r="C500" s="790"/>
      <c r="D500" s="790"/>
      <c r="E500" s="790"/>
      <c r="F500" s="790"/>
      <c r="G500" s="2396">
        <f>'Part IV-Uses of Funds'!G86</f>
        <v>0</v>
      </c>
      <c r="H500" s="2396"/>
      <c r="I500" s="790"/>
      <c r="J500" s="2419"/>
      <c r="K500" s="2419"/>
      <c r="L500" s="805"/>
      <c r="M500" s="2419"/>
      <c r="N500" s="2419"/>
      <c r="O500" s="790"/>
      <c r="P500" s="2419"/>
      <c r="Q500" s="2419"/>
      <c r="R500" s="790"/>
      <c r="S500" s="2396">
        <f>'Part IV-Uses of Funds'!S86</f>
        <v>0</v>
      </c>
      <c r="T500" s="2396"/>
    </row>
    <row r="501" spans="1:20">
      <c r="A501" s="790"/>
      <c r="B501" s="790" t="s">
        <v>1355</v>
      </c>
      <c r="C501" s="790"/>
      <c r="D501" s="790"/>
      <c r="E501" s="790"/>
      <c r="F501" s="790"/>
      <c r="G501" s="2396">
        <f>'Part IV-Uses of Funds'!G87</f>
        <v>40000</v>
      </c>
      <c r="H501" s="2396"/>
      <c r="I501" s="790"/>
      <c r="J501" s="2419"/>
      <c r="K501" s="2419"/>
      <c r="L501" s="805"/>
      <c r="M501" s="2419"/>
      <c r="N501" s="2419"/>
      <c r="O501" s="790"/>
      <c r="P501" s="2419"/>
      <c r="Q501" s="2419"/>
      <c r="R501" s="790"/>
      <c r="S501" s="2396">
        <f>'Part IV-Uses of Funds'!S87</f>
        <v>40000</v>
      </c>
      <c r="T501" s="2396"/>
    </row>
    <row r="502" spans="1:20">
      <c r="A502" s="790"/>
      <c r="B502" s="790" t="s">
        <v>1357</v>
      </c>
      <c r="C502" s="790"/>
      <c r="D502" s="790"/>
      <c r="E502" s="790"/>
      <c r="F502" s="790"/>
      <c r="G502" s="2396">
        <f>'Part IV-Uses of Funds'!G88</f>
        <v>0</v>
      </c>
      <c r="H502" s="2396"/>
      <c r="I502" s="790"/>
      <c r="J502" s="2419"/>
      <c r="K502" s="2419"/>
      <c r="L502" s="805"/>
      <c r="M502" s="2419"/>
      <c r="N502" s="2419"/>
      <c r="O502" s="790"/>
      <c r="P502" s="2419"/>
      <c r="Q502" s="2419"/>
      <c r="R502" s="790"/>
      <c r="S502" s="2396">
        <f>'Part IV-Uses of Funds'!S88</f>
        <v>0</v>
      </c>
      <c r="T502" s="2396"/>
    </row>
    <row r="503" spans="1:20">
      <c r="A503" s="790"/>
      <c r="B503" s="790" t="s">
        <v>2446</v>
      </c>
      <c r="C503" s="790"/>
      <c r="D503" s="790"/>
      <c r="E503" s="790"/>
      <c r="F503" s="790"/>
      <c r="G503" s="2396">
        <f>'Part IV-Uses of Funds'!G89</f>
        <v>0</v>
      </c>
      <c r="H503" s="2396"/>
      <c r="I503" s="790"/>
      <c r="J503" s="2419"/>
      <c r="K503" s="2419"/>
      <c r="L503" s="805"/>
      <c r="M503" s="2419"/>
      <c r="N503" s="2419"/>
      <c r="O503" s="790"/>
      <c r="P503" s="2419"/>
      <c r="Q503" s="2419"/>
      <c r="R503" s="790"/>
      <c r="S503" s="2396">
        <f>'Part IV-Uses of Funds'!S89</f>
        <v>0</v>
      </c>
      <c r="T503" s="2396"/>
    </row>
    <row r="504" spans="1:20" ht="15.75">
      <c r="A504" s="852" t="str">
        <f>IF(AND(G504&gt;0,OR(C504="",C504="&lt;Enter detailed description here; use Comments section if needed&gt;")),"X","")</f>
        <v/>
      </c>
      <c r="B504" s="790" t="s">
        <v>790</v>
      </c>
      <c r="C504" s="2359" t="str">
        <f>'Part IV-Uses of Funds'!C90</f>
        <v>&lt;Enter detailed description here; use Comments section if needed&gt;</v>
      </c>
      <c r="D504" s="2359"/>
      <c r="E504" s="2359"/>
      <c r="F504" s="2359"/>
      <c r="G504" s="2396">
        <f>'Part IV-Uses of Funds'!G90</f>
        <v>0</v>
      </c>
      <c r="H504" s="2396"/>
      <c r="I504" s="790"/>
      <c r="J504" s="2419"/>
      <c r="K504" s="2419"/>
      <c r="L504" s="805"/>
      <c r="M504" s="2419"/>
      <c r="N504" s="2419"/>
      <c r="O504" s="790"/>
      <c r="P504" s="2419"/>
      <c r="Q504" s="2419"/>
      <c r="R504" s="790"/>
      <c r="S504" s="2396">
        <f>'Part IV-Uses of Funds'!S90</f>
        <v>0</v>
      </c>
      <c r="T504" s="2396"/>
    </row>
    <row r="505" spans="1:20">
      <c r="A505" s="790"/>
      <c r="B505" s="790"/>
      <c r="C505" s="790"/>
      <c r="D505" s="790"/>
      <c r="E505" s="790"/>
      <c r="F505" s="853" t="s">
        <v>199</v>
      </c>
      <c r="G505" s="2396">
        <f>SUM(G499:H504)</f>
        <v>62725</v>
      </c>
      <c r="H505" s="2396"/>
      <c r="I505" s="790"/>
      <c r="J505" s="2419"/>
      <c r="K505" s="2419"/>
      <c r="L505" s="805"/>
      <c r="M505" s="2419"/>
      <c r="N505" s="2419"/>
      <c r="O505" s="790"/>
      <c r="P505" s="2419"/>
      <c r="Q505" s="2419"/>
      <c r="R505" s="790"/>
      <c r="S505" s="2396">
        <f>SUM(S499:T504)</f>
        <v>62725</v>
      </c>
      <c r="T505" s="2396"/>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656</v>
      </c>
      <c r="B507" s="850" t="s">
        <v>3660</v>
      </c>
      <c r="C507" s="790"/>
      <c r="D507" s="790"/>
      <c r="E507" s="790"/>
      <c r="F507" s="790"/>
      <c r="G507" s="790"/>
      <c r="H507" s="790"/>
      <c r="I507" s="790"/>
      <c r="J507" s="2412" t="s">
        <v>285</v>
      </c>
      <c r="K507" s="2412"/>
      <c r="L507" s="851"/>
      <c r="M507" s="2413" t="s">
        <v>519</v>
      </c>
      <c r="N507" s="2413"/>
      <c r="O507" s="790"/>
      <c r="P507" s="2412" t="s">
        <v>286</v>
      </c>
      <c r="Q507" s="2412"/>
      <c r="R507" s="790"/>
      <c r="S507" s="2412" t="s">
        <v>287</v>
      </c>
      <c r="T507" s="2412"/>
    </row>
    <row r="508" spans="1:20">
      <c r="A508" s="790"/>
      <c r="B508" s="790"/>
      <c r="C508" s="790"/>
      <c r="D508" s="790"/>
      <c r="E508" s="790"/>
      <c r="F508" s="790"/>
      <c r="G508" s="2356" t="s">
        <v>104</v>
      </c>
      <c r="H508" s="2356"/>
      <c r="I508" s="790"/>
      <c r="J508" s="2412"/>
      <c r="K508" s="2412"/>
      <c r="L508" s="851"/>
      <c r="M508" s="2413"/>
      <c r="N508" s="2413"/>
      <c r="O508" s="790"/>
      <c r="P508" s="2412"/>
      <c r="Q508" s="2412"/>
      <c r="R508" s="790"/>
      <c r="S508" s="2412"/>
      <c r="T508" s="2412"/>
    </row>
    <row r="509" spans="1:20">
      <c r="A509" s="790"/>
      <c r="B509" s="793" t="s">
        <v>774</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1642</v>
      </c>
      <c r="C510" s="790"/>
      <c r="D510" s="790"/>
      <c r="E510" s="790"/>
      <c r="F510" s="790"/>
      <c r="G510" s="2396">
        <f>'Part IV-Uses of Funds'!G96</f>
        <v>0</v>
      </c>
      <c r="H510" s="2396"/>
      <c r="I510" s="790"/>
      <c r="J510" s="805"/>
      <c r="K510" s="805"/>
      <c r="L510" s="805"/>
      <c r="M510" s="805"/>
      <c r="N510" s="805"/>
      <c r="O510" s="790"/>
      <c r="P510" s="805"/>
      <c r="Q510" s="805"/>
      <c r="R510" s="790"/>
      <c r="S510" s="2396">
        <f>'Part IV-Uses of Funds'!S96</f>
        <v>0</v>
      </c>
      <c r="T510" s="2396"/>
    </row>
    <row r="511" spans="1:20">
      <c r="A511" s="790"/>
      <c r="B511" s="790" t="s">
        <v>1273</v>
      </c>
      <c r="C511" s="790"/>
      <c r="D511" s="790"/>
      <c r="E511" s="790"/>
      <c r="F511" s="790"/>
      <c r="G511" s="2396">
        <f>'Part IV-Uses of Funds'!G97</f>
        <v>6500</v>
      </c>
      <c r="H511" s="2396"/>
      <c r="I511" s="790"/>
      <c r="J511" s="805"/>
      <c r="K511" s="805"/>
      <c r="L511" s="867"/>
      <c r="M511" s="805"/>
      <c r="N511" s="805"/>
      <c r="O511" s="790"/>
      <c r="P511" s="805"/>
      <c r="Q511" s="805"/>
      <c r="R511" s="790"/>
      <c r="S511" s="2396">
        <f>'Part IV-Uses of Funds'!S97</f>
        <v>6500</v>
      </c>
      <c r="T511" s="2396"/>
    </row>
    <row r="512" spans="1:20">
      <c r="A512" s="790"/>
      <c r="B512" s="790" t="s">
        <v>2917</v>
      </c>
      <c r="C512" s="790"/>
      <c r="D512" s="790"/>
      <c r="E512" s="790"/>
      <c r="F512" s="790"/>
      <c r="G512" s="2396">
        <f>'Part IV-Uses of Funds'!G98</f>
        <v>1500</v>
      </c>
      <c r="H512" s="2396"/>
      <c r="I512" s="790"/>
      <c r="J512" s="805"/>
      <c r="K512" s="805"/>
      <c r="L512" s="867"/>
      <c r="M512" s="805"/>
      <c r="N512" s="805"/>
      <c r="O512" s="790"/>
      <c r="P512" s="805"/>
      <c r="Q512" s="805"/>
      <c r="R512" s="790"/>
      <c r="S512" s="2396">
        <f>'Part IV-Uses of Funds'!S98</f>
        <v>1500</v>
      </c>
      <c r="T512" s="2396"/>
    </row>
    <row r="513" spans="1:20">
      <c r="A513" s="790"/>
      <c r="B513" s="790" t="s">
        <v>551</v>
      </c>
      <c r="C513" s="790"/>
      <c r="D513" s="790"/>
      <c r="E513" s="2420">
        <f>'DCA Underwriting Assumptions'!$Q$40*$J$173</f>
        <v>0</v>
      </c>
      <c r="F513" s="2420"/>
      <c r="G513" s="2396">
        <f>'Part IV-Uses of Funds'!G99</f>
        <v>80000</v>
      </c>
      <c r="H513" s="2396"/>
      <c r="I513" s="790"/>
      <c r="J513" s="805"/>
      <c r="K513" s="805"/>
      <c r="L513" s="805"/>
      <c r="M513" s="805"/>
      <c r="N513" s="805"/>
      <c r="O513" s="790"/>
      <c r="P513" s="805"/>
      <c r="Q513" s="805"/>
      <c r="R513" s="790"/>
      <c r="S513" s="2396">
        <f>'Part IV-Uses of Funds'!S99</f>
        <v>80000</v>
      </c>
      <c r="T513" s="2396"/>
    </row>
    <row r="514" spans="1:20">
      <c r="A514" s="790"/>
      <c r="B514" s="790" t="s">
        <v>802</v>
      </c>
      <c r="C514" s="790"/>
      <c r="D514" s="790"/>
      <c r="E514" s="242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102400</v>
      </c>
      <c r="F514" s="2420"/>
      <c r="G514" s="2396">
        <f>'Part IV-Uses of Funds'!G100</f>
        <v>102400</v>
      </c>
      <c r="H514" s="2396"/>
      <c r="I514" s="790"/>
      <c r="J514" s="795"/>
      <c r="K514" s="795"/>
      <c r="L514" s="795"/>
      <c r="M514" s="795"/>
      <c r="N514" s="795"/>
      <c r="O514" s="795"/>
      <c r="P514" s="795"/>
      <c r="Q514" s="795"/>
      <c r="R514" s="790"/>
      <c r="S514" s="2396">
        <f>'Part IV-Uses of Funds'!S100</f>
        <v>102400</v>
      </c>
      <c r="T514" s="2396"/>
    </row>
    <row r="515" spans="1:20">
      <c r="A515" s="790"/>
      <c r="B515" s="790" t="s">
        <v>514</v>
      </c>
      <c r="C515" s="790"/>
      <c r="D515" s="790"/>
      <c r="E515" s="790"/>
      <c r="F515" s="790"/>
      <c r="G515" s="2396">
        <f>'Part IV-Uses of Funds'!G101</f>
        <v>0</v>
      </c>
      <c r="H515" s="2396"/>
      <c r="I515" s="790"/>
      <c r="J515" s="795"/>
      <c r="K515" s="795"/>
      <c r="L515" s="795"/>
      <c r="M515" s="795"/>
      <c r="N515" s="795"/>
      <c r="O515" s="795"/>
      <c r="P515" s="795"/>
      <c r="Q515" s="795"/>
      <c r="R515" s="790"/>
      <c r="S515" s="2396">
        <f>'Part IV-Uses of Funds'!S101</f>
        <v>0</v>
      </c>
      <c r="T515" s="2396"/>
    </row>
    <row r="516" spans="1:20">
      <c r="A516" s="790"/>
      <c r="B516" s="790" t="s">
        <v>2503</v>
      </c>
      <c r="C516" s="790"/>
      <c r="D516" s="790"/>
      <c r="E516" s="790"/>
      <c r="F516" s="790"/>
      <c r="G516" s="2396">
        <f>'Part IV-Uses of Funds'!G102</f>
        <v>3000</v>
      </c>
      <c r="H516" s="2396"/>
      <c r="I516" s="790"/>
      <c r="J516" s="795"/>
      <c r="K516" s="795"/>
      <c r="L516" s="795"/>
      <c r="M516" s="795"/>
      <c r="N516" s="795"/>
      <c r="O516" s="795"/>
      <c r="P516" s="795"/>
      <c r="Q516" s="795"/>
      <c r="R516" s="790"/>
      <c r="S516" s="2396">
        <f>'Part IV-Uses of Funds'!S102</f>
        <v>3000</v>
      </c>
      <c r="T516" s="2396"/>
    </row>
    <row r="517" spans="1:20" ht="15.75">
      <c r="A517" s="852" t="str">
        <f>IF(AND(G517&gt;0,OR(C517="",C517="&lt;Enter detailed description here; use Comments section if needed&gt;")),"X","")</f>
        <v/>
      </c>
      <c r="B517" s="790" t="s">
        <v>790</v>
      </c>
      <c r="C517" s="2359" t="str">
        <f>'Part IV-Uses of Funds'!C103</f>
        <v>DCA Cost Review</v>
      </c>
      <c r="D517" s="2359"/>
      <c r="E517" s="2359"/>
      <c r="F517" s="2359"/>
      <c r="G517" s="2396">
        <f>'Part IV-Uses of Funds'!G103</f>
        <v>2700</v>
      </c>
      <c r="H517" s="2396"/>
      <c r="I517" s="790"/>
      <c r="J517" s="795"/>
      <c r="K517" s="795"/>
      <c r="L517" s="795"/>
      <c r="M517" s="795"/>
      <c r="N517" s="795"/>
      <c r="O517" s="795"/>
      <c r="P517" s="795"/>
      <c r="Q517" s="795"/>
      <c r="R517" s="790"/>
      <c r="S517" s="2396">
        <f>'Part IV-Uses of Funds'!S103</f>
        <v>2700</v>
      </c>
      <c r="T517" s="2396"/>
    </row>
    <row r="518" spans="1:20" ht="15.75">
      <c r="A518" s="852" t="str">
        <f>IF(AND(G518&gt;0,OR(C518="",C518="&lt;Enter detailed description here; use Comments section if needed&gt;")),"X","")</f>
        <v/>
      </c>
      <c r="B518" s="790" t="s">
        <v>790</v>
      </c>
      <c r="C518" s="2359" t="str">
        <f>'Part IV-Uses of Funds'!C104</f>
        <v>DCA Determination Fee</v>
      </c>
      <c r="D518" s="2359"/>
      <c r="E518" s="2359"/>
      <c r="F518" s="2359"/>
      <c r="G518" s="2396">
        <f>'Part IV-Uses of Funds'!G104</f>
        <v>1000</v>
      </c>
      <c r="H518" s="2396"/>
      <c r="I518" s="790"/>
      <c r="J518" s="795"/>
      <c r="K518" s="795"/>
      <c r="L518" s="795"/>
      <c r="M518" s="795"/>
      <c r="N518" s="795"/>
      <c r="O518" s="795"/>
      <c r="P518" s="795"/>
      <c r="Q518" s="795"/>
      <c r="R518" s="790"/>
      <c r="S518" s="2396">
        <f>'Part IV-Uses of Funds'!S104</f>
        <v>1000</v>
      </c>
      <c r="T518" s="2396"/>
    </row>
    <row r="519" spans="1:20">
      <c r="A519" s="790"/>
      <c r="B519" s="790"/>
      <c r="C519" s="790"/>
      <c r="D519" s="790"/>
      <c r="E519" s="790"/>
      <c r="F519" s="853" t="s">
        <v>199</v>
      </c>
      <c r="G519" s="2396">
        <f>SUM(G510:H518)</f>
        <v>197100</v>
      </c>
      <c r="H519" s="2396"/>
      <c r="I519" s="790"/>
      <c r="J519" s="805"/>
      <c r="K519" s="805"/>
      <c r="L519" s="805"/>
      <c r="M519" s="805"/>
      <c r="N519" s="805"/>
      <c r="O519" s="790"/>
      <c r="P519" s="805"/>
      <c r="Q519" s="805"/>
      <c r="R519" s="790"/>
      <c r="S519" s="2396">
        <f>SUM(S510:T518)</f>
        <v>197100</v>
      </c>
      <c r="T519" s="2396"/>
    </row>
    <row r="520" spans="1:20">
      <c r="A520" s="790"/>
      <c r="B520" s="793" t="s">
        <v>2447</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96">
        <f>'Part IV-Uses of Funds'!G107</f>
        <v>5000</v>
      </c>
      <c r="H521" s="2396"/>
      <c r="I521" s="790"/>
      <c r="J521" s="2419"/>
      <c r="K521" s="2419"/>
      <c r="L521" s="805"/>
      <c r="M521" s="2419"/>
      <c r="N521" s="2419"/>
      <c r="O521" s="790"/>
      <c r="P521" s="2419"/>
      <c r="Q521" s="2419"/>
      <c r="R521" s="790"/>
      <c r="S521" s="2396">
        <f>'Part IV-Uses of Funds'!S107</f>
        <v>5000</v>
      </c>
      <c r="T521" s="2396"/>
    </row>
    <row r="522" spans="1:20">
      <c r="A522" s="790"/>
      <c r="B522" s="790" t="s">
        <v>296</v>
      </c>
      <c r="C522" s="790"/>
      <c r="D522" s="790"/>
      <c r="E522" s="790"/>
      <c r="F522" s="790"/>
      <c r="G522" s="2396">
        <f>'Part IV-Uses of Funds'!G108</f>
        <v>0</v>
      </c>
      <c r="H522" s="2396"/>
      <c r="I522" s="790"/>
      <c r="J522" s="2419"/>
      <c r="K522" s="2419"/>
      <c r="L522" s="805"/>
      <c r="M522" s="2419"/>
      <c r="N522" s="2419"/>
      <c r="O522" s="790"/>
      <c r="P522" s="2419"/>
      <c r="Q522" s="2419"/>
      <c r="R522" s="790"/>
      <c r="S522" s="2396">
        <f>'Part IV-Uses of Funds'!S108</f>
        <v>0</v>
      </c>
      <c r="T522" s="2396"/>
    </row>
    <row r="523" spans="1:20">
      <c r="A523" s="790"/>
      <c r="B523" s="790" t="s">
        <v>2541</v>
      </c>
      <c r="C523" s="790"/>
      <c r="D523" s="790"/>
      <c r="E523" s="790"/>
      <c r="F523" s="790"/>
      <c r="G523" s="2396">
        <f>'Part IV-Uses of Funds'!G109</f>
        <v>25000</v>
      </c>
      <c r="H523" s="2396"/>
      <c r="I523" s="790"/>
      <c r="J523" s="2419"/>
      <c r="K523" s="2419"/>
      <c r="L523" s="805"/>
      <c r="M523" s="2419"/>
      <c r="N523" s="2419"/>
      <c r="O523" s="790"/>
      <c r="P523" s="2419"/>
      <c r="Q523" s="2419"/>
      <c r="R523" s="790"/>
      <c r="S523" s="2396">
        <f>'Part IV-Uses of Funds'!S109</f>
        <v>25000</v>
      </c>
      <c r="T523" s="2396"/>
    </row>
    <row r="524" spans="1:20" ht="15.75">
      <c r="A524" s="852" t="str">
        <f>IF(AND(G524&gt;0,OR(C524="",C524="&lt;Enter detailed description here; use Comments section if needed&gt;")),"X","")</f>
        <v/>
      </c>
      <c r="B524" s="790" t="s">
        <v>790</v>
      </c>
      <c r="C524" s="2359">
        <f>'Part IV-Uses of Funds'!C110</f>
        <v>0</v>
      </c>
      <c r="D524" s="2359"/>
      <c r="E524" s="2359"/>
      <c r="F524" s="2359"/>
      <c r="G524" s="2396">
        <f>'Part IV-Uses of Funds'!G110</f>
        <v>0</v>
      </c>
      <c r="H524" s="2396"/>
      <c r="I524" s="790"/>
      <c r="J524" s="2419"/>
      <c r="K524" s="2419"/>
      <c r="L524" s="805"/>
      <c r="M524" s="2419"/>
      <c r="N524" s="2419"/>
      <c r="O524" s="790"/>
      <c r="P524" s="2419"/>
      <c r="Q524" s="2419"/>
      <c r="R524" s="790"/>
      <c r="S524" s="2396">
        <f>'Part IV-Uses of Funds'!S110</f>
        <v>0</v>
      </c>
      <c r="T524" s="2396"/>
    </row>
    <row r="525" spans="1:20">
      <c r="A525" s="790"/>
      <c r="B525" s="790"/>
      <c r="C525" s="790"/>
      <c r="D525" s="790"/>
      <c r="E525" s="790"/>
      <c r="F525" s="853" t="s">
        <v>199</v>
      </c>
      <c r="G525" s="2396">
        <f>SUM(G521:H524)</f>
        <v>30000</v>
      </c>
      <c r="H525" s="2396"/>
      <c r="I525" s="790"/>
      <c r="J525" s="2419"/>
      <c r="K525" s="2419"/>
      <c r="L525" s="805"/>
      <c r="M525" s="2419"/>
      <c r="N525" s="2419"/>
      <c r="O525" s="790"/>
      <c r="P525" s="2419"/>
      <c r="Q525" s="2419"/>
      <c r="R525" s="790"/>
      <c r="S525" s="2396">
        <f>SUM(S521:T524)</f>
        <v>30000</v>
      </c>
      <c r="T525" s="2396"/>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1988</v>
      </c>
      <c r="C527" s="790"/>
      <c r="D527" s="790"/>
      <c r="E527" s="790"/>
      <c r="F527" s="841" t="e">
        <f>G527/$G$116</f>
        <v>#DIV/0!</v>
      </c>
      <c r="G527" s="2396">
        <f>'Part IV-Uses of Funds'!G113</f>
        <v>0</v>
      </c>
      <c r="H527" s="2396"/>
      <c r="I527" s="790"/>
      <c r="J527" s="2396">
        <f>'Part IV-Uses of Funds'!J113</f>
        <v>0</v>
      </c>
      <c r="K527" s="2396"/>
      <c r="L527" s="854"/>
      <c r="M527" s="2396">
        <f>'Part IV-Uses of Funds'!M113</f>
        <v>0</v>
      </c>
      <c r="N527" s="2396"/>
      <c r="O527" s="790"/>
      <c r="P527" s="2396">
        <f>'Part IV-Uses of Funds'!P113</f>
        <v>0</v>
      </c>
      <c r="Q527" s="2396"/>
      <c r="R527" s="790"/>
      <c r="S527" s="2396">
        <f>'Part IV-Uses of Funds'!S113</f>
        <v>0</v>
      </c>
      <c r="T527" s="2396"/>
    </row>
    <row r="528" spans="1:20">
      <c r="A528" s="790"/>
      <c r="B528" s="790" t="s">
        <v>1989</v>
      </c>
      <c r="C528" s="790"/>
      <c r="D528" s="790"/>
      <c r="E528" s="790"/>
      <c r="F528" s="841" t="e">
        <f>G528/$G$116</f>
        <v>#DIV/0!</v>
      </c>
      <c r="G528" s="2396">
        <f>'Part IV-Uses of Funds'!G114</f>
        <v>0</v>
      </c>
      <c r="H528" s="2396"/>
      <c r="I528" s="790"/>
      <c r="J528" s="2396">
        <f>'Part IV-Uses of Funds'!J114</f>
        <v>0</v>
      </c>
      <c r="K528" s="2396"/>
      <c r="L528" s="805"/>
      <c r="M528" s="2396">
        <f>'Part IV-Uses of Funds'!M114</f>
        <v>0</v>
      </c>
      <c r="N528" s="2396"/>
      <c r="O528" s="790"/>
      <c r="P528" s="2396">
        <f>'Part IV-Uses of Funds'!P114</f>
        <v>0</v>
      </c>
      <c r="Q528" s="2396"/>
      <c r="R528" s="790"/>
      <c r="S528" s="2396">
        <f>'Part IV-Uses of Funds'!S114</f>
        <v>0</v>
      </c>
      <c r="T528" s="2396"/>
    </row>
    <row r="529" spans="1:20">
      <c r="A529" s="790"/>
      <c r="B529" s="790" t="s">
        <v>1981</v>
      </c>
      <c r="C529" s="790"/>
      <c r="D529" s="790"/>
      <c r="E529" s="790"/>
      <c r="F529" s="841" t="e">
        <f>G529/$G$116</f>
        <v>#DIV/0!</v>
      </c>
      <c r="G529" s="2396">
        <f>'Part IV-Uses of Funds'!G115</f>
        <v>1782087</v>
      </c>
      <c r="H529" s="2396"/>
      <c r="I529" s="790"/>
      <c r="J529" s="2396">
        <f>'Part IV-Uses of Funds'!J115</f>
        <v>0</v>
      </c>
      <c r="K529" s="2396"/>
      <c r="L529" s="805"/>
      <c r="M529" s="2396">
        <f>'Part IV-Uses of Funds'!M115</f>
        <v>405750</v>
      </c>
      <c r="N529" s="2396"/>
      <c r="O529" s="790"/>
      <c r="P529" s="2396">
        <f>'Part IV-Uses of Funds'!P115</f>
        <v>1376337</v>
      </c>
      <c r="Q529" s="2396"/>
      <c r="R529" s="790"/>
      <c r="S529" s="2396">
        <f>'Part IV-Uses of Funds'!S115</f>
        <v>0</v>
      </c>
      <c r="T529" s="2396"/>
    </row>
    <row r="530" spans="1:20">
      <c r="A530" s="790"/>
      <c r="B530" s="790"/>
      <c r="C530" s="791" t="str">
        <f>IF(G530&lt;='DCA Underwriting Assumptions'!$Q$48,"","Developer Fee exceeds DCA Program Maximum !!!")</f>
        <v/>
      </c>
      <c r="D530" s="790"/>
      <c r="E530" s="790"/>
      <c r="F530" s="853" t="s">
        <v>199</v>
      </c>
      <c r="G530" s="2396">
        <f>SUM(G527:H529)</f>
        <v>1782087</v>
      </c>
      <c r="H530" s="2396"/>
      <c r="I530" s="790"/>
      <c r="J530" s="2396">
        <f>SUM(J527:K529)</f>
        <v>0</v>
      </c>
      <c r="K530" s="2396"/>
      <c r="L530" s="805"/>
      <c r="M530" s="2396">
        <f>SUM(M527:N529)</f>
        <v>405750</v>
      </c>
      <c r="N530" s="2396"/>
      <c r="O530" s="790"/>
      <c r="P530" s="2396">
        <f>SUM(P527:Q529)</f>
        <v>1376337</v>
      </c>
      <c r="Q530" s="2396"/>
      <c r="R530" s="790"/>
      <c r="S530" s="2396">
        <f>SUM(S527:T529)</f>
        <v>0</v>
      </c>
      <c r="T530" s="2396"/>
    </row>
    <row r="531" spans="1:20">
      <c r="A531" s="790"/>
      <c r="B531" s="793" t="s">
        <v>1394</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96">
        <f>'Part IV-Uses of Funds'!G118</f>
        <v>65000</v>
      </c>
      <c r="H532" s="2396"/>
      <c r="I532" s="790"/>
      <c r="J532" s="867"/>
      <c r="K532" s="867"/>
      <c r="L532" s="867"/>
      <c r="M532" s="867"/>
      <c r="N532" s="867"/>
      <c r="O532" s="790"/>
      <c r="P532" s="867"/>
      <c r="Q532" s="867"/>
      <c r="R532" s="790"/>
      <c r="S532" s="2396">
        <f>'Part IV-Uses of Funds'!S118</f>
        <v>65000</v>
      </c>
      <c r="T532" s="2396"/>
    </row>
    <row r="533" spans="1:20">
      <c r="A533" s="790"/>
      <c r="B533" s="790" t="s">
        <v>1641</v>
      </c>
      <c r="C533" s="790"/>
      <c r="D533" s="790"/>
      <c r="E533" s="790"/>
      <c r="F533" s="868">
        <f>+'Part VI-Revenues &amp; Expenses'!P571*('DCA Underwriting Assumptions'!$Q$60/12)</f>
        <v>0</v>
      </c>
      <c r="G533" s="2396">
        <f>'Part IV-Uses of Funds'!G119</f>
        <v>128010</v>
      </c>
      <c r="H533" s="2396"/>
      <c r="I533" s="790"/>
      <c r="J533" s="2419"/>
      <c r="K533" s="2419"/>
      <c r="L533" s="805"/>
      <c r="M533" s="2419"/>
      <c r="N533" s="2419"/>
      <c r="O533" s="790"/>
      <c r="P533" s="2419"/>
      <c r="Q533" s="2419"/>
      <c r="R533" s="790"/>
      <c r="S533" s="2396">
        <f>'Part IV-Uses of Funds'!S119</f>
        <v>128010</v>
      </c>
      <c r="T533" s="2396"/>
    </row>
    <row r="534" spans="1:20">
      <c r="A534" s="790"/>
      <c r="B534" s="790" t="s">
        <v>723</v>
      </c>
      <c r="C534" s="790"/>
      <c r="D534" s="790"/>
      <c r="E534" s="790"/>
      <c r="F534" s="869">
        <f>'Part VI-Revenues &amp; Expenses'!P571*('DCA Underwriting Assumptions'!Q473/12)+('Part VII-Pro Forma'!B437+'Part VII-Pro Forma'!B438+'Part VII-Pro Forma'!B439+'Part VII-Pro Forma'!B440)*'DCA Underwriting Assumptions'!Q472/(-12)</f>
        <v>0</v>
      </c>
      <c r="G534" s="2396">
        <f>'Part IV-Uses of Funds'!G120</f>
        <v>313474</v>
      </c>
      <c r="H534" s="2396"/>
      <c r="I534" s="790"/>
      <c r="J534" s="867"/>
      <c r="K534" s="867"/>
      <c r="L534" s="867"/>
      <c r="M534" s="867"/>
      <c r="N534" s="867"/>
      <c r="O534" s="790"/>
      <c r="P534" s="867"/>
      <c r="Q534" s="867"/>
      <c r="R534" s="790"/>
      <c r="S534" s="2396">
        <f>'Part IV-Uses of Funds'!S120</f>
        <v>313474</v>
      </c>
      <c r="T534" s="2396"/>
    </row>
    <row r="535" spans="1:20">
      <c r="A535" s="790"/>
      <c r="B535" s="790" t="s">
        <v>1321</v>
      </c>
      <c r="C535" s="790"/>
      <c r="D535" s="790"/>
      <c r="E535" s="790"/>
      <c r="F535" s="790"/>
      <c r="G535" s="2396">
        <f>'Part IV-Uses of Funds'!G121</f>
        <v>0</v>
      </c>
      <c r="H535" s="2396"/>
      <c r="I535" s="790"/>
      <c r="J535" s="867"/>
      <c r="K535" s="867"/>
      <c r="L535" s="867"/>
      <c r="M535" s="867"/>
      <c r="N535" s="867"/>
      <c r="O535" s="790"/>
      <c r="P535" s="867"/>
      <c r="Q535" s="867"/>
      <c r="R535" s="790"/>
      <c r="S535" s="2396">
        <f>'Part IV-Uses of Funds'!S121</f>
        <v>0</v>
      </c>
      <c r="T535" s="2396"/>
    </row>
    <row r="536" spans="1:20">
      <c r="A536" s="790"/>
      <c r="B536" s="790" t="s">
        <v>1322</v>
      </c>
      <c r="C536" s="790"/>
      <c r="D536" s="790"/>
      <c r="E536" s="790" t="s">
        <v>3138</v>
      </c>
      <c r="F536" s="870">
        <f>G536/'Part VI-Revenues &amp; Expenses'!$M$62</f>
        <v>842.203125</v>
      </c>
      <c r="G536" s="2396">
        <f>'Part IV-Uses of Funds'!G122</f>
        <v>107802</v>
      </c>
      <c r="H536" s="2396"/>
      <c r="I536" s="790"/>
      <c r="J536" s="2396">
        <f>'Part IV-Uses of Funds'!J122</f>
        <v>0</v>
      </c>
      <c r="K536" s="2396"/>
      <c r="L536" s="805"/>
      <c r="M536" s="2396">
        <f>'Part IV-Uses of Funds'!M122</f>
        <v>0</v>
      </c>
      <c r="N536" s="2396"/>
      <c r="O536" s="790"/>
      <c r="P536" s="2396">
        <f>'Part IV-Uses of Funds'!P122</f>
        <v>107802</v>
      </c>
      <c r="Q536" s="2396"/>
      <c r="R536" s="790"/>
      <c r="S536" s="2396">
        <f>'Part IV-Uses of Funds'!S122</f>
        <v>0</v>
      </c>
      <c r="T536" s="2396"/>
    </row>
    <row r="537" spans="1:20" ht="15.75">
      <c r="A537" s="852" t="str">
        <f>IF(AND(G537&gt;0,OR(C537="",C537="&lt;Enter detailed description here; use Comments section if needed&gt;")),"X","")</f>
        <v/>
      </c>
      <c r="B537" s="790" t="s">
        <v>790</v>
      </c>
      <c r="C537" s="2359" t="str">
        <f>'Part IV-Uses of Funds'!C123</f>
        <v>Tax and Insurance Escrow</v>
      </c>
      <c r="D537" s="2359"/>
      <c r="E537" s="2359"/>
      <c r="F537" s="2359"/>
      <c r="G537" s="2396">
        <f>'Part IV-Uses of Funds'!G123</f>
        <v>67000</v>
      </c>
      <c r="H537" s="2396"/>
      <c r="I537" s="790"/>
      <c r="J537" s="2396">
        <f>'Part IV-Uses of Funds'!J123</f>
        <v>0</v>
      </c>
      <c r="K537" s="2396"/>
      <c r="L537" s="805"/>
      <c r="M537" s="2396">
        <f>'Part IV-Uses of Funds'!M123</f>
        <v>0</v>
      </c>
      <c r="N537" s="2396"/>
      <c r="O537" s="790"/>
      <c r="P537" s="2396">
        <f>'Part IV-Uses of Funds'!P123</f>
        <v>0</v>
      </c>
      <c r="Q537" s="2396"/>
      <c r="R537" s="790"/>
      <c r="S537" s="2396">
        <f>'Part IV-Uses of Funds'!S123</f>
        <v>67000</v>
      </c>
      <c r="T537" s="2396"/>
    </row>
    <row r="538" spans="1:20">
      <c r="A538" s="790"/>
      <c r="B538" s="871"/>
      <c r="C538" s="790"/>
      <c r="D538" s="790"/>
      <c r="E538" s="790"/>
      <c r="F538" s="853" t="s">
        <v>199</v>
      </c>
      <c r="G538" s="2396">
        <f>SUM(G532:H537)</f>
        <v>681286</v>
      </c>
      <c r="H538" s="2396"/>
      <c r="I538" s="790"/>
      <c r="J538" s="2396">
        <f>SUM(J536:K537)</f>
        <v>0</v>
      </c>
      <c r="K538" s="2396"/>
      <c r="L538" s="805"/>
      <c r="M538" s="2396">
        <f>SUM(M536:N537)</f>
        <v>0</v>
      </c>
      <c r="N538" s="2396"/>
      <c r="O538" s="790"/>
      <c r="P538" s="2396">
        <f>SUM(P536:Q537)</f>
        <v>107802</v>
      </c>
      <c r="Q538" s="2396"/>
      <c r="R538" s="790"/>
      <c r="S538" s="2396">
        <f>SUM(S532:T537)</f>
        <v>573484</v>
      </c>
      <c r="T538" s="2396"/>
    </row>
    <row r="539" spans="1:20">
      <c r="A539" s="790"/>
      <c r="B539" s="793" t="s">
        <v>650</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651</v>
      </c>
      <c r="C540" s="797"/>
      <c r="D540" s="790"/>
      <c r="E540" s="790"/>
      <c r="F540" s="790"/>
      <c r="G540" s="2396">
        <f>'Part IV-Uses of Funds'!G126</f>
        <v>200000</v>
      </c>
      <c r="H540" s="2396"/>
      <c r="I540" s="790"/>
      <c r="J540" s="2396">
        <f>'Part IV-Uses of Funds'!J126</f>
        <v>0</v>
      </c>
      <c r="K540" s="2396"/>
      <c r="L540" s="854"/>
      <c r="M540" s="2396">
        <f>'Part IV-Uses of Funds'!M126</f>
        <v>0</v>
      </c>
      <c r="N540" s="2396"/>
      <c r="O540" s="790"/>
      <c r="P540" s="2396">
        <f>'Part IV-Uses of Funds'!P126</f>
        <v>200000</v>
      </c>
      <c r="Q540" s="2396"/>
      <c r="R540" s="790"/>
      <c r="S540" s="2396">
        <f>'Part IV-Uses of Funds'!S126</f>
        <v>0</v>
      </c>
      <c r="T540" s="2396"/>
    </row>
    <row r="541" spans="1:20" ht="14.25" customHeight="1">
      <c r="A541" s="852" t="str">
        <f>IF(AND(G541&gt;0,OR(C541="",C541="&lt;Enter detailed description here; use Comments section if needed&gt;")),"X","")</f>
        <v/>
      </c>
      <c r="B541" s="790" t="s">
        <v>790</v>
      </c>
      <c r="C541" s="2359" t="str">
        <f>'Part IV-Uses of Funds'!C127</f>
        <v>&lt;Enter detailed description here; use Comments section if needed&gt;</v>
      </c>
      <c r="D541" s="2359"/>
      <c r="E541" s="2359"/>
      <c r="F541" s="2359"/>
      <c r="G541" s="2396">
        <f>'Part IV-Uses of Funds'!G127</f>
        <v>0</v>
      </c>
      <c r="H541" s="2396"/>
      <c r="I541" s="790"/>
      <c r="J541" s="2396">
        <f>'Part IV-Uses of Funds'!J127</f>
        <v>0</v>
      </c>
      <c r="K541" s="2396"/>
      <c r="L541" s="805"/>
      <c r="M541" s="2396">
        <f>'Part IV-Uses of Funds'!M127</f>
        <v>0</v>
      </c>
      <c r="N541" s="2396"/>
      <c r="O541" s="790"/>
      <c r="P541" s="2396">
        <f>'Part IV-Uses of Funds'!P127</f>
        <v>0</v>
      </c>
      <c r="Q541" s="2396"/>
      <c r="R541" s="790"/>
      <c r="S541" s="2396">
        <f>'Part IV-Uses of Funds'!S127</f>
        <v>0</v>
      </c>
      <c r="T541" s="2396"/>
    </row>
    <row r="542" spans="1:20">
      <c r="A542" s="790"/>
      <c r="B542" s="790"/>
      <c r="C542" s="797"/>
      <c r="D542" s="790"/>
      <c r="E542" s="790"/>
      <c r="F542" s="853" t="s">
        <v>199</v>
      </c>
      <c r="G542" s="2396">
        <f>SUM(G540:H541)</f>
        <v>200000</v>
      </c>
      <c r="H542" s="2396"/>
      <c r="I542" s="790"/>
      <c r="J542" s="2396">
        <f>SUM(J540:K541)</f>
        <v>0</v>
      </c>
      <c r="K542" s="2396"/>
      <c r="L542" s="805"/>
      <c r="M542" s="2396">
        <f>SUM(M540:N541)</f>
        <v>0</v>
      </c>
      <c r="N542" s="2396"/>
      <c r="O542" s="790"/>
      <c r="P542" s="2396">
        <f>SUM(P540:Q541)</f>
        <v>200000</v>
      </c>
      <c r="Q542" s="2396"/>
      <c r="R542" s="790"/>
      <c r="S542" s="2396">
        <f>SUM(S540:T541)</f>
        <v>0</v>
      </c>
      <c r="T542" s="2396"/>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3661</v>
      </c>
      <c r="C544" s="790"/>
      <c r="D544" s="790"/>
      <c r="E544" s="790"/>
      <c r="F544" s="790"/>
      <c r="G544" s="2421">
        <f>G431+G437+G441+G447+G452+G455+G461+G478+G491+G497+G505+G519+G525+G530+G538+G542</f>
        <v>14532951</v>
      </c>
      <c r="H544" s="2421"/>
      <c r="I544" s="790"/>
      <c r="J544" s="2421">
        <f>J431+J437+J441+J447+J452+J455+J461+J478+J491+J497+J505+J519+J525+J530+J538+J542</f>
        <v>0</v>
      </c>
      <c r="K544" s="2421"/>
      <c r="L544" s="790"/>
      <c r="M544" s="2421">
        <f>M431+M437+M441+M447+M452+M455+M461+M478+M491+M497+M505+M519+M525+M530+M538+M542</f>
        <v>3110750</v>
      </c>
      <c r="N544" s="2421"/>
      <c r="O544" s="790"/>
      <c r="P544" s="2421">
        <f>P431+P437+P441+P447+P452+P455+P461+P478+P491+P497+P505+P519+P525+P530+P538+P542</f>
        <v>10020892</v>
      </c>
      <c r="Q544" s="2421"/>
      <c r="R544" s="790"/>
      <c r="S544" s="2421">
        <f>S431+S437+S441+S447+S452+S455+S461+S478+S491+S497+S505+S519+S525+S530+S538+S542</f>
        <v>1401309</v>
      </c>
      <c r="T544" s="2421"/>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3662</v>
      </c>
      <c r="C546" s="862"/>
      <c r="D546" s="2422">
        <f>G544/'Part VI-Revenues &amp; Expenses'!$M$62</f>
        <v>113538.6796875</v>
      </c>
      <c r="E546" s="2422"/>
      <c r="F546" s="874" t="s">
        <v>3152</v>
      </c>
      <c r="G546" s="2422">
        <f>G544/'Part VI-Revenues &amp; Expenses'!$M$100</f>
        <v>109.70251970168181</v>
      </c>
      <c r="H546" s="2422"/>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789</v>
      </c>
      <c r="B549" s="877" t="s">
        <v>1519</v>
      </c>
      <c r="C549" s="789"/>
      <c r="D549" s="805"/>
      <c r="E549" s="805"/>
      <c r="F549" s="805"/>
      <c r="G549" s="790"/>
      <c r="H549" s="790"/>
      <c r="I549" s="878"/>
      <c r="J549" s="2412" t="s">
        <v>285</v>
      </c>
      <c r="K549" s="2412"/>
      <c r="L549" s="790"/>
      <c r="M549" s="2412" t="s">
        <v>103</v>
      </c>
      <c r="N549" s="2412"/>
      <c r="O549" s="790"/>
      <c r="P549" s="2412" t="s">
        <v>286</v>
      </c>
      <c r="Q549" s="2412"/>
      <c r="R549" s="790"/>
      <c r="S549" s="790"/>
      <c r="T549" s="790"/>
    </row>
    <row r="550" spans="1:20">
      <c r="A550" s="790"/>
      <c r="B550" s="791" t="s">
        <v>2181</v>
      </c>
      <c r="C550" s="790"/>
      <c r="D550" s="805"/>
      <c r="E550" s="805"/>
      <c r="F550" s="790"/>
      <c r="G550" s="790"/>
      <c r="H550" s="790"/>
      <c r="I550" s="878"/>
      <c r="J550" s="2412"/>
      <c r="K550" s="2412"/>
      <c r="L550" s="789"/>
      <c r="M550" s="2412"/>
      <c r="N550" s="2412"/>
      <c r="O550" s="790"/>
      <c r="P550" s="2412"/>
      <c r="Q550" s="2412"/>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96">
        <f>'Part IV-Uses of Funds'!J138</f>
        <v>0</v>
      </c>
      <c r="K552" s="2396"/>
      <c r="L552" s="790"/>
      <c r="M552" s="790"/>
      <c r="N552" s="790"/>
      <c r="O552" s="790"/>
      <c r="P552" s="2396">
        <f>'Part IV-Uses of Funds'!P138</f>
        <v>0</v>
      </c>
      <c r="Q552" s="2396"/>
      <c r="R552" s="790"/>
      <c r="S552" s="790"/>
      <c r="T552" s="790"/>
    </row>
    <row r="553" spans="1:20">
      <c r="A553" s="790"/>
      <c r="B553" s="790" t="s">
        <v>2289</v>
      </c>
      <c r="C553" s="790"/>
      <c r="D553" s="790"/>
      <c r="E553" s="790"/>
      <c r="F553" s="790"/>
      <c r="G553" s="790"/>
      <c r="H553" s="790"/>
      <c r="I553" s="878"/>
      <c r="J553" s="2396">
        <f>'Part IV-Uses of Funds'!J139</f>
        <v>0</v>
      </c>
      <c r="K553" s="2396"/>
      <c r="L553" s="790"/>
      <c r="M553" s="790"/>
      <c r="N553" s="790"/>
      <c r="O553" s="790"/>
      <c r="P553" s="2396">
        <f>'Part IV-Uses of Funds'!P139</f>
        <v>0</v>
      </c>
      <c r="Q553" s="2396"/>
      <c r="R553" s="790"/>
      <c r="S553" s="790"/>
      <c r="T553" s="790"/>
    </row>
    <row r="554" spans="1:20">
      <c r="A554" s="790"/>
      <c r="B554" s="790" t="s">
        <v>1991</v>
      </c>
      <c r="C554" s="790"/>
      <c r="D554" s="790"/>
      <c r="E554" s="790"/>
      <c r="F554" s="790"/>
      <c r="G554" s="790"/>
      <c r="H554" s="790"/>
      <c r="I554" s="878"/>
      <c r="J554" s="2396">
        <f>'Part IV-Uses of Funds'!J140</f>
        <v>0</v>
      </c>
      <c r="K554" s="2396"/>
      <c r="L554" s="790"/>
      <c r="M554" s="790"/>
      <c r="N554" s="790"/>
      <c r="O554" s="790"/>
      <c r="P554" s="2396">
        <f>'Part IV-Uses of Funds'!P140</f>
        <v>0</v>
      </c>
      <c r="Q554" s="2396"/>
      <c r="R554" s="790"/>
      <c r="S554" s="790"/>
      <c r="T554" s="790"/>
    </row>
    <row r="555" spans="1:20">
      <c r="A555" s="790"/>
      <c r="B555" s="790" t="s">
        <v>1992</v>
      </c>
      <c r="C555" s="790"/>
      <c r="D555" s="790"/>
      <c r="E555" s="790"/>
      <c r="F555" s="790"/>
      <c r="G555" s="790"/>
      <c r="H555" s="790"/>
      <c r="I555" s="878"/>
      <c r="J555" s="2396">
        <f>'Part IV-Uses of Funds'!J141</f>
        <v>0</v>
      </c>
      <c r="K555" s="2396"/>
      <c r="L555" s="790"/>
      <c r="M555" s="790"/>
      <c r="N555" s="790"/>
      <c r="O555" s="790"/>
      <c r="P555" s="2396">
        <f>'Part IV-Uses of Funds'!P141</f>
        <v>0</v>
      </c>
      <c r="Q555" s="2396"/>
      <c r="R555" s="790"/>
      <c r="S555" s="790"/>
      <c r="T555" s="790"/>
    </row>
    <row r="556" spans="1:20">
      <c r="A556" s="790"/>
      <c r="B556" s="790" t="s">
        <v>267</v>
      </c>
      <c r="C556" s="790"/>
      <c r="D556" s="790"/>
      <c r="E556" s="790"/>
      <c r="F556" s="790"/>
      <c r="G556" s="790"/>
      <c r="H556" s="790"/>
      <c r="I556" s="878"/>
      <c r="J556" s="2396">
        <f>'Part IV-Uses of Funds'!J142</f>
        <v>0</v>
      </c>
      <c r="K556" s="2396"/>
      <c r="L556" s="790"/>
      <c r="M556" s="790"/>
      <c r="N556" s="790"/>
      <c r="O556" s="790"/>
      <c r="P556" s="2396">
        <f>'Part IV-Uses of Funds'!P142</f>
        <v>0</v>
      </c>
      <c r="Q556" s="2396"/>
      <c r="R556" s="790"/>
      <c r="S556" s="790"/>
      <c r="T556" s="790"/>
    </row>
    <row r="557" spans="1:20">
      <c r="A557" s="790"/>
      <c r="B557" s="790" t="s">
        <v>1709</v>
      </c>
      <c r="C557" s="2359" t="str">
        <f>'Part IV-Uses of Funds'!C143</f>
        <v>&lt;Enter detailed description here; use Comments section if needed&gt;</v>
      </c>
      <c r="D557" s="2359"/>
      <c r="E557" s="2359"/>
      <c r="F557" s="2359"/>
      <c r="G557" s="2359"/>
      <c r="H557" s="2359"/>
      <c r="I557" s="2359"/>
      <c r="J557" s="2396">
        <f>'Part IV-Uses of Funds'!J143</f>
        <v>0</v>
      </c>
      <c r="K557" s="2396"/>
      <c r="L557" s="790"/>
      <c r="M557" s="790"/>
      <c r="N557" s="790"/>
      <c r="O557" s="790"/>
      <c r="P557" s="2396">
        <f>'Part IV-Uses of Funds'!P143</f>
        <v>0</v>
      </c>
      <c r="Q557" s="2396"/>
      <c r="R557" s="790"/>
      <c r="S557" s="790"/>
      <c r="T557" s="790"/>
    </row>
    <row r="558" spans="1:20">
      <c r="A558" s="790"/>
      <c r="B558" s="793" t="s">
        <v>1993</v>
      </c>
      <c r="C558" s="804"/>
      <c r="D558" s="790"/>
      <c r="E558" s="790"/>
      <c r="F558" s="790"/>
      <c r="G558" s="790"/>
      <c r="H558" s="790"/>
      <c r="I558" s="790"/>
      <c r="J558" s="2411">
        <f>SUM(J552:K557)</f>
        <v>0</v>
      </c>
      <c r="K558" s="2411"/>
      <c r="L558" s="790"/>
      <c r="M558" s="790"/>
      <c r="N558" s="790"/>
      <c r="O558" s="790"/>
      <c r="P558" s="2411">
        <f>SUM(P552:Q557)</f>
        <v>0</v>
      </c>
      <c r="Q558" s="2411"/>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2489</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1913</v>
      </c>
      <c r="C561" s="790"/>
      <c r="D561" s="790"/>
      <c r="E561" s="790"/>
      <c r="F561" s="790"/>
      <c r="G561" s="790"/>
      <c r="H561" s="790"/>
      <c r="I561" s="790"/>
      <c r="J561" s="2423">
        <f>J544</f>
        <v>0</v>
      </c>
      <c r="K561" s="2423"/>
      <c r="L561" s="790"/>
      <c r="M561" s="2423">
        <f>M544</f>
        <v>3110750</v>
      </c>
      <c r="N561" s="2423"/>
      <c r="O561" s="790"/>
      <c r="P561" s="2423">
        <f>P544</f>
        <v>10020892</v>
      </c>
      <c r="Q561" s="2423"/>
      <c r="R561" s="790"/>
      <c r="S561" s="790"/>
      <c r="T561" s="790"/>
    </row>
    <row r="562" spans="1:20">
      <c r="A562" s="790"/>
      <c r="B562" s="790" t="s">
        <v>2364</v>
      </c>
      <c r="C562" s="790"/>
      <c r="D562" s="790"/>
      <c r="E562" s="790"/>
      <c r="F562" s="790"/>
      <c r="G562" s="790"/>
      <c r="H562" s="790"/>
      <c r="I562" s="790"/>
      <c r="J562" s="2423">
        <f>J558</f>
        <v>0</v>
      </c>
      <c r="K562" s="2423"/>
      <c r="L562" s="790"/>
      <c r="M562" s="2423"/>
      <c r="N562" s="2423"/>
      <c r="O562" s="790"/>
      <c r="P562" s="2423">
        <f>P558</f>
        <v>0</v>
      </c>
      <c r="Q562" s="2423"/>
      <c r="R562" s="790"/>
      <c r="S562" s="790"/>
      <c r="T562" s="790"/>
    </row>
    <row r="563" spans="1:20">
      <c r="A563" s="790"/>
      <c r="B563" s="790" t="s">
        <v>2365</v>
      </c>
      <c r="C563" s="790"/>
      <c r="D563" s="790"/>
      <c r="E563" s="790"/>
      <c r="F563" s="790"/>
      <c r="G563" s="790"/>
      <c r="H563" s="790"/>
      <c r="I563" s="790"/>
      <c r="J563" s="2423">
        <f>J561-J562</f>
        <v>0</v>
      </c>
      <c r="K563" s="2423"/>
      <c r="L563" s="790"/>
      <c r="M563" s="2423">
        <f>M561</f>
        <v>3110750</v>
      </c>
      <c r="N563" s="2423"/>
      <c r="O563" s="790"/>
      <c r="P563" s="2423">
        <f>P561-P562</f>
        <v>10020892</v>
      </c>
      <c r="Q563" s="2423"/>
      <c r="R563" s="790"/>
      <c r="S563" s="790"/>
      <c r="T563" s="790"/>
    </row>
    <row r="564" spans="1:20">
      <c r="A564" s="790"/>
      <c r="B564" s="790" t="s">
        <v>1586</v>
      </c>
      <c r="C564" s="790"/>
      <c r="D564" s="790"/>
      <c r="E564" s="790"/>
      <c r="F564" s="790"/>
      <c r="G564" s="794" t="s">
        <v>1832</v>
      </c>
      <c r="H564" s="2364" t="str">
        <f>'Part IV-Uses of Funds'!H150</f>
        <v>DDA/QCT</v>
      </c>
      <c r="I564" s="2364"/>
      <c r="J564" s="2396">
        <f>'Part IV-Uses of Funds'!J150</f>
        <v>0</v>
      </c>
      <c r="K564" s="2396"/>
      <c r="L564" s="790"/>
      <c r="M564" s="2424"/>
      <c r="N564" s="2424"/>
      <c r="O564" s="790"/>
      <c r="P564" s="2396">
        <f>'Part IV-Uses of Funds'!P150</f>
        <v>1.3</v>
      </c>
      <c r="Q564" s="2396"/>
      <c r="R564" s="790"/>
      <c r="S564" s="790"/>
      <c r="T564" s="790"/>
    </row>
    <row r="565" spans="1:20">
      <c r="A565" s="790"/>
      <c r="B565" s="790" t="s">
        <v>2191</v>
      </c>
      <c r="C565" s="790"/>
      <c r="D565" s="790"/>
      <c r="E565" s="790"/>
      <c r="F565" s="790"/>
      <c r="G565" s="790"/>
      <c r="H565" s="790"/>
      <c r="I565" s="790"/>
      <c r="J565" s="2423">
        <f>J563*J564</f>
        <v>0</v>
      </c>
      <c r="K565" s="2423"/>
      <c r="L565" s="790"/>
      <c r="M565" s="2423">
        <f>+M563</f>
        <v>3110750</v>
      </c>
      <c r="N565" s="2423"/>
      <c r="O565" s="790"/>
      <c r="P565" s="2423">
        <f>P563*P564</f>
        <v>13027159.6</v>
      </c>
      <c r="Q565" s="2423"/>
      <c r="R565" s="790"/>
      <c r="S565" s="790"/>
      <c r="T565" s="790"/>
    </row>
    <row r="566" spans="1:20">
      <c r="A566" s="790"/>
      <c r="B566" s="790" t="s">
        <v>2722</v>
      </c>
      <c r="C566" s="790"/>
      <c r="D566" s="790"/>
      <c r="E566" s="790"/>
      <c r="F566" s="790"/>
      <c r="G566" s="790"/>
      <c r="H566" s="790"/>
      <c r="I566" s="790"/>
      <c r="J566" s="2426">
        <f>MIN('Part VI-Revenues &amp; Expenses'!$M$58/'Part VI-Revenues &amp; Expenses'!$M$60,'Part VI-Revenues &amp; Expenses'!$M$96/'Part VI-Revenues &amp; Expenses'!$M$98)</f>
        <v>1</v>
      </c>
      <c r="K566" s="2426"/>
      <c r="L566" s="790"/>
      <c r="M566" s="2426">
        <f>MIN('Part VI-Revenues &amp; Expenses'!$M$58/'Part VI-Revenues &amp; Expenses'!$M$60,'Part VI-Revenues &amp; Expenses'!$M$96/'Part VI-Revenues &amp; Expenses'!$M$98)</f>
        <v>1</v>
      </c>
      <c r="N566" s="2426"/>
      <c r="O566" s="790"/>
      <c r="P566" s="2426">
        <f>MIN('Part VI-Revenues &amp; Expenses'!$M$58/'Part VI-Revenues &amp; Expenses'!$M$60,'Part VI-Revenues &amp; Expenses'!$M$96/'Part VI-Revenues &amp; Expenses'!$M$98)</f>
        <v>1</v>
      </c>
      <c r="Q566" s="2426"/>
      <c r="R566" s="790"/>
      <c r="S566" s="790"/>
      <c r="T566" s="790"/>
    </row>
    <row r="567" spans="1:20">
      <c r="A567" s="790"/>
      <c r="B567" s="790" t="s">
        <v>2182</v>
      </c>
      <c r="C567" s="790"/>
      <c r="D567" s="790"/>
      <c r="E567" s="790"/>
      <c r="F567" s="790"/>
      <c r="G567" s="790"/>
      <c r="H567" s="790"/>
      <c r="I567" s="790"/>
      <c r="J567" s="2423">
        <f>J565*J566</f>
        <v>0</v>
      </c>
      <c r="K567" s="2423"/>
      <c r="L567" s="790"/>
      <c r="M567" s="2423">
        <f>M565*M566</f>
        <v>3110750</v>
      </c>
      <c r="N567" s="2423"/>
      <c r="O567" s="790"/>
      <c r="P567" s="2423">
        <f>P565*P566</f>
        <v>13027159.6</v>
      </c>
      <c r="Q567" s="2423"/>
      <c r="R567" s="790"/>
      <c r="S567" s="790"/>
      <c r="T567" s="790"/>
    </row>
    <row r="568" spans="1:20">
      <c r="A568" s="790"/>
      <c r="B568" s="790" t="s">
        <v>2183</v>
      </c>
      <c r="C568" s="790"/>
      <c r="D568" s="790"/>
      <c r="E568" s="790"/>
      <c r="F568" s="790"/>
      <c r="G568" s="790"/>
      <c r="H568" s="790"/>
      <c r="I568" s="790"/>
      <c r="J568" s="2424">
        <f>'Part IV-Uses of Funds'!J154</f>
        <v>0</v>
      </c>
      <c r="K568" s="2424"/>
      <c r="L568" s="790"/>
      <c r="M568" s="2424">
        <f>'Part IV-Uses of Funds'!M154</f>
        <v>3.2599999999999997E-2</v>
      </c>
      <c r="N568" s="2424"/>
      <c r="O568" s="790"/>
      <c r="P568" s="2424">
        <f>'Part IV-Uses of Funds'!P154</f>
        <v>7.5999999999999998E-2</v>
      </c>
      <c r="Q568" s="2424"/>
      <c r="R568" s="790"/>
      <c r="S568" s="790"/>
      <c r="T568" s="790"/>
    </row>
    <row r="569" spans="1:20">
      <c r="A569" s="790"/>
      <c r="B569" s="790" t="s">
        <v>2723</v>
      </c>
      <c r="C569" s="790"/>
      <c r="D569" s="790"/>
      <c r="E569" s="790"/>
      <c r="F569" s="790"/>
      <c r="G569" s="790"/>
      <c r="H569" s="790"/>
      <c r="I569" s="790"/>
      <c r="J569" s="2423">
        <f>J567*J568</f>
        <v>0</v>
      </c>
      <c r="K569" s="2423"/>
      <c r="L569" s="790"/>
      <c r="M569" s="2423">
        <f>M567*M568</f>
        <v>101410.45</v>
      </c>
      <c r="N569" s="2423"/>
      <c r="O569" s="790"/>
      <c r="P569" s="2423">
        <f>P567*P568</f>
        <v>990064.12959999999</v>
      </c>
      <c r="Q569" s="2423"/>
      <c r="R569" s="790"/>
      <c r="S569" s="790"/>
      <c r="T569" s="790"/>
    </row>
    <row r="570" spans="1:20">
      <c r="A570" s="790"/>
      <c r="B570" s="793" t="s">
        <v>1517</v>
      </c>
      <c r="C570" s="790"/>
      <c r="D570" s="790"/>
      <c r="E570" s="790"/>
      <c r="F570" s="790"/>
      <c r="G570" s="790"/>
      <c r="H570" s="790"/>
      <c r="I570" s="790"/>
      <c r="J570" s="2411">
        <f>J569+M569+P569</f>
        <v>1091474.5796000001</v>
      </c>
      <c r="K570" s="2411"/>
      <c r="L570" s="2411"/>
      <c r="M570" s="2411"/>
      <c r="N570" s="2411"/>
      <c r="O570" s="2411"/>
      <c r="P570" s="2411"/>
      <c r="Q570" s="2411"/>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791</v>
      </c>
      <c r="B572" s="880" t="s">
        <v>1520</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3663</v>
      </c>
      <c r="C574" s="790"/>
      <c r="D574" s="790"/>
      <c r="E574" s="790"/>
      <c r="F574" s="790"/>
      <c r="G574" s="2425" t="str">
        <f>IF(J575&gt;J574,"TDC exceeds QAP PUCL!","")</f>
        <v/>
      </c>
      <c r="H574" s="2425"/>
      <c r="I574" s="2425"/>
      <c r="J574" s="2398">
        <f>'Part VIII-Threshold Criteria'!$P$47</f>
        <v>21517016</v>
      </c>
      <c r="K574" s="2398"/>
      <c r="L574" s="2398"/>
      <c r="M574" s="2333" t="s">
        <v>3018</v>
      </c>
      <c r="N574" s="2333"/>
      <c r="O574" s="2333"/>
      <c r="P574" s="2333"/>
      <c r="Q574" s="2333"/>
      <c r="R574" s="2333"/>
      <c r="S574" s="2350" t="s">
        <v>2975</v>
      </c>
      <c r="T574" s="2350"/>
    </row>
    <row r="575" spans="1:20">
      <c r="A575" s="790"/>
      <c r="B575" s="790" t="s">
        <v>3664</v>
      </c>
      <c r="C575" s="790"/>
      <c r="D575" s="790"/>
      <c r="E575" s="790"/>
      <c r="F575" s="790"/>
      <c r="G575" s="790"/>
      <c r="H575" s="790"/>
      <c r="I575" s="790"/>
      <c r="J575" s="2423">
        <f>'Part IV-Uses of Funds'!J161</f>
        <v>14532951</v>
      </c>
      <c r="K575" s="2423"/>
      <c r="L575" s="2423"/>
      <c r="M575" s="2333"/>
      <c r="N575" s="2333"/>
      <c r="O575" s="2333"/>
      <c r="P575" s="2333"/>
      <c r="Q575" s="2333"/>
      <c r="R575" s="2333"/>
      <c r="S575" s="2350"/>
      <c r="T575" s="2350"/>
    </row>
    <row r="576" spans="1:20">
      <c r="A576" s="790"/>
      <c r="B576" s="790" t="s">
        <v>277</v>
      </c>
      <c r="C576" s="790"/>
      <c r="D576" s="790"/>
      <c r="E576" s="790"/>
      <c r="F576" s="790"/>
      <c r="G576" s="790"/>
      <c r="H576" s="790"/>
      <c r="I576" s="790"/>
      <c r="J576" s="2423">
        <f>'Part III-Sources of Funds'!$H$49-'Part III-Sources of Funds'!H450-'Part III-Sources of Funds'!$H$37-'Part III-Sources of Funds'!$H$40-'Part III-Sources of Funds'!$H$41</f>
        <v>1515000</v>
      </c>
      <c r="K576" s="2423"/>
      <c r="L576" s="2423"/>
      <c r="M576" s="2333"/>
      <c r="N576" s="2333"/>
      <c r="O576" s="2333"/>
      <c r="P576" s="2333"/>
      <c r="Q576" s="2333"/>
      <c r="R576" s="2333"/>
      <c r="S576" s="2350"/>
      <c r="T576" s="2350"/>
    </row>
    <row r="577" spans="1:20" ht="13.5">
      <c r="A577" s="790"/>
      <c r="B577" s="790" t="s">
        <v>2377</v>
      </c>
      <c r="C577" s="790"/>
      <c r="D577" s="790"/>
      <c r="E577" s="790"/>
      <c r="F577" s="790"/>
      <c r="G577" s="790"/>
      <c r="H577" s="790"/>
      <c r="I577" s="790"/>
      <c r="J577" s="2423">
        <f>+J575-J576</f>
        <v>13017951</v>
      </c>
      <c r="K577" s="2423"/>
      <c r="L577" s="2423"/>
      <c r="M577" s="2343" t="s">
        <v>3019</v>
      </c>
      <c r="N577" s="2343"/>
      <c r="O577" s="2430">
        <f>'Part III-Sources of Funds'!H450</f>
        <v>0</v>
      </c>
      <c r="P577" s="2430"/>
      <c r="Q577" s="2430"/>
      <c r="R577" s="2430"/>
      <c r="S577" s="882" t="s">
        <v>1774</v>
      </c>
      <c r="T577" s="1052" t="str">
        <f>'Part IV-Uses of Funds'!T163</f>
        <v>No</v>
      </c>
    </row>
    <row r="578" spans="1:20" ht="13.5">
      <c r="A578" s="790"/>
      <c r="B578" s="790" t="s">
        <v>1371</v>
      </c>
      <c r="C578" s="790"/>
      <c r="D578" s="790"/>
      <c r="E578" s="790"/>
      <c r="F578" s="790"/>
      <c r="G578" s="790"/>
      <c r="H578" s="790"/>
      <c r="I578" s="790"/>
      <c r="J578" s="2364" t="str">
        <f>"/ 10"</f>
        <v>/ 10</v>
      </c>
      <c r="K578" s="2364"/>
      <c r="L578" s="2364"/>
      <c r="M578" s="790"/>
      <c r="N578" s="883"/>
      <c r="O578" s="883"/>
      <c r="P578" s="883"/>
      <c r="Q578" s="883"/>
      <c r="R578" s="883"/>
      <c r="S578" s="790"/>
      <c r="T578" s="790"/>
    </row>
    <row r="579" spans="1:20">
      <c r="A579" s="790"/>
      <c r="B579" s="790" t="s">
        <v>1372</v>
      </c>
      <c r="C579" s="790"/>
      <c r="D579" s="790"/>
      <c r="E579" s="790"/>
      <c r="F579" s="790"/>
      <c r="G579" s="790"/>
      <c r="H579" s="790"/>
      <c r="I579" s="790"/>
      <c r="J579" s="2423">
        <f>J577/10</f>
        <v>1301795.1000000001</v>
      </c>
      <c r="K579" s="2423"/>
      <c r="L579" s="2423"/>
      <c r="M579" s="795"/>
      <c r="N579" s="2364" t="s">
        <v>1373</v>
      </c>
      <c r="O579" s="2364"/>
      <c r="P579" s="790"/>
      <c r="Q579" s="2364" t="s">
        <v>1922</v>
      </c>
      <c r="R579" s="2364"/>
      <c r="S579" s="790"/>
      <c r="T579" s="790"/>
    </row>
    <row r="580" spans="1:20">
      <c r="A580" s="790"/>
      <c r="B580" s="790" t="s">
        <v>3665</v>
      </c>
      <c r="C580" s="790"/>
      <c r="D580" s="790"/>
      <c r="E580" s="790"/>
      <c r="F580" s="790"/>
      <c r="G580" s="790"/>
      <c r="H580" s="790"/>
      <c r="I580" s="790"/>
      <c r="J580" s="2428">
        <f>N580+Q580</f>
        <v>1.29</v>
      </c>
      <c r="K580" s="2428"/>
      <c r="L580" s="2428"/>
      <c r="M580" s="794" t="s">
        <v>1374</v>
      </c>
      <c r="N580" s="2429">
        <f>'Part IV-Uses of Funds'!N166</f>
        <v>0.9</v>
      </c>
      <c r="O580" s="2429"/>
      <c r="P580" s="794" t="s">
        <v>652</v>
      </c>
      <c r="Q580" s="2429">
        <f>'Part IV-Uses of Funds'!Q166</f>
        <v>0.39</v>
      </c>
      <c r="R580" s="2429"/>
      <c r="S580" s="790"/>
      <c r="T580" s="790"/>
    </row>
    <row r="581" spans="1:20">
      <c r="A581" s="790"/>
      <c r="B581" s="793" t="s">
        <v>1518</v>
      </c>
      <c r="C581" s="790"/>
      <c r="D581" s="790"/>
      <c r="E581" s="790"/>
      <c r="F581" s="790"/>
      <c r="G581" s="790"/>
      <c r="H581" s="790"/>
      <c r="I581" s="790"/>
      <c r="J581" s="2411">
        <f>IF(J580=0,"",J579/J580)</f>
        <v>1009143.4883720931</v>
      </c>
      <c r="K581" s="2411"/>
      <c r="L581" s="2411"/>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3666</v>
      </c>
      <c r="C583" s="790"/>
      <c r="D583" s="790"/>
      <c r="E583" s="790"/>
      <c r="F583" s="790"/>
      <c r="G583" s="790"/>
      <c r="H583" s="790"/>
      <c r="I583" s="790"/>
      <c r="J583" s="2411">
        <f>IF('Part I-Project Information'!I575 = "Yes",+MIN(J570,J581,'Part I-Project Information'!$O$161,'DCA Underwriting Assumptions'!$R$7),+MIN(J570,J581,'DCA Underwriting Assumptions'!$R$6))</f>
        <v>1000000</v>
      </c>
      <c r="K583" s="2411"/>
      <c r="L583" s="2411"/>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3667</v>
      </c>
      <c r="C585" s="790"/>
      <c r="D585" s="790"/>
      <c r="E585" s="790"/>
      <c r="F585" s="790"/>
      <c r="G585" s="790"/>
      <c r="H585" s="790"/>
      <c r="I585" s="790"/>
      <c r="J585" s="2411">
        <f>'Part IV-Uses of Funds'!J171</f>
        <v>1000000</v>
      </c>
      <c r="K585" s="2411"/>
      <c r="L585" s="2411"/>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1915</v>
      </c>
      <c r="B587" s="880" t="s">
        <v>3668</v>
      </c>
      <c r="C587" s="790"/>
      <c r="D587" s="795"/>
      <c r="E587" s="795"/>
      <c r="F587" s="797"/>
      <c r="G587" s="790"/>
      <c r="H587" s="790"/>
      <c r="I587" s="790"/>
      <c r="J587" s="2411">
        <f>IF(J585="",0,+MIN(J583,J585))</f>
        <v>1000000</v>
      </c>
      <c r="K587" s="2411"/>
      <c r="L587" s="2411"/>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1917</v>
      </c>
      <c r="B590" s="816" t="s">
        <v>607</v>
      </c>
      <c r="C590" s="795"/>
      <c r="D590" s="795"/>
      <c r="E590" s="795"/>
      <c r="F590" s="795"/>
      <c r="G590" s="795"/>
      <c r="H590" s="795"/>
      <c r="I590" s="795"/>
      <c r="J590" s="795"/>
      <c r="K590" s="793" t="s">
        <v>562</v>
      </c>
      <c r="L590" s="793" t="s">
        <v>82</v>
      </c>
      <c r="M590" s="795"/>
      <c r="N590" s="795"/>
      <c r="O590" s="795"/>
      <c r="P590" s="795"/>
      <c r="Q590" s="795"/>
      <c r="R590" s="795"/>
      <c r="S590" s="795"/>
      <c r="T590" s="795"/>
    </row>
    <row r="591" spans="1:20" ht="13.5">
      <c r="A591" s="2427" t="str">
        <f>'Part IV-Uses of Funds'!A177</f>
        <v xml:space="preserve">Permitting Costs were determined by Athens-Clarke County and based on the dollar amount of the proposed work scope. We contacted Fay Lamb with the Athens-Clarke County Building Department and she provided an estimate based on the total construction costs. Please see Tab 42 for an email from Fay with the permit fee estimate from Athens-Clarke County.  
Construction Cost estimate is based on multiple sources including: actual costs of a rehab project we own that is currently being constructed, our construction company has provided us with estimates based on the current market. Site is located within a QCT, which provides the project with a basis boost. 
Section I - Development Budget - Water and Sewer Tap Fees: Applicant is rehabilitating an existing apartment complex so no additional tap fees will be required. 
</v>
      </c>
      <c r="B591" s="2427"/>
      <c r="C591" s="2427"/>
      <c r="D591" s="2427"/>
      <c r="E591" s="2427"/>
      <c r="F591" s="2427"/>
      <c r="G591" s="2427"/>
      <c r="H591" s="2427"/>
      <c r="I591" s="2427"/>
      <c r="J591" s="2427"/>
      <c r="K591" s="2427">
        <f>'Part IV-Uses of Funds'!K177</f>
        <v>0</v>
      </c>
      <c r="L591" s="2427"/>
      <c r="M591" s="2427"/>
      <c r="N591" s="2427"/>
      <c r="O591" s="2427"/>
      <c r="P591" s="2427"/>
      <c r="Q591" s="2427"/>
      <c r="R591" s="2427"/>
      <c r="S591" s="2427"/>
      <c r="T591" s="2427"/>
    </row>
    <row r="594" spans="1:13">
      <c r="A594" s="2353" t="str">
        <f>CONCATENATE("PART FIVE - UTILITY ALLOWANCES","  -  ",'Part I-Project Information'!$O$4," ",'Part I-Project Information'!$F$23,", ",'Part I-Project Information'!F620,", ",'Part I-Project Information'!J621," County")</f>
        <v>PART FIVE - UTILITY ALLOWANCES  -  2014-006 North Grove Apartments, , Laurens-Treutlen Joint Development Authority County</v>
      </c>
      <c r="B594" s="2353"/>
      <c r="C594" s="2353"/>
      <c r="D594" s="2353"/>
      <c r="E594" s="2353"/>
      <c r="F594" s="2353"/>
      <c r="G594" s="2353"/>
      <c r="H594" s="2353"/>
      <c r="I594" s="2353"/>
      <c r="J594" s="2353"/>
      <c r="K594" s="2353"/>
      <c r="L594" s="2353"/>
      <c r="M594" s="2353"/>
    </row>
    <row r="596" spans="1:13">
      <c r="F596" s="586" t="s">
        <v>547</v>
      </c>
      <c r="I596" s="885" t="str">
        <f>VLOOKUP('Part I-Project Information'!$J$28,'Part I-Project Information'!$C$179:$D$338,2)</f>
        <v>Middle</v>
      </c>
    </row>
    <row r="598" spans="1:13">
      <c r="A598" s="788" t="s">
        <v>656</v>
      </c>
      <c r="B598" s="788" t="s">
        <v>2372</v>
      </c>
      <c r="F598" s="580" t="s">
        <v>2689</v>
      </c>
      <c r="I598" s="2432" t="str">
        <f>'Part V-Utility Allowances'!I5</f>
        <v>Georgia Department of Community Affairs</v>
      </c>
      <c r="J598" s="2432"/>
      <c r="K598" s="2432"/>
      <c r="L598" s="2432"/>
      <c r="M598" s="2432"/>
    </row>
    <row r="599" spans="1:13">
      <c r="A599" s="788"/>
      <c r="F599" s="580" t="s">
        <v>676</v>
      </c>
      <c r="I599" s="2434">
        <f>'Part V-Utility Allowances'!I6</f>
        <v>41821</v>
      </c>
      <c r="J599" s="2434"/>
      <c r="K599" s="784" t="s">
        <v>572</v>
      </c>
      <c r="L599" s="2432" t="str">
        <f>'Part V-Utility Allowances'!L6</f>
        <v>MF</v>
      </c>
      <c r="M599" s="2432"/>
    </row>
    <row r="600" spans="1:13">
      <c r="A600" s="788"/>
    </row>
    <row r="601" spans="1:13">
      <c r="A601" s="788"/>
      <c r="B601" s="788"/>
      <c r="C601" s="788"/>
      <c r="D601" s="788"/>
      <c r="E601" s="788"/>
      <c r="F601" s="2431" t="s">
        <v>649</v>
      </c>
      <c r="G601" s="2431"/>
      <c r="H601" s="788"/>
      <c r="I601" s="2431" t="s">
        <v>208</v>
      </c>
      <c r="J601" s="2431"/>
      <c r="K601" s="2431"/>
      <c r="L601" s="2431"/>
      <c r="M601" s="2431"/>
    </row>
    <row r="602" spans="1:13">
      <c r="A602" s="788"/>
      <c r="B602" s="788" t="s">
        <v>851</v>
      </c>
      <c r="C602" s="788"/>
      <c r="D602" s="788" t="s">
        <v>1707</v>
      </c>
      <c r="E602" s="788"/>
      <c r="F602" s="786" t="s">
        <v>682</v>
      </c>
      <c r="G602" s="786" t="s">
        <v>1978</v>
      </c>
      <c r="H602" s="788"/>
      <c r="I602" s="786" t="s">
        <v>600</v>
      </c>
      <c r="J602" s="786">
        <v>1</v>
      </c>
      <c r="K602" s="786">
        <v>2</v>
      </c>
      <c r="L602" s="786">
        <v>3</v>
      </c>
      <c r="M602" s="786">
        <v>4</v>
      </c>
    </row>
    <row r="603" spans="1:13">
      <c r="B603" s="580" t="s">
        <v>1980</v>
      </c>
      <c r="D603" s="2432" t="str">
        <f>'Part V-Utility Allowances'!D10</f>
        <v>Electric</v>
      </c>
      <c r="E603" s="2432"/>
      <c r="F603" s="1053" t="str">
        <f>'Part V-Utility Allowances'!F10</f>
        <v>X</v>
      </c>
      <c r="G603" s="1053">
        <f>'Part V-Utility Allowances'!G10</f>
        <v>0</v>
      </c>
      <c r="I603" s="784">
        <f>'Part V-Utility Allowances'!I10</f>
        <v>0</v>
      </c>
      <c r="J603" s="784">
        <f>'Part V-Utility Allowances'!J10</f>
        <v>7</v>
      </c>
      <c r="K603" s="784">
        <f>'Part V-Utility Allowances'!K10</f>
        <v>9</v>
      </c>
      <c r="L603" s="784">
        <f>'Part V-Utility Allowances'!L10</f>
        <v>13</v>
      </c>
      <c r="M603" s="784">
        <f>'Part V-Utility Allowances'!M10</f>
        <v>0</v>
      </c>
    </row>
    <row r="604" spans="1:13">
      <c r="B604" s="580" t="s">
        <v>493</v>
      </c>
      <c r="D604" s="580" t="s">
        <v>1703</v>
      </c>
      <c r="F604" s="1053" t="str">
        <f>'Part V-Utility Allowances'!F11</f>
        <v>X</v>
      </c>
      <c r="G604" s="1053">
        <f>'Part V-Utility Allowances'!G11</f>
        <v>0</v>
      </c>
      <c r="I604" s="784">
        <f>'Part V-Utility Allowances'!I11</f>
        <v>0</v>
      </c>
      <c r="J604" s="784">
        <f>'Part V-Utility Allowances'!J11</f>
        <v>30</v>
      </c>
      <c r="K604" s="784">
        <f>'Part V-Utility Allowances'!K11</f>
        <v>39</v>
      </c>
      <c r="L604" s="784">
        <f>'Part V-Utility Allowances'!L11</f>
        <v>48</v>
      </c>
      <c r="M604" s="784">
        <f>'Part V-Utility Allowances'!M11</f>
        <v>0</v>
      </c>
    </row>
    <row r="605" spans="1:13">
      <c r="B605" s="580" t="s">
        <v>1704</v>
      </c>
      <c r="D605" s="2432" t="str">
        <f>'Part V-Utility Allowances'!D12</f>
        <v>Electric</v>
      </c>
      <c r="E605" s="2432"/>
      <c r="F605" s="1053" t="str">
        <f>'Part V-Utility Allowances'!F12</f>
        <v>X</v>
      </c>
      <c r="G605" s="1053">
        <f>'Part V-Utility Allowances'!G12</f>
        <v>0</v>
      </c>
      <c r="I605" s="784">
        <f>'Part V-Utility Allowances'!I12</f>
        <v>0</v>
      </c>
      <c r="J605" s="784">
        <f>'Part V-Utility Allowances'!J12</f>
        <v>9</v>
      </c>
      <c r="K605" s="784">
        <f>'Part V-Utility Allowances'!K12</f>
        <v>11</v>
      </c>
      <c r="L605" s="784">
        <f>'Part V-Utility Allowances'!L12</f>
        <v>14</v>
      </c>
      <c r="M605" s="784">
        <f>'Part V-Utility Allowances'!M12</f>
        <v>0</v>
      </c>
    </row>
    <row r="606" spans="1:13">
      <c r="B606" s="580" t="s">
        <v>1705</v>
      </c>
      <c r="D606" s="2432" t="str">
        <f>'Part V-Utility Allowances'!D13</f>
        <v>Electric</v>
      </c>
      <c r="E606" s="2432"/>
      <c r="F606" s="1053" t="str">
        <f>'Part V-Utility Allowances'!F13</f>
        <v>X</v>
      </c>
      <c r="G606" s="1053">
        <f>'Part V-Utility Allowances'!G13</f>
        <v>0</v>
      </c>
      <c r="I606" s="784">
        <f>'Part V-Utility Allowances'!I13</f>
        <v>0</v>
      </c>
      <c r="J606" s="784">
        <f>'Part V-Utility Allowances'!J13</f>
        <v>27</v>
      </c>
      <c r="K606" s="784">
        <f>'Part V-Utility Allowances'!K13</f>
        <v>34</v>
      </c>
      <c r="L606" s="784">
        <f>'Part V-Utility Allowances'!L13</f>
        <v>42</v>
      </c>
      <c r="M606" s="784">
        <f>'Part V-Utility Allowances'!M13</f>
        <v>0</v>
      </c>
    </row>
    <row r="607" spans="1:13">
      <c r="B607" s="580" t="s">
        <v>1706</v>
      </c>
      <c r="D607" s="580" t="s">
        <v>1703</v>
      </c>
      <c r="F607" s="1053" t="str">
        <f>'Part V-Utility Allowances'!F14</f>
        <v>X</v>
      </c>
      <c r="G607" s="1053">
        <f>'Part V-Utility Allowances'!G14</f>
        <v>0</v>
      </c>
      <c r="I607" s="784">
        <f>'Part V-Utility Allowances'!I14</f>
        <v>0</v>
      </c>
      <c r="J607" s="784">
        <f>'Part V-Utility Allowances'!J14</f>
        <v>25</v>
      </c>
      <c r="K607" s="784">
        <f>'Part V-Utility Allowances'!K14</f>
        <v>32</v>
      </c>
      <c r="L607" s="784">
        <f>'Part V-Utility Allowances'!L14</f>
        <v>39</v>
      </c>
      <c r="M607" s="784">
        <f>'Part V-Utility Allowances'!M14</f>
        <v>0</v>
      </c>
    </row>
    <row r="608" spans="1:13">
      <c r="B608" s="580" t="s">
        <v>1456</v>
      </c>
      <c r="D608" s="580" t="s">
        <v>2371</v>
      </c>
      <c r="E608" s="784" t="str">
        <f>'Part V-Utility Allowances'!E15</f>
        <v>No</v>
      </c>
      <c r="F608" s="1053">
        <f>'Part V-Utility Allowances'!F15</f>
        <v>0</v>
      </c>
      <c r="G608" s="1053" t="str">
        <f>'Part V-Utility Allowances'!G15</f>
        <v>X</v>
      </c>
      <c r="I608" s="784">
        <f>'Part V-Utility Allowances'!I15</f>
        <v>0</v>
      </c>
      <c r="J608" s="784">
        <f>'Part V-Utility Allowances'!J15</f>
        <v>0</v>
      </c>
      <c r="K608" s="784">
        <f>'Part V-Utility Allowances'!K15</f>
        <v>0</v>
      </c>
      <c r="L608" s="784">
        <f>'Part V-Utility Allowances'!L15</f>
        <v>0</v>
      </c>
      <c r="M608" s="784">
        <f>'Part V-Utility Allowances'!M15</f>
        <v>0</v>
      </c>
    </row>
    <row r="609" spans="1:13">
      <c r="B609" s="580" t="s">
        <v>1979</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1081</v>
      </c>
      <c r="F610" s="784"/>
      <c r="G610" s="784"/>
      <c r="I610" s="786">
        <f>SUM(I603:I609)</f>
        <v>0</v>
      </c>
      <c r="J610" s="786">
        <f>SUM(J603:J609)</f>
        <v>98</v>
      </c>
      <c r="K610" s="786">
        <f>SUM(K603:K609)</f>
        <v>125</v>
      </c>
      <c r="L610" s="786">
        <f>SUM(L603:L609)</f>
        <v>156</v>
      </c>
      <c r="M610" s="786">
        <f>SUM(M603:M609)</f>
        <v>0</v>
      </c>
    </row>
    <row r="612" spans="1:13">
      <c r="A612" s="788" t="s">
        <v>789</v>
      </c>
      <c r="B612" s="788" t="s">
        <v>2373</v>
      </c>
      <c r="F612" s="580" t="s">
        <v>2689</v>
      </c>
      <c r="I612" s="2432">
        <f>'Part V-Utility Allowances'!I19</f>
        <v>0</v>
      </c>
      <c r="J612" s="2432"/>
      <c r="K612" s="2432"/>
      <c r="L612" s="2432"/>
      <c r="M612" s="2432"/>
    </row>
    <row r="613" spans="1:13">
      <c r="A613" s="788"/>
      <c r="B613" s="788"/>
      <c r="F613" s="580" t="s">
        <v>676</v>
      </c>
      <c r="I613" s="2434">
        <f>'Part V-Utility Allowances'!I20</f>
        <v>0</v>
      </c>
      <c r="J613" s="2434"/>
      <c r="K613" s="784" t="s">
        <v>572</v>
      </c>
      <c r="L613" s="2432">
        <f>'Part V-Utility Allowances'!L20</f>
        <v>0</v>
      </c>
      <c r="M613" s="2432"/>
    </row>
    <row r="614" spans="1:13">
      <c r="A614" s="788"/>
    </row>
    <row r="615" spans="1:13">
      <c r="A615" s="788"/>
      <c r="B615" s="788"/>
      <c r="C615" s="788"/>
      <c r="D615" s="788"/>
      <c r="E615" s="788"/>
      <c r="F615" s="2431" t="s">
        <v>649</v>
      </c>
      <c r="G615" s="2431"/>
      <c r="H615" s="788"/>
      <c r="I615" s="2431" t="s">
        <v>208</v>
      </c>
      <c r="J615" s="2431"/>
      <c r="K615" s="2431"/>
      <c r="L615" s="2431"/>
      <c r="M615" s="2431"/>
    </row>
    <row r="616" spans="1:13">
      <c r="A616" s="788"/>
      <c r="B616" s="788" t="s">
        <v>851</v>
      </c>
      <c r="C616" s="788"/>
      <c r="D616" s="788" t="s">
        <v>1707</v>
      </c>
      <c r="E616" s="788"/>
      <c r="F616" s="786" t="s">
        <v>682</v>
      </c>
      <c r="G616" s="786" t="s">
        <v>1978</v>
      </c>
      <c r="H616" s="788"/>
      <c r="I616" s="786" t="s">
        <v>600</v>
      </c>
      <c r="J616" s="786">
        <v>1</v>
      </c>
      <c r="K616" s="786">
        <v>2</v>
      </c>
      <c r="L616" s="786">
        <v>3</v>
      </c>
      <c r="M616" s="786">
        <v>4</v>
      </c>
    </row>
    <row r="617" spans="1:13">
      <c r="B617" s="580" t="s">
        <v>1980</v>
      </c>
      <c r="D617" s="2432" t="str">
        <f>'Part V-Utility Allowances'!D24</f>
        <v>&lt;&lt;Select Fuel &gt;&gt;</v>
      </c>
      <c r="E617" s="2432"/>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1703</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1704</v>
      </c>
      <c r="D619" s="2432" t="str">
        <f>'Part V-Utility Allowances'!D26</f>
        <v>&lt;&lt;Select Fuel &gt;&gt;</v>
      </c>
      <c r="E619" s="2432"/>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1705</v>
      </c>
      <c r="D620" s="2432" t="str">
        <f>'Part V-Utility Allowances'!D27</f>
        <v>&lt;&lt;Select Fuel &gt;&gt;</v>
      </c>
      <c r="E620" s="2432"/>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1706</v>
      </c>
      <c r="D621" s="580" t="s">
        <v>1703</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1456</v>
      </c>
      <c r="D622" s="580" t="s">
        <v>2371</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1979</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1081</v>
      </c>
      <c r="F624" s="784"/>
      <c r="G624" s="784"/>
      <c r="I624" s="786">
        <f>SUM(I617:I623)</f>
        <v>0</v>
      </c>
      <c r="J624" s="786">
        <f>SUM(J617:J623)</f>
        <v>0</v>
      </c>
      <c r="K624" s="786">
        <f>SUM(K617:K623)</f>
        <v>0</v>
      </c>
      <c r="L624" s="786">
        <f>SUM(L617:L623)</f>
        <v>0</v>
      </c>
      <c r="M624" s="786">
        <f>SUM(M617:M623)</f>
        <v>0</v>
      </c>
    </row>
    <row r="626" spans="1:221">
      <c r="B626" s="886" t="s">
        <v>1931</v>
      </c>
    </row>
    <row r="628" spans="1:221">
      <c r="A628" s="788"/>
      <c r="B628" s="788" t="s">
        <v>607</v>
      </c>
    </row>
    <row r="629" spans="1:221">
      <c r="B629" s="2433" t="str">
        <f>'Part V-Utility Allowances'!B36</f>
        <v>Utility Allowance documantation included in Tab 1. Each unit is individually metered. Applicant will take over the payment for water and sewer charges.</v>
      </c>
      <c r="C629" s="2433"/>
      <c r="D629" s="2433"/>
      <c r="E629" s="2433"/>
      <c r="F629" s="2433"/>
      <c r="G629" s="2433"/>
      <c r="H629" s="2433"/>
      <c r="I629" s="2433"/>
      <c r="J629" s="2433"/>
      <c r="K629" s="2433"/>
      <c r="L629" s="2433"/>
      <c r="M629" s="2433"/>
    </row>
    <row r="631" spans="1:221">
      <c r="A631" s="788"/>
      <c r="B631" s="788" t="s">
        <v>1973</v>
      </c>
    </row>
    <row r="632" spans="1:221">
      <c r="B632" s="2433">
        <f>'Part V-Utility Allowances'!B39</f>
        <v>0</v>
      </c>
      <c r="C632" s="2433"/>
      <c r="D632" s="2433"/>
      <c r="E632" s="2433"/>
      <c r="F632" s="2433"/>
      <c r="G632" s="2433"/>
      <c r="H632" s="2433"/>
      <c r="I632" s="2433"/>
      <c r="J632" s="2433"/>
      <c r="K632" s="2433"/>
      <c r="L632" s="2433"/>
      <c r="M632" s="2433"/>
    </row>
    <row r="635" spans="1:221" s="583" customFormat="1" ht="13.9" customHeight="1">
      <c r="A635" s="2353" t="str">
        <f>CONCATENATE("PART SIX - PROJECTED REVENUES &amp; EXPENSES","  -  ",'Part I-Project Information'!$O$4," ",'Part I-Project Information'!$F$23,", ",'Part I-Project Information'!F661,", ",'Part I-Project Information'!J662," County")</f>
        <v>PART SIX - PROJECTED REVENUES &amp; EXPENSES  -  2014-006 North Grove Apartments, , Southeast Georgia Consolidated Housing Authority County</v>
      </c>
      <c r="B635" s="2353"/>
      <c r="C635" s="2353"/>
      <c r="D635" s="2353"/>
      <c r="E635" s="2353"/>
      <c r="F635" s="2353"/>
      <c r="G635" s="2353"/>
      <c r="H635" s="2353"/>
      <c r="I635" s="2353"/>
      <c r="J635" s="2353"/>
      <c r="K635" s="2353"/>
      <c r="L635" s="2353"/>
      <c r="M635" s="2353"/>
      <c r="N635" s="2353"/>
      <c r="O635" s="2353"/>
      <c r="P635" s="2353"/>
      <c r="T635" s="2353" t="str">
        <f>A635</f>
        <v>PART SIX - PROJECTED REVENUES &amp; EXPENSES  -  2014-006 North Grove Apartments, , Southeast Georgia Consolidated Housing Authority County</v>
      </c>
      <c r="U635" s="2353"/>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656</v>
      </c>
      <c r="B637" s="586" t="s">
        <v>2519</v>
      </c>
      <c r="E637" s="887" t="s">
        <v>2902</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515</v>
      </c>
      <c r="FB637" s="782" t="s">
        <v>2603</v>
      </c>
      <c r="FC637" s="782" t="s">
        <v>2604</v>
      </c>
      <c r="FD637" s="782" t="s">
        <v>2605</v>
      </c>
      <c r="FE637" s="782" t="s">
        <v>2606</v>
      </c>
      <c r="FF637" s="783"/>
      <c r="FG637" s="783"/>
      <c r="FH637" s="783"/>
      <c r="FI637" s="783"/>
      <c r="FJ637" s="783"/>
      <c r="FK637" s="782" t="s">
        <v>515</v>
      </c>
      <c r="FL637" s="782" t="s">
        <v>2603</v>
      </c>
      <c r="FM637" s="782" t="s">
        <v>2604</v>
      </c>
      <c r="FN637" s="782" t="s">
        <v>2605</v>
      </c>
      <c r="FO637" s="782" t="s">
        <v>2606</v>
      </c>
      <c r="FP637" s="782" t="s">
        <v>515</v>
      </c>
      <c r="FQ637" s="782" t="s">
        <v>2603</v>
      </c>
      <c r="FR637" s="782" t="s">
        <v>2604</v>
      </c>
      <c r="FS637" s="782" t="s">
        <v>2605</v>
      </c>
      <c r="FT637" s="782" t="s">
        <v>2606</v>
      </c>
      <c r="FU637" s="782" t="s">
        <v>515</v>
      </c>
      <c r="FV637" s="782" t="s">
        <v>2603</v>
      </c>
      <c r="FW637" s="782" t="s">
        <v>2604</v>
      </c>
      <c r="FX637" s="782" t="s">
        <v>2605</v>
      </c>
      <c r="FY637" s="782" t="s">
        <v>2606</v>
      </c>
      <c r="FZ637" s="782" t="s">
        <v>515</v>
      </c>
      <c r="GA637" s="782" t="s">
        <v>2603</v>
      </c>
      <c r="GB637" s="782" t="s">
        <v>2604</v>
      </c>
      <c r="GC637" s="782" t="s">
        <v>2605</v>
      </c>
      <c r="GD637" s="782" t="s">
        <v>2606</v>
      </c>
      <c r="GE637" s="782" t="s">
        <v>515</v>
      </c>
      <c r="GF637" s="782" t="s">
        <v>2603</v>
      </c>
      <c r="GG637" s="782" t="s">
        <v>2604</v>
      </c>
      <c r="GH637" s="782" t="s">
        <v>2605</v>
      </c>
      <c r="GI637" s="782" t="s">
        <v>2606</v>
      </c>
      <c r="GJ637" s="782" t="s">
        <v>515</v>
      </c>
      <c r="GK637" s="782" t="s">
        <v>2603</v>
      </c>
      <c r="GL637" s="782" t="s">
        <v>2604</v>
      </c>
      <c r="GM637" s="782" t="s">
        <v>2605</v>
      </c>
      <c r="GN637" s="782" t="s">
        <v>2606</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435" t="s">
        <v>974</v>
      </c>
      <c r="W638" s="2435" t="s">
        <v>805</v>
      </c>
      <c r="X638" s="2435" t="s">
        <v>806</v>
      </c>
      <c r="Y638" s="2435" t="s">
        <v>807</v>
      </c>
      <c r="Z638" s="2435" t="s">
        <v>808</v>
      </c>
      <c r="AA638" s="2435" t="s">
        <v>975</v>
      </c>
      <c r="AB638" s="2435" t="s">
        <v>2458</v>
      </c>
      <c r="AC638" s="2435" t="s">
        <v>2459</v>
      </c>
      <c r="AD638" s="2435" t="s">
        <v>2460</v>
      </c>
      <c r="AE638" s="2435" t="s">
        <v>2461</v>
      </c>
      <c r="AF638" s="2435" t="s">
        <v>976</v>
      </c>
      <c r="AG638" s="2435" t="s">
        <v>2462</v>
      </c>
      <c r="AH638" s="2435" t="s">
        <v>2463</v>
      </c>
      <c r="AI638" s="2435" t="s">
        <v>2464</v>
      </c>
      <c r="AJ638" s="2435" t="s">
        <v>2465</v>
      </c>
      <c r="AK638" s="2435" t="s">
        <v>132</v>
      </c>
      <c r="AL638" s="2435" t="s">
        <v>2466</v>
      </c>
      <c r="AM638" s="2435" t="s">
        <v>2467</v>
      </c>
      <c r="AN638" s="2435" t="s">
        <v>2468</v>
      </c>
      <c r="AO638" s="2435" t="s">
        <v>1216</v>
      </c>
      <c r="AP638" s="2435" t="s">
        <v>588</v>
      </c>
      <c r="AQ638" s="2435" t="s">
        <v>589</v>
      </c>
      <c r="AR638" s="2435" t="s">
        <v>613</v>
      </c>
      <c r="AS638" s="2435" t="s">
        <v>614</v>
      </c>
      <c r="AT638" s="2435" t="s">
        <v>615</v>
      </c>
      <c r="AU638" s="2435" t="s">
        <v>616</v>
      </c>
      <c r="AV638" s="2435" t="s">
        <v>617</v>
      </c>
      <c r="AW638" s="2435" t="s">
        <v>618</v>
      </c>
      <c r="AX638" s="2435" t="s">
        <v>619</v>
      </c>
      <c r="AY638" s="2435" t="s">
        <v>620</v>
      </c>
      <c r="AZ638" s="2435" t="s">
        <v>621</v>
      </c>
      <c r="BA638" s="2435" t="s">
        <v>622</v>
      </c>
      <c r="BB638" s="2435" t="s">
        <v>986</v>
      </c>
      <c r="BC638" s="2435" t="s">
        <v>987</v>
      </c>
      <c r="BD638" s="2435" t="s">
        <v>988</v>
      </c>
      <c r="BE638" s="2435" t="s">
        <v>527</v>
      </c>
      <c r="BF638" s="2435" t="s">
        <v>528</v>
      </c>
      <c r="BG638" s="2435" t="s">
        <v>529</v>
      </c>
      <c r="BH638" s="2435" t="s">
        <v>530</v>
      </c>
      <c r="BI638" s="2435" t="s">
        <v>531</v>
      </c>
      <c r="BJ638" s="2435" t="s">
        <v>934</v>
      </c>
      <c r="BK638" s="2435" t="s">
        <v>935</v>
      </c>
      <c r="BL638" s="2435" t="s">
        <v>936</v>
      </c>
      <c r="BM638" s="2435" t="s">
        <v>937</v>
      </c>
      <c r="BN638" s="2435" t="s">
        <v>938</v>
      </c>
      <c r="BO638" s="2435" t="s">
        <v>939</v>
      </c>
      <c r="BP638" s="2435" t="s">
        <v>940</v>
      </c>
      <c r="BQ638" s="2435" t="s">
        <v>941</v>
      </c>
      <c r="BR638" s="2435" t="s">
        <v>942</v>
      </c>
      <c r="BS638" s="2435" t="s">
        <v>943</v>
      </c>
      <c r="BT638" s="2435" t="s">
        <v>2593</v>
      </c>
      <c r="BU638" s="2435" t="s">
        <v>2594</v>
      </c>
      <c r="BV638" s="2435" t="s">
        <v>2595</v>
      </c>
      <c r="BW638" s="2435" t="s">
        <v>2596</v>
      </c>
      <c r="BX638" s="2435" t="s">
        <v>2597</v>
      </c>
      <c r="BY638" s="2435" t="s">
        <v>120</v>
      </c>
      <c r="BZ638" s="2435" t="s">
        <v>1219</v>
      </c>
      <c r="CA638" s="2435" t="s">
        <v>1220</v>
      </c>
      <c r="CB638" s="2435" t="s">
        <v>1289</v>
      </c>
      <c r="CC638" s="2435" t="s">
        <v>1290</v>
      </c>
      <c r="CD638" s="2436" t="s">
        <v>135</v>
      </c>
      <c r="CE638" s="2436" t="s">
        <v>1291</v>
      </c>
      <c r="CF638" s="2436" t="s">
        <v>1292</v>
      </c>
      <c r="CG638" s="2436" t="s">
        <v>1293</v>
      </c>
      <c r="CH638" s="2436" t="s">
        <v>1294</v>
      </c>
      <c r="CI638" s="2436" t="s">
        <v>134</v>
      </c>
      <c r="CJ638" s="2436" t="s">
        <v>966</v>
      </c>
      <c r="CK638" s="2436" t="s">
        <v>967</v>
      </c>
      <c r="CL638" s="2436" t="s">
        <v>968</v>
      </c>
      <c r="CM638" s="2436" t="s">
        <v>969</v>
      </c>
      <c r="CN638" s="2436" t="s">
        <v>133</v>
      </c>
      <c r="CO638" s="2436" t="s">
        <v>970</v>
      </c>
      <c r="CP638" s="2436" t="s">
        <v>971</v>
      </c>
      <c r="CQ638" s="2436" t="s">
        <v>972</v>
      </c>
      <c r="CR638" s="2436" t="s">
        <v>973</v>
      </c>
      <c r="CS638" s="2436" t="s">
        <v>862</v>
      </c>
      <c r="CT638" s="2436" t="s">
        <v>863</v>
      </c>
      <c r="CU638" s="2436" t="s">
        <v>864</v>
      </c>
      <c r="CV638" s="2436" t="s">
        <v>865</v>
      </c>
      <c r="CW638" s="2436" t="s">
        <v>866</v>
      </c>
      <c r="CX638" s="2436" t="s">
        <v>1013</v>
      </c>
      <c r="CY638" s="2436" t="s">
        <v>1014</v>
      </c>
      <c r="CZ638" s="2436" t="s">
        <v>1015</v>
      </c>
      <c r="DA638" s="2436" t="s">
        <v>1016</v>
      </c>
      <c r="DB638" s="2436" t="s">
        <v>2592</v>
      </c>
      <c r="DC638" s="2436" t="s">
        <v>1526</v>
      </c>
      <c r="DD638" s="2436" t="s">
        <v>1527</v>
      </c>
      <c r="DE638" s="2436" t="s">
        <v>1528</v>
      </c>
      <c r="DF638" s="2436" t="s">
        <v>1529</v>
      </c>
      <c r="DG638" s="2436" t="s">
        <v>1530</v>
      </c>
      <c r="DH638" s="2436" t="s">
        <v>458</v>
      </c>
      <c r="DI638" s="2436" t="s">
        <v>459</v>
      </c>
      <c r="DJ638" s="2436" t="s">
        <v>460</v>
      </c>
      <c r="DK638" s="2436" t="s">
        <v>461</v>
      </c>
      <c r="DL638" s="2436" t="s">
        <v>462</v>
      </c>
      <c r="DM638" s="2436" t="s">
        <v>18</v>
      </c>
      <c r="DN638" s="2436" t="s">
        <v>19</v>
      </c>
      <c r="DO638" s="2436" t="s">
        <v>20</v>
      </c>
      <c r="DP638" s="2436" t="s">
        <v>21</v>
      </c>
      <c r="DQ638" s="2436" t="s">
        <v>22</v>
      </c>
      <c r="DR638" s="2436" t="s">
        <v>233</v>
      </c>
      <c r="DS638" s="2436" t="s">
        <v>234</v>
      </c>
      <c r="DT638" s="2436" t="s">
        <v>235</v>
      </c>
      <c r="DU638" s="2436" t="s">
        <v>1937</v>
      </c>
      <c r="DV638" s="2436" t="s">
        <v>1938</v>
      </c>
      <c r="DW638" s="2436" t="s">
        <v>1939</v>
      </c>
      <c r="DX638" s="2436" t="s">
        <v>629</v>
      </c>
      <c r="DY638" s="2436" t="s">
        <v>630</v>
      </c>
      <c r="DZ638" s="2436" t="s">
        <v>631</v>
      </c>
      <c r="EA638" s="2436" t="s">
        <v>632</v>
      </c>
      <c r="EB638" s="2436" t="s">
        <v>23</v>
      </c>
      <c r="EC638" s="2436" t="s">
        <v>24</v>
      </c>
      <c r="ED638" s="2436" t="s">
        <v>25</v>
      </c>
      <c r="EE638" s="2436" t="s">
        <v>26</v>
      </c>
      <c r="EF638" s="2436" t="s">
        <v>27</v>
      </c>
      <c r="EG638" s="2436" t="s">
        <v>526</v>
      </c>
      <c r="EH638" s="2436" t="s">
        <v>454</v>
      </c>
      <c r="EI638" s="2436" t="s">
        <v>455</v>
      </c>
      <c r="EJ638" s="2436" t="s">
        <v>456</v>
      </c>
      <c r="EK638" s="2436" t="s">
        <v>457</v>
      </c>
      <c r="EL638" s="2436" t="s">
        <v>2350</v>
      </c>
      <c r="EM638" s="2436" t="s">
        <v>2351</v>
      </c>
      <c r="EN638" s="2436" t="s">
        <v>2352</v>
      </c>
      <c r="EO638" s="2436" t="s">
        <v>1577</v>
      </c>
      <c r="EP638" s="2436" t="s">
        <v>1578</v>
      </c>
      <c r="EQ638" s="2436" t="s">
        <v>28</v>
      </c>
      <c r="ER638" s="2436" t="s">
        <v>29</v>
      </c>
      <c r="ES638" s="2436" t="s">
        <v>30</v>
      </c>
      <c r="ET638" s="2436" t="s">
        <v>31</v>
      </c>
      <c r="EU638" s="2436"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436" t="s">
        <v>1734</v>
      </c>
      <c r="GP638" s="2436" t="s">
        <v>2695</v>
      </c>
      <c r="GQ638" s="2436" t="s">
        <v>2696</v>
      </c>
      <c r="GR638" s="2436" t="s">
        <v>405</v>
      </c>
      <c r="GS638" s="2436" t="s">
        <v>406</v>
      </c>
      <c r="GT638" s="2436" t="s">
        <v>407</v>
      </c>
      <c r="GU638" s="2436" t="s">
        <v>408</v>
      </c>
      <c r="GV638" s="2436" t="s">
        <v>409</v>
      </c>
      <c r="GW638" s="2436" t="s">
        <v>410</v>
      </c>
      <c r="GX638" s="2436" t="s">
        <v>411</v>
      </c>
      <c r="GY638" s="2436" t="s">
        <v>210</v>
      </c>
      <c r="GZ638" s="2436" t="s">
        <v>211</v>
      </c>
      <c r="HA638" s="2436" t="s">
        <v>212</v>
      </c>
      <c r="HB638" s="2436" t="s">
        <v>213</v>
      </c>
      <c r="HC638" s="2436" t="s">
        <v>214</v>
      </c>
      <c r="HD638" s="2436" t="s">
        <v>215</v>
      </c>
      <c r="HE638" s="2436" t="s">
        <v>216</v>
      </c>
      <c r="HF638" s="2436" t="s">
        <v>217</v>
      </c>
      <c r="HG638" s="2436" t="s">
        <v>218</v>
      </c>
      <c r="HH638" s="2436" t="s">
        <v>219</v>
      </c>
      <c r="HI638" s="2436" t="s">
        <v>220</v>
      </c>
      <c r="HJ638" s="2436" t="s">
        <v>221</v>
      </c>
      <c r="HK638" s="2436" t="s">
        <v>222</v>
      </c>
      <c r="HL638" s="2436" t="s">
        <v>223</v>
      </c>
      <c r="HM638" s="2436" t="s">
        <v>224</v>
      </c>
    </row>
    <row r="639" spans="1:221" s="583" customFormat="1" ht="13.15" customHeight="1">
      <c r="B639" s="586" t="s">
        <v>1974</v>
      </c>
      <c r="E639" s="586"/>
      <c r="G639" s="780">
        <f>'Part VI-Revenues &amp; Expenses'!G5</f>
        <v>0</v>
      </c>
      <c r="N639" s="885" t="s">
        <v>612</v>
      </c>
      <c r="P639" s="888" t="s">
        <v>1096</v>
      </c>
      <c r="V639" s="2435"/>
      <c r="W639" s="2435"/>
      <c r="X639" s="2435"/>
      <c r="Y639" s="2435"/>
      <c r="Z639" s="2435"/>
      <c r="AA639" s="2435"/>
      <c r="AB639" s="2435"/>
      <c r="AC639" s="2435"/>
      <c r="AD639" s="2435"/>
      <c r="AE639" s="2435"/>
      <c r="AF639" s="2435"/>
      <c r="AG639" s="2435"/>
      <c r="AH639" s="2435"/>
      <c r="AI639" s="2435"/>
      <c r="AJ639" s="2435"/>
      <c r="AK639" s="2435"/>
      <c r="AL639" s="2435"/>
      <c r="AM639" s="2435"/>
      <c r="AN639" s="2435"/>
      <c r="AO639" s="2435"/>
      <c r="AP639" s="2435"/>
      <c r="AQ639" s="2435"/>
      <c r="AR639" s="2435"/>
      <c r="AS639" s="2435"/>
      <c r="AT639" s="2435"/>
      <c r="AU639" s="2435"/>
      <c r="AV639" s="2435"/>
      <c r="AW639" s="2435"/>
      <c r="AX639" s="2435"/>
      <c r="AY639" s="2435"/>
      <c r="AZ639" s="2435"/>
      <c r="BA639" s="2435"/>
      <c r="BB639" s="2435"/>
      <c r="BC639" s="2435"/>
      <c r="BD639" s="2435"/>
      <c r="BE639" s="2435"/>
      <c r="BF639" s="2435"/>
      <c r="BG639" s="2435"/>
      <c r="BH639" s="2435"/>
      <c r="BI639" s="2435"/>
      <c r="BJ639" s="2435"/>
      <c r="BK639" s="2435"/>
      <c r="BL639" s="2435"/>
      <c r="BM639" s="2435"/>
      <c r="BN639" s="2435"/>
      <c r="BO639" s="2435"/>
      <c r="BP639" s="2435"/>
      <c r="BQ639" s="2435"/>
      <c r="BR639" s="2435"/>
      <c r="BS639" s="2435"/>
      <c r="BT639" s="2435"/>
      <c r="BU639" s="2435"/>
      <c r="BV639" s="2435"/>
      <c r="BW639" s="2435"/>
      <c r="BX639" s="2435"/>
      <c r="BY639" s="2435"/>
      <c r="BZ639" s="2435"/>
      <c r="CA639" s="2435"/>
      <c r="CB639" s="2435"/>
      <c r="CC639" s="2435"/>
      <c r="CD639" s="2436"/>
      <c r="CE639" s="2436"/>
      <c r="CF639" s="2436"/>
      <c r="CG639" s="2436"/>
      <c r="CH639" s="2436"/>
      <c r="CI639" s="2436"/>
      <c r="CJ639" s="2436"/>
      <c r="CK639" s="2436"/>
      <c r="CL639" s="2436"/>
      <c r="CM639" s="2436"/>
      <c r="CN639" s="2436"/>
      <c r="CO639" s="2436"/>
      <c r="CP639" s="2436"/>
      <c r="CQ639" s="2436"/>
      <c r="CR639" s="2436"/>
      <c r="CS639" s="2436"/>
      <c r="CT639" s="2436"/>
      <c r="CU639" s="2436"/>
      <c r="CV639" s="2436"/>
      <c r="CW639" s="2436"/>
      <c r="CX639" s="2436"/>
      <c r="CY639" s="2436"/>
      <c r="CZ639" s="2436"/>
      <c r="DA639" s="2436"/>
      <c r="DB639" s="2436"/>
      <c r="DC639" s="2436"/>
      <c r="DD639" s="2436"/>
      <c r="DE639" s="2436"/>
      <c r="DF639" s="2436"/>
      <c r="DG639" s="2436"/>
      <c r="DH639" s="2436"/>
      <c r="DI639" s="2436"/>
      <c r="DJ639" s="2436"/>
      <c r="DK639" s="2436"/>
      <c r="DL639" s="2436"/>
      <c r="DM639" s="2436"/>
      <c r="DN639" s="2436"/>
      <c r="DO639" s="2436"/>
      <c r="DP639" s="2436"/>
      <c r="DQ639" s="2436"/>
      <c r="DR639" s="2436"/>
      <c r="DS639" s="2436"/>
      <c r="DT639" s="2436"/>
      <c r="DU639" s="2436"/>
      <c r="DV639" s="2436"/>
      <c r="DW639" s="2436"/>
      <c r="DX639" s="2436"/>
      <c r="DY639" s="2436"/>
      <c r="DZ639" s="2436"/>
      <c r="EA639" s="2436"/>
      <c r="EB639" s="2436"/>
      <c r="EC639" s="2436"/>
      <c r="ED639" s="2436"/>
      <c r="EE639" s="2436"/>
      <c r="EF639" s="2436"/>
      <c r="EG639" s="2436"/>
      <c r="EH639" s="2436"/>
      <c r="EI639" s="2436"/>
      <c r="EJ639" s="2436"/>
      <c r="EK639" s="2436"/>
      <c r="EL639" s="2436"/>
      <c r="EM639" s="2436"/>
      <c r="EN639" s="2436"/>
      <c r="EO639" s="2436"/>
      <c r="EP639" s="2436"/>
      <c r="EQ639" s="2436"/>
      <c r="ER639" s="2436"/>
      <c r="ES639" s="2436"/>
      <c r="ET639" s="2436"/>
      <c r="EU639" s="2436"/>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436"/>
      <c r="GP639" s="2436"/>
      <c r="GQ639" s="2436"/>
      <c r="GR639" s="2436"/>
      <c r="GS639" s="2436"/>
      <c r="GT639" s="2436"/>
      <c r="GU639" s="2436"/>
      <c r="GV639" s="2436"/>
      <c r="GW639" s="2436"/>
      <c r="GX639" s="2436"/>
      <c r="GY639" s="2436"/>
      <c r="GZ639" s="2436"/>
      <c r="HA639" s="2436"/>
      <c r="HB639" s="2436"/>
      <c r="HC639" s="2436"/>
      <c r="HD639" s="2436"/>
      <c r="HE639" s="2436"/>
      <c r="HF639" s="2436"/>
      <c r="HG639" s="2436"/>
      <c r="HH639" s="2436"/>
      <c r="HI639" s="2436"/>
      <c r="HJ639" s="2436"/>
      <c r="HK639" s="2436"/>
      <c r="HL639" s="2436"/>
      <c r="HM639" s="2436"/>
    </row>
    <row r="640" spans="1:221" s="583" customFormat="1" ht="13.15" customHeight="1">
      <c r="B640" s="889" t="s">
        <v>1930</v>
      </c>
      <c r="E640" s="586"/>
      <c r="G640" s="784">
        <f>'Part VI-Revenues &amp; Expenses'!G6</f>
        <v>0</v>
      </c>
      <c r="J640" s="890" t="s">
        <v>2566</v>
      </c>
      <c r="N640" s="2437" t="str">
        <f>'Part I-Project Information'!$O$29</f>
        <v>Athens-Clarke Co.</v>
      </c>
      <c r="O640" s="2437"/>
      <c r="P640" s="517">
        <f>VLOOKUP('Part I-Project Information'!$O$29,'DCA Underwriting Assumptions'!$C$82:$D$192,2)</f>
        <v>43700</v>
      </c>
      <c r="R640" s="2353" t="s">
        <v>2929</v>
      </c>
      <c r="S640" s="2353"/>
      <c r="V640" s="2435"/>
      <c r="W640" s="2435"/>
      <c r="X640" s="2435"/>
      <c r="Y640" s="2435"/>
      <c r="Z640" s="2435"/>
      <c r="AA640" s="2435"/>
      <c r="AB640" s="2435"/>
      <c r="AC640" s="2435"/>
      <c r="AD640" s="2435"/>
      <c r="AE640" s="2435"/>
      <c r="AF640" s="2435"/>
      <c r="AG640" s="2435"/>
      <c r="AH640" s="2435"/>
      <c r="AI640" s="2435"/>
      <c r="AJ640" s="2435"/>
      <c r="AK640" s="2435"/>
      <c r="AL640" s="2435"/>
      <c r="AM640" s="2435"/>
      <c r="AN640" s="2435"/>
      <c r="AO640" s="2435"/>
      <c r="AP640" s="2435"/>
      <c r="AQ640" s="2435"/>
      <c r="AR640" s="2435"/>
      <c r="AS640" s="2435"/>
      <c r="AT640" s="2435"/>
      <c r="AU640" s="2435"/>
      <c r="AV640" s="2435"/>
      <c r="AW640" s="2435"/>
      <c r="AX640" s="2435"/>
      <c r="AY640" s="2435"/>
      <c r="AZ640" s="2435"/>
      <c r="BA640" s="2435"/>
      <c r="BB640" s="2435"/>
      <c r="BC640" s="2435"/>
      <c r="BD640" s="2435"/>
      <c r="BE640" s="2435"/>
      <c r="BF640" s="2435"/>
      <c r="BG640" s="2435"/>
      <c r="BH640" s="2435"/>
      <c r="BI640" s="2435"/>
      <c r="BJ640" s="2435"/>
      <c r="BK640" s="2435"/>
      <c r="BL640" s="2435"/>
      <c r="BM640" s="2435"/>
      <c r="BN640" s="2435"/>
      <c r="BO640" s="2435"/>
      <c r="BP640" s="2435"/>
      <c r="BQ640" s="2435"/>
      <c r="BR640" s="2435"/>
      <c r="BS640" s="2435"/>
      <c r="BT640" s="2435"/>
      <c r="BU640" s="2435"/>
      <c r="BV640" s="2435"/>
      <c r="BW640" s="2435"/>
      <c r="BX640" s="2435"/>
      <c r="BY640" s="2435"/>
      <c r="BZ640" s="2435"/>
      <c r="CA640" s="2435"/>
      <c r="CB640" s="2435"/>
      <c r="CC640" s="2435"/>
      <c r="CD640" s="2436"/>
      <c r="CE640" s="2436"/>
      <c r="CF640" s="2436"/>
      <c r="CG640" s="2436"/>
      <c r="CH640" s="2436"/>
      <c r="CI640" s="2436"/>
      <c r="CJ640" s="2436"/>
      <c r="CK640" s="2436"/>
      <c r="CL640" s="2436"/>
      <c r="CM640" s="2436"/>
      <c r="CN640" s="2436"/>
      <c r="CO640" s="2436"/>
      <c r="CP640" s="2436"/>
      <c r="CQ640" s="2436"/>
      <c r="CR640" s="2436"/>
      <c r="CS640" s="2436"/>
      <c r="CT640" s="2436"/>
      <c r="CU640" s="2436"/>
      <c r="CV640" s="2436"/>
      <c r="CW640" s="2436"/>
      <c r="CX640" s="2436"/>
      <c r="CY640" s="2436"/>
      <c r="CZ640" s="2436"/>
      <c r="DA640" s="2436"/>
      <c r="DB640" s="2436"/>
      <c r="DC640" s="2436"/>
      <c r="DD640" s="2436"/>
      <c r="DE640" s="2436"/>
      <c r="DF640" s="2436"/>
      <c r="DG640" s="2436"/>
      <c r="DH640" s="2436"/>
      <c r="DI640" s="2436"/>
      <c r="DJ640" s="2436"/>
      <c r="DK640" s="2436"/>
      <c r="DL640" s="2436"/>
      <c r="DM640" s="2436"/>
      <c r="DN640" s="2436"/>
      <c r="DO640" s="2436"/>
      <c r="DP640" s="2436"/>
      <c r="DQ640" s="2436"/>
      <c r="DR640" s="2436"/>
      <c r="DS640" s="2436"/>
      <c r="DT640" s="2436"/>
      <c r="DU640" s="2436"/>
      <c r="DV640" s="2436"/>
      <c r="DW640" s="2436"/>
      <c r="DX640" s="2436"/>
      <c r="DY640" s="2436"/>
      <c r="DZ640" s="2436"/>
      <c r="EA640" s="2436"/>
      <c r="EB640" s="2436"/>
      <c r="EC640" s="2436"/>
      <c r="ED640" s="2436"/>
      <c r="EE640" s="2436"/>
      <c r="EF640" s="2436"/>
      <c r="EG640" s="2436"/>
      <c r="EH640" s="2436"/>
      <c r="EI640" s="2436"/>
      <c r="EJ640" s="2436"/>
      <c r="EK640" s="2436"/>
      <c r="EL640" s="2436"/>
      <c r="EM640" s="2436"/>
      <c r="EN640" s="2436"/>
      <c r="EO640" s="2436"/>
      <c r="EP640" s="2436"/>
      <c r="EQ640" s="2436"/>
      <c r="ER640" s="2436"/>
      <c r="ES640" s="2436"/>
      <c r="ET640" s="2436"/>
      <c r="EU640" s="2436"/>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436"/>
      <c r="GP640" s="2436"/>
      <c r="GQ640" s="2436"/>
      <c r="GR640" s="2436"/>
      <c r="GS640" s="2436"/>
      <c r="GT640" s="2436"/>
      <c r="GU640" s="2436"/>
      <c r="GV640" s="2436"/>
      <c r="GW640" s="2436"/>
      <c r="GX640" s="2436"/>
      <c r="GY640" s="2436"/>
      <c r="GZ640" s="2436"/>
      <c r="HA640" s="2436"/>
      <c r="HB640" s="2436"/>
      <c r="HC640" s="2436"/>
      <c r="HD640" s="2436"/>
      <c r="HE640" s="2436"/>
      <c r="HF640" s="2436"/>
      <c r="HG640" s="2436"/>
      <c r="HH640" s="2436"/>
      <c r="HI640" s="2436"/>
      <c r="HJ640" s="2436"/>
      <c r="HK640" s="2436"/>
      <c r="HL640" s="2436"/>
      <c r="HM640" s="2436"/>
    </row>
    <row r="641" spans="1:221" s="583" customFormat="1" ht="13.9" customHeight="1">
      <c r="A641" s="2438" t="str">
        <f>IF(A682&gt;0,"Finish!","")</f>
        <v/>
      </c>
      <c r="B641" s="586"/>
      <c r="D641" s="586"/>
      <c r="J641" s="890" t="s">
        <v>2567</v>
      </c>
      <c r="N641" s="604"/>
      <c r="O641" s="604"/>
      <c r="P641" s="604"/>
      <c r="Q641" s="604"/>
      <c r="R641" s="605"/>
      <c r="S641" s="606" t="s">
        <v>2926</v>
      </c>
      <c r="T641" s="604"/>
      <c r="V641" s="2435"/>
      <c r="W641" s="2435"/>
      <c r="X641" s="2435"/>
      <c r="Y641" s="2435"/>
      <c r="Z641" s="2435"/>
      <c r="AA641" s="2435"/>
      <c r="AB641" s="2435"/>
      <c r="AC641" s="2435"/>
      <c r="AD641" s="2435"/>
      <c r="AE641" s="2435"/>
      <c r="AF641" s="2435"/>
      <c r="AG641" s="2435"/>
      <c r="AH641" s="2435"/>
      <c r="AI641" s="2435"/>
      <c r="AJ641" s="2435"/>
      <c r="AK641" s="2435"/>
      <c r="AL641" s="2435"/>
      <c r="AM641" s="2435"/>
      <c r="AN641" s="2435"/>
      <c r="AO641" s="2435"/>
      <c r="AP641" s="2435"/>
      <c r="AQ641" s="2435"/>
      <c r="AR641" s="2435"/>
      <c r="AS641" s="2435"/>
      <c r="AT641" s="2435"/>
      <c r="AU641" s="2435"/>
      <c r="AV641" s="2435"/>
      <c r="AW641" s="2435"/>
      <c r="AX641" s="2435"/>
      <c r="AY641" s="2435"/>
      <c r="AZ641" s="2435"/>
      <c r="BA641" s="2435"/>
      <c r="BB641" s="2435"/>
      <c r="BC641" s="2435"/>
      <c r="BD641" s="2435"/>
      <c r="BE641" s="2435"/>
      <c r="BF641" s="2435"/>
      <c r="BG641" s="2435"/>
      <c r="BH641" s="2435"/>
      <c r="BI641" s="2435"/>
      <c r="BJ641" s="2435"/>
      <c r="BK641" s="2435"/>
      <c r="BL641" s="2435"/>
      <c r="BM641" s="2435"/>
      <c r="BN641" s="2435"/>
      <c r="BO641" s="2435"/>
      <c r="BP641" s="2435"/>
      <c r="BQ641" s="2435"/>
      <c r="BR641" s="2435"/>
      <c r="BS641" s="2435"/>
      <c r="BT641" s="2435"/>
      <c r="BU641" s="2435"/>
      <c r="BV641" s="2435"/>
      <c r="BW641" s="2435"/>
      <c r="BX641" s="2435"/>
      <c r="BY641" s="2435"/>
      <c r="BZ641" s="2435"/>
      <c r="CA641" s="2435"/>
      <c r="CB641" s="2435"/>
      <c r="CC641" s="2435"/>
      <c r="CD641" s="2436"/>
      <c r="CE641" s="2436"/>
      <c r="CF641" s="2436"/>
      <c r="CG641" s="2436"/>
      <c r="CH641" s="2436"/>
      <c r="CI641" s="2436"/>
      <c r="CJ641" s="2436"/>
      <c r="CK641" s="2436"/>
      <c r="CL641" s="2436"/>
      <c r="CM641" s="2436"/>
      <c r="CN641" s="2436"/>
      <c r="CO641" s="2436"/>
      <c r="CP641" s="2436"/>
      <c r="CQ641" s="2436"/>
      <c r="CR641" s="2436"/>
      <c r="CS641" s="2436"/>
      <c r="CT641" s="2436"/>
      <c r="CU641" s="2436"/>
      <c r="CV641" s="2436"/>
      <c r="CW641" s="2436"/>
      <c r="CX641" s="2436"/>
      <c r="CY641" s="2436"/>
      <c r="CZ641" s="2436"/>
      <c r="DA641" s="2436"/>
      <c r="DB641" s="2436"/>
      <c r="DC641" s="2436"/>
      <c r="DD641" s="2436"/>
      <c r="DE641" s="2436"/>
      <c r="DF641" s="2436"/>
      <c r="DG641" s="2436"/>
      <c r="DH641" s="2436"/>
      <c r="DI641" s="2436"/>
      <c r="DJ641" s="2436"/>
      <c r="DK641" s="2436"/>
      <c r="DL641" s="2436"/>
      <c r="DM641" s="2436"/>
      <c r="DN641" s="2436"/>
      <c r="DO641" s="2436"/>
      <c r="DP641" s="2436"/>
      <c r="DQ641" s="2436"/>
      <c r="DR641" s="2436"/>
      <c r="DS641" s="2436"/>
      <c r="DT641" s="2436"/>
      <c r="DU641" s="2436"/>
      <c r="DV641" s="2436"/>
      <c r="DW641" s="2436"/>
      <c r="DX641" s="2436"/>
      <c r="DY641" s="2436"/>
      <c r="DZ641" s="2436"/>
      <c r="EA641" s="2436"/>
      <c r="EB641" s="2436"/>
      <c r="EC641" s="2436"/>
      <c r="ED641" s="2436"/>
      <c r="EE641" s="2436"/>
      <c r="EF641" s="2436"/>
      <c r="EG641" s="2436"/>
      <c r="EH641" s="2436"/>
      <c r="EI641" s="2436"/>
      <c r="EJ641" s="2436"/>
      <c r="EK641" s="2436"/>
      <c r="EL641" s="2436"/>
      <c r="EM641" s="2436"/>
      <c r="EN641" s="2436"/>
      <c r="EO641" s="2436"/>
      <c r="EP641" s="2436"/>
      <c r="EQ641" s="2436"/>
      <c r="ER641" s="2436"/>
      <c r="ES641" s="2436"/>
      <c r="ET641" s="2436"/>
      <c r="EU641" s="2436"/>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436"/>
      <c r="GP641" s="2436"/>
      <c r="GQ641" s="2436"/>
      <c r="GR641" s="2436"/>
      <c r="GS641" s="2436"/>
      <c r="GT641" s="2436"/>
      <c r="GU641" s="2436"/>
      <c r="GV641" s="2436"/>
      <c r="GW641" s="2436"/>
      <c r="GX641" s="2436"/>
      <c r="GY641" s="2436"/>
      <c r="GZ641" s="2436"/>
      <c r="HA641" s="2436"/>
      <c r="HB641" s="2436"/>
      <c r="HC641" s="2436"/>
      <c r="HD641" s="2436"/>
      <c r="HE641" s="2436"/>
      <c r="HF641" s="2436"/>
      <c r="HG641" s="2436"/>
      <c r="HH641" s="2436"/>
      <c r="HI641" s="2436"/>
      <c r="HJ641" s="2436"/>
      <c r="HK641" s="2436"/>
      <c r="HL641" s="2436"/>
      <c r="HM641" s="2436"/>
    </row>
    <row r="642" spans="1:221" s="781" customFormat="1" ht="13.9" customHeight="1">
      <c r="A642" s="2438"/>
      <c r="B642" s="891" t="s">
        <v>1576</v>
      </c>
      <c r="C642" s="890" t="s">
        <v>179</v>
      </c>
      <c r="D642" s="890" t="s">
        <v>577</v>
      </c>
      <c r="E642" s="890" t="s">
        <v>1574</v>
      </c>
      <c r="F642" s="890" t="s">
        <v>1574</v>
      </c>
      <c r="G642" s="890" t="s">
        <v>2544</v>
      </c>
      <c r="H642" s="890" t="s">
        <v>2542</v>
      </c>
      <c r="I642" s="890" t="s">
        <v>851</v>
      </c>
      <c r="J642" s="890" t="s">
        <v>3669</v>
      </c>
      <c r="K642" s="2327" t="s">
        <v>148</v>
      </c>
      <c r="L642" s="2327"/>
      <c r="M642" s="890" t="s">
        <v>2520</v>
      </c>
      <c r="N642" s="890" t="s">
        <v>564</v>
      </c>
      <c r="O642" s="890" t="s">
        <v>402</v>
      </c>
      <c r="P642" s="2327" t="s">
        <v>1103</v>
      </c>
      <c r="Q642" s="2327"/>
      <c r="R642" s="890" t="s">
        <v>2925</v>
      </c>
      <c r="S642" s="890" t="s">
        <v>2927</v>
      </c>
      <c r="T642" s="890"/>
      <c r="V642" s="2435"/>
      <c r="W642" s="2435"/>
      <c r="X642" s="2435"/>
      <c r="Y642" s="2435"/>
      <c r="Z642" s="2435"/>
      <c r="AA642" s="2435"/>
      <c r="AB642" s="2435"/>
      <c r="AC642" s="2435"/>
      <c r="AD642" s="2435"/>
      <c r="AE642" s="2435"/>
      <c r="AF642" s="2435"/>
      <c r="AG642" s="2435"/>
      <c r="AH642" s="2435"/>
      <c r="AI642" s="2435"/>
      <c r="AJ642" s="2435"/>
      <c r="AK642" s="2435"/>
      <c r="AL642" s="2435"/>
      <c r="AM642" s="2435"/>
      <c r="AN642" s="2435"/>
      <c r="AO642" s="2435"/>
      <c r="AP642" s="2435"/>
      <c r="AQ642" s="2435"/>
      <c r="AR642" s="2435"/>
      <c r="AS642" s="2435"/>
      <c r="AT642" s="2435"/>
      <c r="AU642" s="2435"/>
      <c r="AV642" s="2435"/>
      <c r="AW642" s="2435"/>
      <c r="AX642" s="2435"/>
      <c r="AY642" s="2435"/>
      <c r="AZ642" s="2435"/>
      <c r="BA642" s="2435"/>
      <c r="BB642" s="2435"/>
      <c r="BC642" s="2435"/>
      <c r="BD642" s="2435"/>
      <c r="BE642" s="2435"/>
      <c r="BF642" s="2435"/>
      <c r="BG642" s="2435"/>
      <c r="BH642" s="2435"/>
      <c r="BI642" s="2435"/>
      <c r="BJ642" s="2435"/>
      <c r="BK642" s="2435"/>
      <c r="BL642" s="2435"/>
      <c r="BM642" s="2435"/>
      <c r="BN642" s="2435"/>
      <c r="BO642" s="2435"/>
      <c r="BP642" s="2435"/>
      <c r="BQ642" s="2435"/>
      <c r="BR642" s="2435"/>
      <c r="BS642" s="2435"/>
      <c r="BT642" s="2435"/>
      <c r="BU642" s="2435"/>
      <c r="BV642" s="2435"/>
      <c r="BW642" s="2435"/>
      <c r="BX642" s="2435"/>
      <c r="BY642" s="2435"/>
      <c r="BZ642" s="2435"/>
      <c r="CA642" s="2435"/>
      <c r="CB642" s="2435"/>
      <c r="CC642" s="2435"/>
      <c r="CD642" s="2436"/>
      <c r="CE642" s="2436"/>
      <c r="CF642" s="2436"/>
      <c r="CG642" s="2436"/>
      <c r="CH642" s="2436"/>
      <c r="CI642" s="2436"/>
      <c r="CJ642" s="2436"/>
      <c r="CK642" s="2436"/>
      <c r="CL642" s="2436"/>
      <c r="CM642" s="2436"/>
      <c r="CN642" s="2436"/>
      <c r="CO642" s="2436"/>
      <c r="CP642" s="2436"/>
      <c r="CQ642" s="2436"/>
      <c r="CR642" s="2436"/>
      <c r="CS642" s="2436"/>
      <c r="CT642" s="2436"/>
      <c r="CU642" s="2436"/>
      <c r="CV642" s="2436"/>
      <c r="CW642" s="2436"/>
      <c r="CX642" s="2436"/>
      <c r="CY642" s="2436"/>
      <c r="CZ642" s="2436"/>
      <c r="DA642" s="2436"/>
      <c r="DB642" s="2436"/>
      <c r="DC642" s="2436"/>
      <c r="DD642" s="2436"/>
      <c r="DE642" s="2436"/>
      <c r="DF642" s="2436"/>
      <c r="DG642" s="2436"/>
      <c r="DH642" s="2436"/>
      <c r="DI642" s="2436"/>
      <c r="DJ642" s="2436"/>
      <c r="DK642" s="2436"/>
      <c r="DL642" s="2436"/>
      <c r="DM642" s="2436"/>
      <c r="DN642" s="2436"/>
      <c r="DO642" s="2436"/>
      <c r="DP642" s="2436"/>
      <c r="DQ642" s="2436"/>
      <c r="DR642" s="2436"/>
      <c r="DS642" s="2436"/>
      <c r="DT642" s="2436"/>
      <c r="DU642" s="2436"/>
      <c r="DV642" s="2436"/>
      <c r="DW642" s="2436"/>
      <c r="DX642" s="2436"/>
      <c r="DY642" s="2436"/>
      <c r="DZ642" s="2436"/>
      <c r="EA642" s="2436"/>
      <c r="EB642" s="2436"/>
      <c r="EC642" s="2436"/>
      <c r="ED642" s="2436"/>
      <c r="EE642" s="2436"/>
      <c r="EF642" s="2436"/>
      <c r="EG642" s="2436"/>
      <c r="EH642" s="2436"/>
      <c r="EI642" s="2436"/>
      <c r="EJ642" s="2436"/>
      <c r="EK642" s="2436"/>
      <c r="EL642" s="2436"/>
      <c r="EM642" s="2436"/>
      <c r="EN642" s="2436"/>
      <c r="EO642" s="2436"/>
      <c r="EP642" s="2436"/>
      <c r="EQ642" s="2436"/>
      <c r="ER642" s="2436"/>
      <c r="ES642" s="2436"/>
      <c r="ET642" s="2436"/>
      <c r="EU642" s="2436"/>
      <c r="EV642" s="2436" t="s">
        <v>1557</v>
      </c>
      <c r="EW642" s="784" t="s">
        <v>2603</v>
      </c>
      <c r="EX642" s="784" t="s">
        <v>2604</v>
      </c>
      <c r="EY642" s="784" t="s">
        <v>2605</v>
      </c>
      <c r="EZ642" s="784" t="s">
        <v>2606</v>
      </c>
      <c r="FA642" s="2436" t="s">
        <v>2664</v>
      </c>
      <c r="FB642" s="2436" t="s">
        <v>2664</v>
      </c>
      <c r="FC642" s="2436" t="s">
        <v>2664</v>
      </c>
      <c r="FD642" s="2436" t="s">
        <v>2664</v>
      </c>
      <c r="FE642" s="2436" t="s">
        <v>2664</v>
      </c>
      <c r="FF642" s="784" t="s">
        <v>515</v>
      </c>
      <c r="FG642" s="784" t="s">
        <v>2603</v>
      </c>
      <c r="FH642" s="784" t="s">
        <v>2604</v>
      </c>
      <c r="FI642" s="784" t="s">
        <v>2605</v>
      </c>
      <c r="FJ642" s="784" t="s">
        <v>2606</v>
      </c>
      <c r="FK642" s="2436" t="s">
        <v>2666</v>
      </c>
      <c r="FL642" s="2436" t="s">
        <v>2666</v>
      </c>
      <c r="FM642" s="2436" t="s">
        <v>2666</v>
      </c>
      <c r="FN642" s="2436" t="s">
        <v>2666</v>
      </c>
      <c r="FO642" s="2436" t="s">
        <v>2666</v>
      </c>
      <c r="FP642" s="2436" t="s">
        <v>377</v>
      </c>
      <c r="FQ642" s="2436" t="s">
        <v>377</v>
      </c>
      <c r="FR642" s="2436" t="s">
        <v>377</v>
      </c>
      <c r="FS642" s="2436" t="s">
        <v>377</v>
      </c>
      <c r="FT642" s="2436" t="s">
        <v>377</v>
      </c>
      <c r="FU642" s="2436" t="s">
        <v>378</v>
      </c>
      <c r="FV642" s="2436" t="s">
        <v>378</v>
      </c>
      <c r="FW642" s="2436" t="s">
        <v>378</v>
      </c>
      <c r="FX642" s="2436" t="s">
        <v>378</v>
      </c>
      <c r="FY642" s="2436" t="s">
        <v>378</v>
      </c>
      <c r="FZ642" s="2436" t="s">
        <v>379</v>
      </c>
      <c r="GA642" s="2436" t="s">
        <v>379</v>
      </c>
      <c r="GB642" s="2436" t="s">
        <v>379</v>
      </c>
      <c r="GC642" s="2436" t="s">
        <v>379</v>
      </c>
      <c r="GD642" s="2436" t="s">
        <v>379</v>
      </c>
      <c r="GE642" s="2436" t="s">
        <v>380</v>
      </c>
      <c r="GF642" s="2436" t="s">
        <v>380</v>
      </c>
      <c r="GG642" s="2436" t="s">
        <v>380</v>
      </c>
      <c r="GH642" s="2436" t="s">
        <v>380</v>
      </c>
      <c r="GI642" s="2436" t="s">
        <v>380</v>
      </c>
      <c r="GJ642" s="2436" t="s">
        <v>1556</v>
      </c>
      <c r="GK642" s="2436" t="s">
        <v>1556</v>
      </c>
      <c r="GL642" s="2436" t="s">
        <v>1556</v>
      </c>
      <c r="GM642" s="2436" t="s">
        <v>1556</v>
      </c>
      <c r="GN642" s="2436" t="s">
        <v>1556</v>
      </c>
      <c r="GO642" s="2436"/>
      <c r="GP642" s="2436"/>
      <c r="GQ642" s="2436"/>
      <c r="GR642" s="2436"/>
      <c r="GS642" s="2436"/>
      <c r="GT642" s="2436"/>
      <c r="GU642" s="2436"/>
      <c r="GV642" s="2436"/>
      <c r="GW642" s="2436"/>
      <c r="GX642" s="2436"/>
      <c r="GY642" s="2436"/>
      <c r="GZ642" s="2436"/>
      <c r="HA642" s="2436"/>
      <c r="HB642" s="2436"/>
      <c r="HC642" s="2436"/>
      <c r="HD642" s="2436"/>
      <c r="HE642" s="2436"/>
      <c r="HF642" s="2436"/>
      <c r="HG642" s="2436"/>
      <c r="HH642" s="2436"/>
      <c r="HI642" s="2436"/>
      <c r="HJ642" s="2436"/>
      <c r="HK642" s="2436"/>
      <c r="HL642" s="2436"/>
      <c r="HM642" s="2436"/>
    </row>
    <row r="643" spans="1:221" s="781" customFormat="1" ht="13.9" customHeight="1">
      <c r="A643" s="2438"/>
      <c r="B643" s="891" t="s">
        <v>1381</v>
      </c>
      <c r="C643" s="890" t="s">
        <v>178</v>
      </c>
      <c r="D643" s="890" t="s">
        <v>180</v>
      </c>
      <c r="E643" s="890" t="s">
        <v>1575</v>
      </c>
      <c r="F643" s="890" t="s">
        <v>1358</v>
      </c>
      <c r="G643" s="890" t="s">
        <v>1359</v>
      </c>
      <c r="H643" s="890" t="s">
        <v>2543</v>
      </c>
      <c r="I643" s="890" t="s">
        <v>852</v>
      </c>
      <c r="J643" s="892" t="s">
        <v>368</v>
      </c>
      <c r="K643" s="890" t="s">
        <v>1635</v>
      </c>
      <c r="L643" s="890" t="s">
        <v>571</v>
      </c>
      <c r="M643" s="890" t="s">
        <v>1574</v>
      </c>
      <c r="N643" s="890" t="s">
        <v>1381</v>
      </c>
      <c r="O643" s="890" t="s">
        <v>403</v>
      </c>
      <c r="P643" s="890" t="s">
        <v>1101</v>
      </c>
      <c r="Q643" s="890" t="s">
        <v>1102</v>
      </c>
      <c r="R643" s="890" t="s">
        <v>1576</v>
      </c>
      <c r="S643" s="890" t="s">
        <v>2928</v>
      </c>
      <c r="T643" s="2441" t="s">
        <v>1973</v>
      </c>
      <c r="U643" s="2441"/>
      <c r="V643" s="2435"/>
      <c r="W643" s="2435"/>
      <c r="X643" s="2435"/>
      <c r="Y643" s="2435"/>
      <c r="Z643" s="2435"/>
      <c r="AA643" s="2435"/>
      <c r="AB643" s="2435"/>
      <c r="AC643" s="2435"/>
      <c r="AD643" s="2435"/>
      <c r="AE643" s="2435"/>
      <c r="AF643" s="2435"/>
      <c r="AG643" s="2435"/>
      <c r="AH643" s="2435"/>
      <c r="AI643" s="2435"/>
      <c r="AJ643" s="2435"/>
      <c r="AK643" s="2435"/>
      <c r="AL643" s="2435"/>
      <c r="AM643" s="2435"/>
      <c r="AN643" s="2435"/>
      <c r="AO643" s="2435"/>
      <c r="AP643" s="2435"/>
      <c r="AQ643" s="2435"/>
      <c r="AR643" s="2435"/>
      <c r="AS643" s="2435"/>
      <c r="AT643" s="2435"/>
      <c r="AU643" s="2435"/>
      <c r="AV643" s="2435"/>
      <c r="AW643" s="2435"/>
      <c r="AX643" s="2435"/>
      <c r="AY643" s="2435"/>
      <c r="AZ643" s="2435"/>
      <c r="BA643" s="2435"/>
      <c r="BB643" s="2435"/>
      <c r="BC643" s="2435"/>
      <c r="BD643" s="2435"/>
      <c r="BE643" s="2435"/>
      <c r="BF643" s="2435"/>
      <c r="BG643" s="2435"/>
      <c r="BH643" s="2435"/>
      <c r="BI643" s="2435"/>
      <c r="BJ643" s="2435"/>
      <c r="BK643" s="2435"/>
      <c r="BL643" s="2435"/>
      <c r="BM643" s="2435"/>
      <c r="BN643" s="2435"/>
      <c r="BO643" s="2435"/>
      <c r="BP643" s="2435"/>
      <c r="BQ643" s="2435"/>
      <c r="BR643" s="2435"/>
      <c r="BS643" s="2435"/>
      <c r="BT643" s="2435"/>
      <c r="BU643" s="2435"/>
      <c r="BV643" s="2435"/>
      <c r="BW643" s="2435"/>
      <c r="BX643" s="2435"/>
      <c r="BY643" s="2435"/>
      <c r="BZ643" s="2435"/>
      <c r="CA643" s="2435"/>
      <c r="CB643" s="2435"/>
      <c r="CC643" s="2435"/>
      <c r="CD643" s="2436"/>
      <c r="CE643" s="2436"/>
      <c r="CF643" s="2436"/>
      <c r="CG643" s="2436"/>
      <c r="CH643" s="2436"/>
      <c r="CI643" s="2436"/>
      <c r="CJ643" s="2436"/>
      <c r="CK643" s="2436"/>
      <c r="CL643" s="2436"/>
      <c r="CM643" s="2436"/>
      <c r="CN643" s="2436"/>
      <c r="CO643" s="2436"/>
      <c r="CP643" s="2436"/>
      <c r="CQ643" s="2436"/>
      <c r="CR643" s="2436"/>
      <c r="CS643" s="2436"/>
      <c r="CT643" s="2436"/>
      <c r="CU643" s="2436"/>
      <c r="CV643" s="2436"/>
      <c r="CW643" s="2436"/>
      <c r="CX643" s="2436"/>
      <c r="CY643" s="2436"/>
      <c r="CZ643" s="2436"/>
      <c r="DA643" s="2436"/>
      <c r="DB643" s="2436"/>
      <c r="DC643" s="2436"/>
      <c r="DD643" s="2436"/>
      <c r="DE643" s="2436"/>
      <c r="DF643" s="2436"/>
      <c r="DG643" s="2436"/>
      <c r="DH643" s="2436"/>
      <c r="DI643" s="2436"/>
      <c r="DJ643" s="2436"/>
      <c r="DK643" s="2436"/>
      <c r="DL643" s="2436"/>
      <c r="DM643" s="2436"/>
      <c r="DN643" s="2436"/>
      <c r="DO643" s="2436"/>
      <c r="DP643" s="2436"/>
      <c r="DQ643" s="2436"/>
      <c r="DR643" s="2436"/>
      <c r="DS643" s="2436"/>
      <c r="DT643" s="2436"/>
      <c r="DU643" s="2436"/>
      <c r="DV643" s="2436"/>
      <c r="DW643" s="2436"/>
      <c r="DX643" s="2436"/>
      <c r="DY643" s="2436"/>
      <c r="DZ643" s="2436"/>
      <c r="EA643" s="2436"/>
      <c r="EB643" s="2436"/>
      <c r="EC643" s="2436"/>
      <c r="ED643" s="2436"/>
      <c r="EE643" s="2436"/>
      <c r="EF643" s="2436"/>
      <c r="EG643" s="2436"/>
      <c r="EH643" s="2436"/>
      <c r="EI643" s="2436"/>
      <c r="EJ643" s="2436"/>
      <c r="EK643" s="2436"/>
      <c r="EL643" s="2436"/>
      <c r="EM643" s="2436"/>
      <c r="EN643" s="2436"/>
      <c r="EO643" s="2436"/>
      <c r="EP643" s="2436"/>
      <c r="EQ643" s="2436"/>
      <c r="ER643" s="2436"/>
      <c r="ES643" s="2436"/>
      <c r="ET643" s="2436"/>
      <c r="EU643" s="2436"/>
      <c r="EV643" s="2436"/>
      <c r="EW643" s="784" t="s">
        <v>2663</v>
      </c>
      <c r="EX643" s="784" t="s">
        <v>2663</v>
      </c>
      <c r="EY643" s="784" t="s">
        <v>2663</v>
      </c>
      <c r="EZ643" s="784" t="s">
        <v>2663</v>
      </c>
      <c r="FA643" s="2436"/>
      <c r="FB643" s="2436"/>
      <c r="FC643" s="2436"/>
      <c r="FD643" s="2436"/>
      <c r="FE643" s="2436"/>
      <c r="FF643" s="784" t="s">
        <v>2665</v>
      </c>
      <c r="FG643" s="784" t="s">
        <v>2665</v>
      </c>
      <c r="FH643" s="784" t="s">
        <v>2665</v>
      </c>
      <c r="FI643" s="784" t="s">
        <v>2665</v>
      </c>
      <c r="FJ643" s="784" t="s">
        <v>2665</v>
      </c>
      <c r="FK643" s="2436"/>
      <c r="FL643" s="2436"/>
      <c r="FM643" s="2436"/>
      <c r="FN643" s="2436"/>
      <c r="FO643" s="2436"/>
      <c r="FP643" s="2436"/>
      <c r="FQ643" s="2436"/>
      <c r="FR643" s="2436"/>
      <c r="FS643" s="2436"/>
      <c r="FT643" s="2436"/>
      <c r="FU643" s="2436"/>
      <c r="FV643" s="2436"/>
      <c r="FW643" s="2436"/>
      <c r="FX643" s="2436"/>
      <c r="FY643" s="2436"/>
      <c r="FZ643" s="2436"/>
      <c r="GA643" s="2436"/>
      <c r="GB643" s="2436"/>
      <c r="GC643" s="2436"/>
      <c r="GD643" s="2436"/>
      <c r="GE643" s="2436"/>
      <c r="GF643" s="2436"/>
      <c r="GG643" s="2436"/>
      <c r="GH643" s="2436"/>
      <c r="GI643" s="2436"/>
      <c r="GJ643" s="2436"/>
      <c r="GK643" s="2436"/>
      <c r="GL643" s="2436"/>
      <c r="GM643" s="2436"/>
      <c r="GN643" s="2436"/>
      <c r="GO643" s="2436"/>
      <c r="GP643" s="2436"/>
      <c r="GQ643" s="2436"/>
      <c r="GR643" s="2436"/>
      <c r="GS643" s="2436"/>
      <c r="GT643" s="2436"/>
      <c r="GU643" s="2436"/>
      <c r="GV643" s="2436"/>
      <c r="GW643" s="2436"/>
      <c r="GX643" s="2436"/>
      <c r="GY643" s="2436"/>
      <c r="GZ643" s="2436"/>
      <c r="HA643" s="2436"/>
      <c r="HB643" s="2436"/>
      <c r="HC643" s="2436"/>
      <c r="HD643" s="2436"/>
      <c r="HE643" s="2436"/>
      <c r="HF643" s="2436"/>
      <c r="HG643" s="2436"/>
      <c r="HH643" s="2436"/>
      <c r="HI643" s="2436"/>
      <c r="HJ643" s="2436"/>
      <c r="HK643" s="2436"/>
      <c r="HL643" s="2436"/>
      <c r="HM643" s="2436"/>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8</v>
      </c>
      <c r="F644" s="1057">
        <f>'Part VI-Revenues &amp; Expenses'!F10</f>
        <v>650</v>
      </c>
      <c r="G644" s="1057">
        <f>'Part VI-Revenues &amp; Expenses'!G10</f>
        <v>520</v>
      </c>
      <c r="H644" s="1057">
        <f>'Part VI-Revenues &amp; Expenses'!H10</f>
        <v>480</v>
      </c>
      <c r="I644" s="1057">
        <f>'Part VI-Revenues &amp; Expenses'!I10</f>
        <v>105</v>
      </c>
      <c r="J644" s="818">
        <f>'Part VI-Revenues &amp; Expenses'!J10</f>
        <v>0</v>
      </c>
      <c r="K644" s="893">
        <f>MAX(0,H644-I644)</f>
        <v>375</v>
      </c>
      <c r="L644" s="893">
        <f t="shared" ref="L644:L681" si="0">MAX(0,E644*K644)</f>
        <v>3000</v>
      </c>
      <c r="M644" s="783" t="str">
        <f>'Part VI-Revenues &amp; Expenses'!M10</f>
        <v>No</v>
      </c>
      <c r="N644" s="783" t="str">
        <f>'Part VI-Revenues &amp; Expenses'!N10</f>
        <v>2-Story Walkup</v>
      </c>
      <c r="O644" s="783" t="str">
        <f>'Part VI-Revenues &amp; Expenses'!O10</f>
        <v>Acquisition/Rehab</v>
      </c>
      <c r="P644" s="894">
        <f>IF(H644="","",H644*12/0.3)</f>
        <v>19200</v>
      </c>
      <c r="Q644" s="895">
        <f>'Part VI-Revenues &amp; Expenses'!Q10</f>
        <v>0.58581235697940504</v>
      </c>
      <c r="R644" s="894"/>
      <c r="S644" s="895"/>
      <c r="T644" s="2341"/>
      <c r="U644" s="2341"/>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8</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5200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t="str">
        <f t="shared" ref="DD644:DD681" si="57">IF(AND($C644=1, $O644="New Construction",NOT($B644="Unrestricted"),NOT($B644="NSP 120% AMI"),NOT($B644="N/A-CS"),NOT($M644="Common")),$E644,"")</f>
        <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f t="shared" ref="DS644:DS681" si="72">IF(AND($C644=1, $O644="Acquisition/Rehab",NOT($B644="Unrestricted"),NOT($B644="NSP 120% AMI"),NOT($B644="N/A-CS"),NOT($M644="Common")),$E644,"")</f>
        <v>8</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8</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f t="shared" ref="GF644:GF681" si="137">IF(AND($C644=1, $N644="2-Story Walkup"),$E644,"")</f>
        <v>8</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t="str">
        <f t="shared" ref="GK644:GK681" si="142">IF(AND($C644=1, $N644="3+ Story"),$E644,"")</f>
        <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1</v>
      </c>
      <c r="D645" s="1056">
        <f>'Part VI-Revenues &amp; Expenses'!D11</f>
        <v>2</v>
      </c>
      <c r="E645" s="1057">
        <f>'Part VI-Revenues &amp; Expenses'!E11</f>
        <v>12</v>
      </c>
      <c r="F645" s="1057">
        <f>'Part VI-Revenues &amp; Expenses'!F11</f>
        <v>974</v>
      </c>
      <c r="G645" s="1057">
        <f>'Part VI-Revenues &amp; Expenses'!G11</f>
        <v>520</v>
      </c>
      <c r="H645" s="1057">
        <f>'Part VI-Revenues &amp; Expenses'!H11</f>
        <v>515</v>
      </c>
      <c r="I645" s="1057">
        <f>'Part VI-Revenues &amp; Expenses'!I11</f>
        <v>105</v>
      </c>
      <c r="J645" s="818">
        <f>'Part VI-Revenues &amp; Expenses'!J11</f>
        <v>0</v>
      </c>
      <c r="K645" s="893">
        <f t="shared" ref="K645:K661" si="172">MAX(0,H645-I645)</f>
        <v>410</v>
      </c>
      <c r="L645" s="893">
        <f t="shared" si="0"/>
        <v>4920</v>
      </c>
      <c r="M645" s="783" t="str">
        <f>'Part VI-Revenues &amp; Expenses'!M11</f>
        <v>No</v>
      </c>
      <c r="N645" s="783" t="str">
        <f>'Part VI-Revenues &amp; Expenses'!N11</f>
        <v>2-Story Walkup</v>
      </c>
      <c r="O645" s="783" t="str">
        <f>'Part VI-Revenues &amp; Expenses'!O11</f>
        <v>Acquisition/Rehab</v>
      </c>
      <c r="P645" s="894">
        <f>IF(H645="","",H645*12/0.3)</f>
        <v>20600</v>
      </c>
      <c r="Q645" s="895">
        <f>'Part VI-Revenues &amp; Expenses'!Q11</f>
        <v>0.62852784134248663</v>
      </c>
      <c r="R645" s="894"/>
      <c r="S645" s="895"/>
      <c r="T645" s="2341"/>
      <c r="U645" s="2341"/>
      <c r="V645" s="580" t="str">
        <f t="shared" si="1"/>
        <v/>
      </c>
      <c r="W645" s="580" t="str">
        <f t="shared" si="2"/>
        <v/>
      </c>
      <c r="X645" s="580" t="str">
        <f t="shared" si="3"/>
        <v/>
      </c>
      <c r="Y645" s="580" t="str">
        <f t="shared" si="4"/>
        <v/>
      </c>
      <c r="Z645" s="580" t="str">
        <f t="shared" si="5"/>
        <v/>
      </c>
      <c r="AA645" s="580" t="str">
        <f t="shared" si="6"/>
        <v/>
      </c>
      <c r="AB645" s="580">
        <f t="shared" si="7"/>
        <v>12</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f t="shared" si="32"/>
        <v>11688</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f t="shared" si="72"/>
        <v>12</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12</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f t="shared" si="137"/>
        <v>12</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3</v>
      </c>
      <c r="D646" s="1056">
        <f>'Part VI-Revenues &amp; Expenses'!D12</f>
        <v>2</v>
      </c>
      <c r="E646" s="1057">
        <f>'Part VI-Revenues &amp; Expenses'!E12</f>
        <v>32</v>
      </c>
      <c r="F646" s="1057">
        <f>'Part VI-Revenues &amp; Expenses'!F12</f>
        <v>1187</v>
      </c>
      <c r="G646" s="1057">
        <f>'Part VI-Revenues &amp; Expenses'!G12</f>
        <v>866</v>
      </c>
      <c r="H646" s="1057">
        <f>'Part VI-Revenues &amp; Expenses'!H12</f>
        <v>732</v>
      </c>
      <c r="I646" s="1057">
        <f>'Part VI-Revenues &amp; Expenses'!I12</f>
        <v>167</v>
      </c>
      <c r="J646" s="818">
        <f>'Part VI-Revenues &amp; Expenses'!J12</f>
        <v>0</v>
      </c>
      <c r="K646" s="893">
        <f t="shared" si="172"/>
        <v>565</v>
      </c>
      <c r="L646" s="893">
        <f t="shared" si="0"/>
        <v>18080</v>
      </c>
      <c r="M646" s="783" t="str">
        <f>'Part VI-Revenues &amp; Expenses'!M12</f>
        <v>No</v>
      </c>
      <c r="N646" s="783" t="str">
        <f>'Part VI-Revenues &amp; Expenses'!N12</f>
        <v>2-Story Walkup</v>
      </c>
      <c r="O646" s="783" t="str">
        <f>'Part VI-Revenues &amp; Expenses'!O12</f>
        <v>Acquisition/Rehab</v>
      </c>
      <c r="P646" s="894">
        <f>IF(H646="","",H646*12/0.3)</f>
        <v>29280</v>
      </c>
      <c r="Q646" s="895">
        <f>'Part VI-Revenues &amp; Expenses'!Q12</f>
        <v>0.64425277239922552</v>
      </c>
      <c r="R646" s="894"/>
      <c r="S646" s="895"/>
      <c r="T646" s="2341"/>
      <c r="U646" s="2341"/>
      <c r="V646" s="580" t="str">
        <f t="shared" si="1"/>
        <v/>
      </c>
      <c r="W646" s="580" t="str">
        <f t="shared" si="2"/>
        <v/>
      </c>
      <c r="X646" s="580" t="str">
        <f t="shared" si="3"/>
        <v/>
      </c>
      <c r="Y646" s="580">
        <f t="shared" si="4"/>
        <v>32</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f t="shared" si="29"/>
        <v>37984</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t="str">
        <f t="shared" si="58"/>
        <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f t="shared" si="74"/>
        <v>32</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t="str">
        <f t="shared" si="103"/>
        <v/>
      </c>
      <c r="EY646" s="785">
        <f t="shared" si="104"/>
        <v>32</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f t="shared" si="139"/>
        <v>32</v>
      </c>
      <c r="GI646" s="785" t="str">
        <f t="shared" si="140"/>
        <v/>
      </c>
      <c r="GJ646" s="785" t="str">
        <f t="shared" si="141"/>
        <v/>
      </c>
      <c r="GK646" s="785" t="str">
        <f t="shared" si="142"/>
        <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2</v>
      </c>
      <c r="E647" s="1057">
        <f>'Part VI-Revenues &amp; Expenses'!E13</f>
        <v>55</v>
      </c>
      <c r="F647" s="1057">
        <f>'Part VI-Revenues &amp; Expenses'!F13</f>
        <v>974</v>
      </c>
      <c r="G647" s="1057">
        <f>'Part VI-Revenues &amp; Expenses'!G13</f>
        <v>750</v>
      </c>
      <c r="H647" s="1057">
        <f>'Part VI-Revenues &amp; Expenses'!H13</f>
        <v>649</v>
      </c>
      <c r="I647" s="1057">
        <f>'Part VI-Revenues &amp; Expenses'!I13</f>
        <v>134</v>
      </c>
      <c r="J647" s="818">
        <f>'Part VI-Revenues &amp; Expenses'!J13</f>
        <v>0</v>
      </c>
      <c r="K647" s="893">
        <f t="shared" si="172"/>
        <v>515</v>
      </c>
      <c r="L647" s="893">
        <f t="shared" si="0"/>
        <v>28325</v>
      </c>
      <c r="M647" s="783" t="str">
        <f>'Part VI-Revenues &amp; Expenses'!M13</f>
        <v>No</v>
      </c>
      <c r="N647" s="783" t="str">
        <f>'Part VI-Revenues &amp; Expenses'!N13</f>
        <v>2-Story Walkup</v>
      </c>
      <c r="O647" s="783" t="str">
        <f>'Part VI-Revenues &amp; Expenses'!O13</f>
        <v>Acquisition/Rehab</v>
      </c>
      <c r="P647" s="894">
        <f>IF(H647="","",H647*12/0.3)</f>
        <v>25960</v>
      </c>
      <c r="Q647" s="895">
        <f>'Part VI-Revenues &amp; Expenses'!Q13</f>
        <v>0.66005593694380882</v>
      </c>
      <c r="R647" s="894"/>
      <c r="S647" s="895"/>
      <c r="T647" s="2341"/>
      <c r="U647" s="2341"/>
      <c r="V647" s="580" t="str">
        <f t="shared" si="1"/>
        <v/>
      </c>
      <c r="W647" s="580" t="str">
        <f t="shared" si="2"/>
        <v/>
      </c>
      <c r="X647" s="580">
        <f t="shared" si="3"/>
        <v>55</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53570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f t="shared" si="73"/>
        <v>55</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55</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f t="shared" si="138"/>
        <v>55</v>
      </c>
      <c r="GH647" s="785" t="str">
        <f t="shared" si="139"/>
        <v/>
      </c>
      <c r="GI647" s="785" t="str">
        <f t="shared" si="140"/>
        <v/>
      </c>
      <c r="GJ647" s="785" t="str">
        <f t="shared" si="141"/>
        <v/>
      </c>
      <c r="GK647" s="785" t="str">
        <f t="shared" si="142"/>
        <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3</v>
      </c>
      <c r="D648" s="1056">
        <f>'Part VI-Revenues &amp; Expenses'!D14</f>
        <v>2</v>
      </c>
      <c r="E648" s="1057">
        <f>'Part VI-Revenues &amp; Expenses'!E14</f>
        <v>20</v>
      </c>
      <c r="F648" s="1057">
        <f>'Part VI-Revenues &amp; Expenses'!F14</f>
        <v>1153</v>
      </c>
      <c r="G648" s="1057">
        <f>'Part VI-Revenues &amp; Expenses'!G14</f>
        <v>866</v>
      </c>
      <c r="H648" s="1057">
        <f>'Part VI-Revenues &amp; Expenses'!H14</f>
        <v>732</v>
      </c>
      <c r="I648" s="1057">
        <f>'Part VI-Revenues &amp; Expenses'!I14</f>
        <v>167</v>
      </c>
      <c r="J648" s="818">
        <f>'Part VI-Revenues &amp; Expenses'!J14</f>
        <v>0</v>
      </c>
      <c r="K648" s="893">
        <f t="shared" si="172"/>
        <v>565</v>
      </c>
      <c r="L648" s="893">
        <f t="shared" si="0"/>
        <v>11300</v>
      </c>
      <c r="M648" s="783" t="str">
        <f>'Part VI-Revenues &amp; Expenses'!M14</f>
        <v>No</v>
      </c>
      <c r="N648" s="783" t="str">
        <f>'Part VI-Revenues &amp; Expenses'!N14</f>
        <v>2-Story Walkup</v>
      </c>
      <c r="O648" s="783" t="str">
        <f>'Part VI-Revenues &amp; Expenses'!O14</f>
        <v>Acquisition/Rehab</v>
      </c>
      <c r="P648" s="894">
        <f>IF(H648="","",H648*12/0.3)</f>
        <v>29280</v>
      </c>
      <c r="Q648" s="895">
        <f>'Part VI-Revenues &amp; Expenses'!Q14</f>
        <v>0.64425277239922552</v>
      </c>
      <c r="R648" s="894"/>
      <c r="S648" s="895"/>
      <c r="T648" s="2341"/>
      <c r="U648" s="2341"/>
      <c r="V648" s="580" t="str">
        <f t="shared" si="1"/>
        <v/>
      </c>
      <c r="W648" s="580" t="str">
        <f t="shared" si="2"/>
        <v/>
      </c>
      <c r="X648" s="580" t="str">
        <f t="shared" si="3"/>
        <v/>
      </c>
      <c r="Y648" s="580">
        <f t="shared" si="4"/>
        <v>20</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f t="shared" si="29"/>
        <v>23060</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f t="shared" si="74"/>
        <v>20</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f t="shared" si="104"/>
        <v>20</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f t="shared" si="139"/>
        <v>20</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N/A-CS</v>
      </c>
      <c r="C649" s="1055">
        <f>'Part VI-Revenues &amp; Expenses'!C15</f>
        <v>2</v>
      </c>
      <c r="D649" s="1056">
        <f>'Part VI-Revenues &amp; Expenses'!D15</f>
        <v>2</v>
      </c>
      <c r="E649" s="1057">
        <f>'Part VI-Revenues &amp; Expenses'!E15</f>
        <v>1</v>
      </c>
      <c r="F649" s="1057">
        <f>'Part VI-Revenues &amp; Expenses'!F15</f>
        <v>974</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t="str">
        <f>'Part VI-Revenues &amp; Expenses'!M15</f>
        <v>Common</v>
      </c>
      <c r="N649" s="783" t="str">
        <f>'Part VI-Revenues &amp; Expenses'!N15</f>
        <v>2-Story Walkup</v>
      </c>
      <c r="O649" s="783" t="str">
        <f>'Part VI-Revenues &amp; Expenses'!O15</f>
        <v>Acquisition/Rehab</v>
      </c>
      <c r="P649" s="894">
        <f t="shared" ref="P649:P681" si="203">IF(H649="","",H649*12/0.3)</f>
        <v>0</v>
      </c>
      <c r="Q649" s="895">
        <f>'Part VI-Revenues &amp; Expenses'!Q15</f>
        <v>0</v>
      </c>
      <c r="R649" s="894"/>
      <c r="S649" s="895"/>
      <c r="T649" s="2341"/>
      <c r="U649" s="2341"/>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f t="shared" si="23"/>
        <v>1</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f t="shared" si="53"/>
        <v>974</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f t="shared" si="83"/>
        <v>1</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f t="shared" si="103"/>
        <v>1</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f t="shared" si="138"/>
        <v>1</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341"/>
      <c r="U650" s="2341"/>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341"/>
      <c r="U651" s="2341"/>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341"/>
      <c r="U652" s="2341"/>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341"/>
      <c r="U653" s="2341"/>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341"/>
      <c r="U654" s="2341"/>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341"/>
      <c r="U655" s="2341"/>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341"/>
      <c r="U656" s="2341"/>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341"/>
      <c r="U657" s="2341"/>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341"/>
      <c r="U658" s="2341"/>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341"/>
      <c r="U659" s="2341"/>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341"/>
      <c r="U660" s="2341"/>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341"/>
      <c r="U661" s="2341"/>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341"/>
      <c r="U662" s="2341"/>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341"/>
      <c r="U663" s="2341"/>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341"/>
      <c r="U664" s="2341"/>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341"/>
      <c r="U665" s="2341"/>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341"/>
      <c r="U666" s="2341"/>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341"/>
      <c r="U667" s="2341"/>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341"/>
      <c r="U668" s="2341"/>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341"/>
      <c r="U669" s="2341"/>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341"/>
      <c r="U670" s="2341"/>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341"/>
      <c r="U671" s="2341"/>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341"/>
      <c r="U672" s="2341"/>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341"/>
      <c r="U673" s="2341"/>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341"/>
      <c r="U674" s="2341"/>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341"/>
      <c r="U675" s="2341"/>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341"/>
      <c r="U676" s="2341"/>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341"/>
      <c r="U677" s="2341"/>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341"/>
      <c r="U678" s="2341"/>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341"/>
      <c r="U679" s="2341"/>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341"/>
      <c r="U680" s="2341"/>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341"/>
      <c r="U681" s="2341"/>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1079</v>
      </c>
      <c r="E682" s="893">
        <f>SUM(E644:E681)</f>
        <v>128</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132476</v>
      </c>
      <c r="G682" s="585"/>
      <c r="H682" s="585"/>
      <c r="I682" s="585"/>
      <c r="J682" s="585"/>
      <c r="K682" s="897" t="s">
        <v>1387</v>
      </c>
      <c r="L682" s="893">
        <f>SUM(L644:L681)</f>
        <v>65625</v>
      </c>
      <c r="M682" s="583"/>
      <c r="N682" s="583"/>
      <c r="O682" s="583"/>
      <c r="P682" s="583"/>
      <c r="Q682" s="583"/>
      <c r="R682" s="583"/>
      <c r="S682" s="583"/>
      <c r="T682" s="890"/>
      <c r="U682" s="787"/>
      <c r="V682" s="787">
        <f t="shared" ref="V682:CK682" si="206">SUM(V644:V681)</f>
        <v>0</v>
      </c>
      <c r="W682" s="787">
        <f t="shared" si="206"/>
        <v>0</v>
      </c>
      <c r="X682" s="787">
        <f t="shared" si="206"/>
        <v>55</v>
      </c>
      <c r="Y682" s="787">
        <f t="shared" si="206"/>
        <v>52</v>
      </c>
      <c r="Z682" s="787">
        <f t="shared" si="206"/>
        <v>0</v>
      </c>
      <c r="AA682" s="787">
        <f t="shared" si="206"/>
        <v>0</v>
      </c>
      <c r="AB682" s="787">
        <f t="shared" si="206"/>
        <v>20</v>
      </c>
      <c r="AC682" s="787">
        <f t="shared" si="206"/>
        <v>0</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1</v>
      </c>
      <c r="BW682" s="787">
        <f t="shared" si="206"/>
        <v>0</v>
      </c>
      <c r="BX682" s="787">
        <f t="shared" si="206"/>
        <v>0</v>
      </c>
      <c r="BY682" s="787">
        <f t="shared" si="206"/>
        <v>0</v>
      </c>
      <c r="BZ682" s="787">
        <f t="shared" si="206"/>
        <v>0</v>
      </c>
      <c r="CA682" s="787">
        <f t="shared" si="206"/>
        <v>53570</v>
      </c>
      <c r="CB682" s="787">
        <f t="shared" si="206"/>
        <v>61044</v>
      </c>
      <c r="CC682" s="787">
        <f t="shared" si="206"/>
        <v>0</v>
      </c>
      <c r="CD682" s="787">
        <f t="shared" si="206"/>
        <v>0</v>
      </c>
      <c r="CE682" s="787">
        <f t="shared" si="206"/>
        <v>16888</v>
      </c>
      <c r="CF682" s="787">
        <f t="shared" si="206"/>
        <v>0</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974</v>
      </c>
      <c r="DA682" s="787">
        <f t="shared" si="207"/>
        <v>0</v>
      </c>
      <c r="DB682" s="787">
        <f t="shared" si="207"/>
        <v>0</v>
      </c>
      <c r="DC682" s="787">
        <f t="shared" si="207"/>
        <v>0</v>
      </c>
      <c r="DD682" s="787">
        <f t="shared" si="207"/>
        <v>0</v>
      </c>
      <c r="DE682" s="787">
        <f t="shared" si="207"/>
        <v>0</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20</v>
      </c>
      <c r="DT682" s="787">
        <f t="shared" si="207"/>
        <v>55</v>
      </c>
      <c r="DU682" s="787">
        <f t="shared" si="207"/>
        <v>52</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1</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20</v>
      </c>
      <c r="EX682" s="787">
        <f t="shared" si="208"/>
        <v>56</v>
      </c>
      <c r="EY682" s="787">
        <f t="shared" si="208"/>
        <v>52</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20</v>
      </c>
      <c r="GG682" s="787">
        <f t="shared" si="208"/>
        <v>56</v>
      </c>
      <c r="GH682" s="787">
        <f t="shared" si="208"/>
        <v>52</v>
      </c>
      <c r="GI682" s="787">
        <f t="shared" si="208"/>
        <v>0</v>
      </c>
      <c r="GJ682" s="787">
        <f t="shared" si="208"/>
        <v>0</v>
      </c>
      <c r="GK682" s="787">
        <f t="shared" si="208"/>
        <v>0</v>
      </c>
      <c r="GL682" s="787">
        <f t="shared" si="208"/>
        <v>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867</v>
      </c>
      <c r="L683" s="893">
        <f>L682*12</f>
        <v>787500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326" t="s">
        <v>3670</v>
      </c>
      <c r="B685" s="2345"/>
      <c r="C685" s="2345"/>
      <c r="D685" s="2345"/>
      <c r="E685" s="2345"/>
      <c r="F685" s="2345"/>
      <c r="G685" s="2345"/>
      <c r="H685" s="2345"/>
      <c r="I685" s="2345"/>
      <c r="J685" s="2345"/>
      <c r="K685" s="2345"/>
      <c r="L685" s="2345"/>
      <c r="M685" s="2345"/>
      <c r="N685" s="2345"/>
      <c r="O685" s="2345"/>
      <c r="P685" s="2345"/>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45"/>
      <c r="B686" s="2345"/>
      <c r="C686" s="2345"/>
      <c r="D686" s="2345"/>
      <c r="E686" s="2345"/>
      <c r="F686" s="2345"/>
      <c r="G686" s="2345"/>
      <c r="H686" s="2345"/>
      <c r="I686" s="2345"/>
      <c r="J686" s="2345"/>
      <c r="K686" s="2345"/>
      <c r="L686" s="2345"/>
      <c r="M686" s="2345"/>
      <c r="N686" s="2345"/>
      <c r="O686" s="2345"/>
      <c r="P686" s="2345"/>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789</v>
      </c>
      <c r="B687" s="788" t="s">
        <v>566</v>
      </c>
      <c r="Q687" s="2439" t="str">
        <f>IF(SUM(Q690:Q734)&gt;0,"ERROR Between Rent Schedule &amp; Unit Summary:", "")</f>
        <v>ERROR Between Rent Schedule &amp; Unit Summary:</v>
      </c>
      <c r="R687" s="898"/>
      <c r="S687" s="898"/>
      <c r="T687" s="586" t="str">
        <f>B687</f>
        <v>UNIT SUMMARY</v>
      </c>
      <c r="U687" s="788" t="s">
        <v>566</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440"/>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1203</v>
      </c>
      <c r="H689" s="582" t="s">
        <v>600</v>
      </c>
      <c r="I689" s="582" t="s">
        <v>567</v>
      </c>
      <c r="J689" s="582" t="s">
        <v>568</v>
      </c>
      <c r="K689" s="582" t="s">
        <v>569</v>
      </c>
      <c r="L689" s="582" t="s">
        <v>570</v>
      </c>
      <c r="M689" s="582" t="s">
        <v>571</v>
      </c>
      <c r="Q689" s="2440"/>
      <c r="R689" s="899"/>
      <c r="S689" s="899"/>
      <c r="T689" s="2441" t="s">
        <v>1973</v>
      </c>
      <c r="U689" s="2441"/>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1205</v>
      </c>
      <c r="D690" s="583"/>
      <c r="E690" s="583"/>
      <c r="F690" s="583"/>
      <c r="G690" s="584" t="s">
        <v>1217</v>
      </c>
      <c r="H690" s="900">
        <f>V682</f>
        <v>0</v>
      </c>
      <c r="I690" s="900">
        <f>W682</f>
        <v>0</v>
      </c>
      <c r="J690" s="900">
        <f>X682</f>
        <v>55</v>
      </c>
      <c r="K690" s="900">
        <f>Y682</f>
        <v>52</v>
      </c>
      <c r="L690" s="900">
        <f>Z682</f>
        <v>0</v>
      </c>
      <c r="M690" s="900">
        <f t="shared" ref="M690:M696" si="210">SUM(H690:L690)</f>
        <v>107</v>
      </c>
      <c r="N690" s="2316" t="s">
        <v>945</v>
      </c>
      <c r="O690" s="2316"/>
      <c r="P690" s="901"/>
      <c r="Q690" s="902">
        <f t="shared" ref="Q690:Q696" si="211">ABS(M690-AF690)</f>
        <v>107</v>
      </c>
      <c r="R690" s="902"/>
      <c r="S690" s="902"/>
      <c r="T690" s="2341"/>
      <c r="U690" s="2341"/>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442" t="s">
        <v>464</v>
      </c>
      <c r="B691" s="2442"/>
      <c r="C691" s="586"/>
      <c r="D691" s="583"/>
      <c r="E691" s="583"/>
      <c r="F691" s="583"/>
      <c r="G691" s="584" t="s">
        <v>121</v>
      </c>
      <c r="H691" s="900">
        <f>AA682</f>
        <v>0</v>
      </c>
      <c r="I691" s="900">
        <f>AB682</f>
        <v>20</v>
      </c>
      <c r="J691" s="900">
        <f>AC682</f>
        <v>0</v>
      </c>
      <c r="K691" s="900">
        <f>AD682</f>
        <v>0</v>
      </c>
      <c r="L691" s="900">
        <f>AE682</f>
        <v>0</v>
      </c>
      <c r="M691" s="900">
        <f t="shared" si="210"/>
        <v>20</v>
      </c>
      <c r="N691" s="2316"/>
      <c r="O691" s="2316"/>
      <c r="P691" s="901"/>
      <c r="Q691" s="902">
        <f t="shared" si="211"/>
        <v>20</v>
      </c>
      <c r="R691" s="902"/>
      <c r="S691" s="902"/>
      <c r="T691" s="2341"/>
      <c r="U691" s="2341"/>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442"/>
      <c r="B692" s="2442"/>
      <c r="C692" s="586"/>
      <c r="D692" s="583"/>
      <c r="E692" s="583"/>
      <c r="F692" s="583"/>
      <c r="G692" s="584" t="s">
        <v>571</v>
      </c>
      <c r="H692" s="900">
        <f>SUM(H690:H691)</f>
        <v>0</v>
      </c>
      <c r="I692" s="900">
        <f>SUM(I690:I691)</f>
        <v>20</v>
      </c>
      <c r="J692" s="900">
        <f>SUM(J690:J691)</f>
        <v>55</v>
      </c>
      <c r="K692" s="900">
        <f>SUM(K690:K691)</f>
        <v>52</v>
      </c>
      <c r="L692" s="900">
        <f>SUM(L690:L691)</f>
        <v>0</v>
      </c>
      <c r="M692" s="900">
        <f t="shared" si="210"/>
        <v>127</v>
      </c>
      <c r="N692" s="903"/>
      <c r="Q692" s="902">
        <f t="shared" si="211"/>
        <v>127</v>
      </c>
      <c r="R692" s="902"/>
      <c r="S692" s="902"/>
      <c r="T692" s="2341"/>
      <c r="U692" s="2341"/>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442"/>
      <c r="B693" s="2442"/>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341"/>
      <c r="U693" s="2341"/>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442"/>
      <c r="B694" s="2442"/>
      <c r="C694" s="583" t="s">
        <v>1206</v>
      </c>
      <c r="D694" s="583"/>
      <c r="E694" s="583"/>
      <c r="F694" s="583"/>
      <c r="G694" s="584"/>
      <c r="H694" s="900">
        <f>SUM(H692:H693)</f>
        <v>0</v>
      </c>
      <c r="I694" s="900">
        <f>SUM(I692:I693)</f>
        <v>20</v>
      </c>
      <c r="J694" s="900">
        <f>SUM(J692:J693)</f>
        <v>55</v>
      </c>
      <c r="K694" s="900">
        <f>SUM(K692:K693)</f>
        <v>52</v>
      </c>
      <c r="L694" s="900">
        <f>SUM(L692:L693)</f>
        <v>0</v>
      </c>
      <c r="M694" s="900">
        <f t="shared" si="210"/>
        <v>127</v>
      </c>
      <c r="N694" s="566"/>
      <c r="Q694" s="902">
        <f t="shared" si="211"/>
        <v>127</v>
      </c>
      <c r="R694" s="902"/>
      <c r="S694" s="902"/>
      <c r="T694" s="2341"/>
      <c r="U694" s="2341"/>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442"/>
      <c r="B695" s="2442"/>
      <c r="C695" s="583" t="s">
        <v>2681</v>
      </c>
      <c r="D695" s="583"/>
      <c r="E695" s="583"/>
      <c r="F695" s="583"/>
      <c r="G695" s="584"/>
      <c r="H695" s="900">
        <f>BT682</f>
        <v>0</v>
      </c>
      <c r="I695" s="900">
        <f>BU682</f>
        <v>0</v>
      </c>
      <c r="J695" s="900">
        <f>BV682</f>
        <v>1</v>
      </c>
      <c r="K695" s="900">
        <f>BW682</f>
        <v>0</v>
      </c>
      <c r="L695" s="900">
        <f>BX682</f>
        <v>0</v>
      </c>
      <c r="M695" s="900">
        <f t="shared" si="210"/>
        <v>1</v>
      </c>
      <c r="N695" s="584" t="s">
        <v>2355</v>
      </c>
      <c r="Q695" s="902">
        <f t="shared" si="211"/>
        <v>1</v>
      </c>
      <c r="R695" s="902"/>
      <c r="S695" s="902"/>
      <c r="T695" s="2341"/>
      <c r="U695" s="2341"/>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442"/>
      <c r="B696" s="2442"/>
      <c r="C696" s="583" t="s">
        <v>571</v>
      </c>
      <c r="D696" s="583"/>
      <c r="E696" s="583"/>
      <c r="F696" s="583"/>
      <c r="G696" s="584"/>
      <c r="H696" s="900">
        <f>SUM(H694:H695)</f>
        <v>0</v>
      </c>
      <c r="I696" s="900">
        <f>SUM(I694:I695)</f>
        <v>20</v>
      </c>
      <c r="J696" s="900">
        <f>SUM(J694:J695)</f>
        <v>56</v>
      </c>
      <c r="K696" s="900">
        <f>SUM(K694:K695)</f>
        <v>52</v>
      </c>
      <c r="L696" s="900">
        <f>SUM(L694:L695)</f>
        <v>0</v>
      </c>
      <c r="M696" s="900">
        <f t="shared" si="210"/>
        <v>128</v>
      </c>
      <c r="Q696" s="902">
        <f t="shared" si="211"/>
        <v>128</v>
      </c>
      <c r="R696" s="902"/>
      <c r="S696" s="902"/>
      <c r="T696" s="2341"/>
      <c r="U696" s="2341"/>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442"/>
      <c r="B697" s="2442"/>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442"/>
      <c r="B698" s="2442"/>
      <c r="C698" s="583" t="s">
        <v>989</v>
      </c>
      <c r="D698" s="583"/>
      <c r="E698" s="587"/>
      <c r="F698" s="583"/>
      <c r="G698" s="584" t="s">
        <v>1217</v>
      </c>
      <c r="H698" s="900">
        <f>AZ682</f>
        <v>0</v>
      </c>
      <c r="I698" s="900">
        <f>BA682</f>
        <v>0</v>
      </c>
      <c r="J698" s="900">
        <f>BB682</f>
        <v>0</v>
      </c>
      <c r="K698" s="900">
        <f>BC682</f>
        <v>0</v>
      </c>
      <c r="L698" s="900">
        <f>BD682</f>
        <v>0</v>
      </c>
      <c r="M698" s="900">
        <f>SUM(H698:L698)</f>
        <v>0</v>
      </c>
      <c r="N698" s="584"/>
      <c r="Q698" s="902">
        <f>ABS(M698-AF698)</f>
        <v>0</v>
      </c>
      <c r="R698" s="902"/>
      <c r="S698" s="902"/>
      <c r="T698" s="2341"/>
      <c r="U698" s="2341"/>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442"/>
      <c r="B699" s="2442"/>
      <c r="C699" s="584" t="s">
        <v>2682</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341"/>
      <c r="U699" s="2341"/>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442"/>
      <c r="B700" s="2442"/>
      <c r="C700" s="586"/>
      <c r="D700" s="583"/>
      <c r="E700" s="587"/>
      <c r="F700" s="583"/>
      <c r="G700" s="584" t="s">
        <v>571</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341"/>
      <c r="U700" s="2341"/>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442"/>
      <c r="B701" s="2442"/>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442"/>
      <c r="B702" s="2442"/>
      <c r="C702" s="583" t="s">
        <v>944</v>
      </c>
      <c r="D702" s="583"/>
      <c r="E702" s="587"/>
      <c r="F702" s="583"/>
      <c r="G702" s="584" t="s">
        <v>1217</v>
      </c>
      <c r="H702" s="900">
        <f>BO682</f>
        <v>0</v>
      </c>
      <c r="I702" s="900">
        <f>BP682</f>
        <v>0</v>
      </c>
      <c r="J702" s="900">
        <f>BQ682</f>
        <v>0</v>
      </c>
      <c r="K702" s="900">
        <f>BR682</f>
        <v>0</v>
      </c>
      <c r="L702" s="900">
        <f>BS682</f>
        <v>0</v>
      </c>
      <c r="M702" s="900">
        <f>SUM(H702:L702)</f>
        <v>0</v>
      </c>
      <c r="N702" s="584"/>
      <c r="Q702" s="902">
        <f>ABS(M702-AF702)</f>
        <v>0</v>
      </c>
      <c r="R702" s="902"/>
      <c r="S702" s="902"/>
      <c r="T702" s="2341"/>
      <c r="U702" s="2341"/>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442"/>
      <c r="B703" s="2442"/>
      <c r="C703" s="584" t="s">
        <v>2682</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341"/>
      <c r="U703" s="2341"/>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442"/>
      <c r="B704" s="2442"/>
      <c r="C704" s="586"/>
      <c r="D704" s="583"/>
      <c r="E704" s="587"/>
      <c r="F704" s="583"/>
      <c r="G704" s="584" t="s">
        <v>571</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341"/>
      <c r="U704" s="2341"/>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442"/>
      <c r="B705" s="2442"/>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442"/>
      <c r="B706" s="2442"/>
      <c r="C706" s="583"/>
      <c r="D706" s="583"/>
      <c r="E706" s="587" t="s">
        <v>2443</v>
      </c>
      <c r="F706" s="583"/>
      <c r="G706" s="584" t="s">
        <v>1525</v>
      </c>
      <c r="H706" s="900">
        <f>DC682</f>
        <v>0</v>
      </c>
      <c r="I706" s="900">
        <f>DD682</f>
        <v>0</v>
      </c>
      <c r="J706" s="900">
        <f>DE682</f>
        <v>0</v>
      </c>
      <c r="K706" s="900">
        <f>DF682</f>
        <v>0</v>
      </c>
      <c r="L706" s="900">
        <f>DG682</f>
        <v>0</v>
      </c>
      <c r="M706" s="900">
        <f t="shared" ref="M706:M716" si="212">SUM(H706:L706)</f>
        <v>0</v>
      </c>
      <c r="Q706" s="902">
        <f t="shared" ref="Q706:Q714" si="213">ABS(M706-AF706)</f>
        <v>0</v>
      </c>
      <c r="R706" s="902"/>
      <c r="S706" s="902"/>
      <c r="T706" s="2341"/>
      <c r="U706" s="2341"/>
      <c r="V706" s="583"/>
      <c r="W706" s="583"/>
      <c r="X706" s="587"/>
      <c r="Y706" s="583"/>
      <c r="Z706" s="584"/>
      <c r="AA706" s="585"/>
      <c r="AB706" s="585"/>
      <c r="AC706" s="585"/>
      <c r="AD706" s="585"/>
      <c r="AE706" s="585"/>
      <c r="AF706" s="585"/>
      <c r="GV706" s="788"/>
      <c r="GW706" s="788"/>
      <c r="HM706" s="788"/>
    </row>
    <row r="707" spans="1:221" ht="12" customHeight="1">
      <c r="A707" s="2442"/>
      <c r="B707" s="2442"/>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341"/>
      <c r="U707" s="2341"/>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442"/>
      <c r="B708" s="2442"/>
      <c r="C708" s="586"/>
      <c r="D708" s="583"/>
      <c r="E708" s="587"/>
      <c r="F708" s="583"/>
      <c r="G708" s="584" t="s">
        <v>33</v>
      </c>
      <c r="H708" s="900">
        <f>SUM(H706:H707)+DM682</f>
        <v>0</v>
      </c>
      <c r="I708" s="900">
        <f>SUM(I706:I707)+DN682</f>
        <v>0</v>
      </c>
      <c r="J708" s="900">
        <f>SUM(J706:J707)+DO682</f>
        <v>0</v>
      </c>
      <c r="K708" s="900">
        <f>SUM(K706:K707)+DP682</f>
        <v>0</v>
      </c>
      <c r="L708" s="900">
        <f>SUM(L706:L707)+DQ682</f>
        <v>0</v>
      </c>
      <c r="M708" s="900">
        <f t="shared" si="212"/>
        <v>0</v>
      </c>
      <c r="N708" s="584"/>
      <c r="Q708" s="902">
        <f t="shared" si="213"/>
        <v>0</v>
      </c>
      <c r="R708" s="902"/>
      <c r="S708" s="902"/>
      <c r="T708" s="2341"/>
      <c r="U708" s="2341"/>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442"/>
      <c r="B709" s="2442"/>
      <c r="C709" s="583"/>
      <c r="D709" s="583"/>
      <c r="E709" s="587" t="s">
        <v>2274</v>
      </c>
      <c r="F709" s="583"/>
      <c r="G709" s="584" t="s">
        <v>1525</v>
      </c>
      <c r="H709" s="900">
        <f>DR682</f>
        <v>0</v>
      </c>
      <c r="I709" s="900">
        <f>DS682</f>
        <v>20</v>
      </c>
      <c r="J709" s="900">
        <f>DT682</f>
        <v>55</v>
      </c>
      <c r="K709" s="900">
        <f>DU682</f>
        <v>52</v>
      </c>
      <c r="L709" s="900">
        <f>DV682</f>
        <v>0</v>
      </c>
      <c r="M709" s="900">
        <f t="shared" si="212"/>
        <v>127</v>
      </c>
      <c r="Q709" s="902">
        <f t="shared" si="213"/>
        <v>127</v>
      </c>
      <c r="R709" s="902"/>
      <c r="S709" s="902"/>
      <c r="T709" s="2341"/>
      <c r="U709" s="2341"/>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341"/>
      <c r="U710" s="2341"/>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20</v>
      </c>
      <c r="J711" s="900">
        <f>SUM(J709:J710)+ED682</f>
        <v>56</v>
      </c>
      <c r="K711" s="900">
        <f>SUM(K709:K710)+EE682</f>
        <v>52</v>
      </c>
      <c r="L711" s="900">
        <f>SUM(L709:L710)+EF682</f>
        <v>0</v>
      </c>
      <c r="M711" s="900">
        <f t="shared" si="212"/>
        <v>128</v>
      </c>
      <c r="N711" s="584"/>
      <c r="Q711" s="902">
        <f t="shared" si="213"/>
        <v>128</v>
      </c>
      <c r="R711" s="902"/>
      <c r="S711" s="902"/>
      <c r="T711" s="2341"/>
      <c r="U711" s="2341"/>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433" t="s">
        <v>1511</v>
      </c>
      <c r="F712" s="2433"/>
      <c r="G712" s="584" t="s">
        <v>1525</v>
      </c>
      <c r="H712" s="900">
        <f>EG682</f>
        <v>0</v>
      </c>
      <c r="I712" s="900">
        <f>EH682</f>
        <v>0</v>
      </c>
      <c r="J712" s="900">
        <f>EI682</f>
        <v>0</v>
      </c>
      <c r="K712" s="900">
        <f>EJ682</f>
        <v>0</v>
      </c>
      <c r="L712" s="900">
        <f>EK682</f>
        <v>0</v>
      </c>
      <c r="M712" s="900">
        <f t="shared" si="212"/>
        <v>0</v>
      </c>
      <c r="Q712" s="902">
        <f t="shared" si="213"/>
        <v>0</v>
      </c>
      <c r="R712" s="902"/>
      <c r="S712" s="902"/>
      <c r="T712" s="2341"/>
      <c r="U712" s="2341"/>
      <c r="V712" s="583"/>
      <c r="W712" s="583"/>
      <c r="X712" s="587"/>
      <c r="Y712" s="583"/>
      <c r="Z712" s="584"/>
      <c r="AA712" s="585"/>
      <c r="AB712" s="585"/>
      <c r="AC712" s="585"/>
      <c r="AD712" s="585"/>
      <c r="AE712" s="585"/>
      <c r="AF712" s="585"/>
      <c r="GV712" s="788"/>
      <c r="GW712" s="788"/>
      <c r="HM712" s="788"/>
    </row>
    <row r="713" spans="1:221" ht="12" customHeight="1">
      <c r="C713" s="583"/>
      <c r="D713" s="583"/>
      <c r="E713" s="2433"/>
      <c r="F713" s="2433"/>
      <c r="G713" s="584" t="s">
        <v>319</v>
      </c>
      <c r="H713" s="900">
        <f>EL682</f>
        <v>0</v>
      </c>
      <c r="I713" s="900">
        <f>EM682</f>
        <v>0</v>
      </c>
      <c r="J713" s="900">
        <f>EN682</f>
        <v>0</v>
      </c>
      <c r="K713" s="900">
        <f>EO682</f>
        <v>0</v>
      </c>
      <c r="L713" s="900">
        <f>EP682</f>
        <v>0</v>
      </c>
      <c r="M713" s="900">
        <f t="shared" si="212"/>
        <v>0</v>
      </c>
      <c r="N713" s="566"/>
      <c r="Q713" s="902">
        <f t="shared" si="213"/>
        <v>0</v>
      </c>
      <c r="R713" s="902"/>
      <c r="S713" s="902"/>
      <c r="T713" s="2341"/>
      <c r="U713" s="2341"/>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341"/>
      <c r="U714" s="2341"/>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341"/>
      <c r="U715" s="2341"/>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445" t="str">
        <f>IF(AND('Part IV-Uses of Funds'!$T$163="Yes",'Part IX A-Scoring Criteria'!$O$241&gt;0,M716&lt;1),"SHOW HISTORIC UNITS HERE &gt;&gt;&gt;&gt;","")</f>
        <v/>
      </c>
      <c r="B716" s="2445"/>
      <c r="C716" s="2445"/>
      <c r="D716" s="2445"/>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341"/>
      <c r="U716" s="2341"/>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20</v>
      </c>
      <c r="J718" s="900">
        <f>SUM(J719:J722)</f>
        <v>56</v>
      </c>
      <c r="K718" s="900">
        <f>SUM(K719:K722)</f>
        <v>52</v>
      </c>
      <c r="L718" s="900">
        <f>SUM(L719:L722)</f>
        <v>0</v>
      </c>
      <c r="M718" s="900">
        <f t="shared" ref="M718:M726" si="214">SUM(H718:L718)</f>
        <v>128</v>
      </c>
      <c r="Q718" s="902">
        <f>ABS(M718-AF718)</f>
        <v>128</v>
      </c>
      <c r="R718" s="902"/>
      <c r="S718" s="902"/>
      <c r="T718" s="2341"/>
      <c r="U718" s="2341"/>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2786</v>
      </c>
      <c r="H719" s="900">
        <f>FU682</f>
        <v>0</v>
      </c>
      <c r="I719" s="900">
        <f>FV682</f>
        <v>0</v>
      </c>
      <c r="J719" s="900">
        <f>FW682</f>
        <v>0</v>
      </c>
      <c r="K719" s="900">
        <f>FX682</f>
        <v>0</v>
      </c>
      <c r="L719" s="900">
        <f>FY682</f>
        <v>0</v>
      </c>
      <c r="M719" s="900">
        <f t="shared" si="214"/>
        <v>0</v>
      </c>
      <c r="Q719" s="902"/>
      <c r="R719" s="902"/>
      <c r="S719" s="902"/>
      <c r="T719" s="2341"/>
      <c r="U719" s="2341"/>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2787</v>
      </c>
      <c r="H720" s="900">
        <f>FZ682</f>
        <v>0</v>
      </c>
      <c r="I720" s="900">
        <f>GA682</f>
        <v>0</v>
      </c>
      <c r="J720" s="900">
        <f>GB682</f>
        <v>0</v>
      </c>
      <c r="K720" s="900">
        <f>GC682</f>
        <v>0</v>
      </c>
      <c r="L720" s="900">
        <f>GD682</f>
        <v>0</v>
      </c>
      <c r="M720" s="900">
        <f t="shared" si="214"/>
        <v>0</v>
      </c>
      <c r="Q720" s="902"/>
      <c r="R720" s="902"/>
      <c r="S720" s="902"/>
      <c r="T720" s="2341"/>
      <c r="U720" s="2341"/>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2789</v>
      </c>
      <c r="H721" s="900">
        <f>GE682</f>
        <v>0</v>
      </c>
      <c r="I721" s="900">
        <f>GF682</f>
        <v>20</v>
      </c>
      <c r="J721" s="900">
        <f>GG682</f>
        <v>56</v>
      </c>
      <c r="K721" s="900">
        <f>GH682</f>
        <v>52</v>
      </c>
      <c r="L721" s="900">
        <f>GI682</f>
        <v>0</v>
      </c>
      <c r="M721" s="900">
        <f t="shared" si="214"/>
        <v>128</v>
      </c>
      <c r="Q721" s="902"/>
      <c r="R721" s="902"/>
      <c r="S721" s="902"/>
      <c r="T721" s="2341"/>
      <c r="U721" s="2341"/>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2788</v>
      </c>
      <c r="H722" s="900">
        <f>GJ682</f>
        <v>0</v>
      </c>
      <c r="I722" s="900">
        <f>GK682</f>
        <v>0</v>
      </c>
      <c r="J722" s="900">
        <f>GL682</f>
        <v>0</v>
      </c>
      <c r="K722" s="900">
        <f>GM682</f>
        <v>0</v>
      </c>
      <c r="L722" s="900">
        <f>GN682</f>
        <v>0</v>
      </c>
      <c r="M722" s="900">
        <f t="shared" si="214"/>
        <v>0</v>
      </c>
      <c r="Q722" s="902"/>
      <c r="R722" s="902"/>
      <c r="S722" s="902"/>
      <c r="T722" s="2341"/>
      <c r="U722" s="2341"/>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341"/>
      <c r="U723" s="2341"/>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341"/>
      <c r="U724" s="2341"/>
      <c r="V724" s="583"/>
      <c r="W724" s="583"/>
      <c r="X724" s="587"/>
      <c r="Y724" s="583"/>
      <c r="Z724" s="584"/>
      <c r="AA724" s="585"/>
      <c r="AB724" s="585"/>
      <c r="AC724" s="585"/>
      <c r="AD724" s="585"/>
      <c r="AE724" s="585"/>
      <c r="AF724" s="585"/>
      <c r="GV724" s="788"/>
      <c r="GW724" s="788"/>
      <c r="HM724" s="788"/>
    </row>
    <row r="725" spans="1:222" ht="12" customHeight="1">
      <c r="C725" s="583"/>
      <c r="D725" s="583"/>
      <c r="E725" s="587" t="s">
        <v>597</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341"/>
      <c r="U725" s="2341"/>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598</v>
      </c>
      <c r="F726" s="583"/>
      <c r="G726" s="584"/>
      <c r="H726" s="900">
        <f>FF682</f>
        <v>0</v>
      </c>
      <c r="I726" s="900">
        <f>FG682</f>
        <v>0</v>
      </c>
      <c r="J726" s="900">
        <f>FH682</f>
        <v>0</v>
      </c>
      <c r="K726" s="900">
        <f>FI682</f>
        <v>0</v>
      </c>
      <c r="L726" s="900">
        <f>FJ682</f>
        <v>0</v>
      </c>
      <c r="M726" s="900">
        <f t="shared" si="214"/>
        <v>0</v>
      </c>
      <c r="Q726" s="902">
        <f>ABS(M726-AF726)</f>
        <v>0</v>
      </c>
      <c r="R726" s="902"/>
      <c r="S726" s="902"/>
      <c r="T726" s="2341"/>
      <c r="U726" s="2341"/>
      <c r="V726" s="583"/>
      <c r="W726" s="583"/>
      <c r="X726" s="781"/>
      <c r="Y726" s="583"/>
      <c r="Z726" s="584"/>
      <c r="AA726" s="585"/>
      <c r="AB726" s="585"/>
      <c r="AC726" s="585"/>
      <c r="AD726" s="585"/>
      <c r="AE726" s="585"/>
      <c r="AF726" s="585"/>
      <c r="GV726" s="788"/>
      <c r="GW726" s="788"/>
      <c r="HM726" s="788"/>
    </row>
    <row r="727" spans="1:222" ht="12" customHeight="1">
      <c r="A727" s="788"/>
      <c r="B727" s="788" t="s">
        <v>2303</v>
      </c>
      <c r="C727" s="583"/>
      <c r="D727" s="583"/>
      <c r="E727" s="583"/>
      <c r="F727" s="583"/>
      <c r="G727" s="584"/>
      <c r="H727" s="583"/>
      <c r="I727" s="583"/>
      <c r="J727" s="583"/>
      <c r="K727" s="583"/>
      <c r="L727" s="583"/>
      <c r="M727" s="583"/>
      <c r="Q727" s="902"/>
      <c r="R727" s="902"/>
      <c r="S727" s="902"/>
      <c r="T727" s="795" t="str">
        <f>B727</f>
        <v>Unit Square Footage:</v>
      </c>
      <c r="U727" s="788" t="s">
        <v>1204</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2273</v>
      </c>
      <c r="D728" s="583"/>
      <c r="E728" s="583"/>
      <c r="F728" s="583"/>
      <c r="G728" s="584" t="s">
        <v>1217</v>
      </c>
      <c r="H728" s="585">
        <f>BY682</f>
        <v>0</v>
      </c>
      <c r="I728" s="585">
        <f>BZ682</f>
        <v>0</v>
      </c>
      <c r="J728" s="585">
        <f>CA682</f>
        <v>53570</v>
      </c>
      <c r="K728" s="585">
        <f>CB682</f>
        <v>61044</v>
      </c>
      <c r="L728" s="585">
        <f>CC682</f>
        <v>0</v>
      </c>
      <c r="M728" s="585">
        <f t="shared" ref="M728:M734" si="215">SUM(H728:L728)</f>
        <v>114614</v>
      </c>
      <c r="Q728" s="902">
        <f t="shared" ref="Q728:Q734" si="216">ABS(M728-AF728)</f>
        <v>114614</v>
      </c>
      <c r="R728" s="902"/>
      <c r="S728" s="902"/>
      <c r="T728" s="2341"/>
      <c r="U728" s="2341"/>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16888</v>
      </c>
      <c r="J729" s="585">
        <f>CF682</f>
        <v>0</v>
      </c>
      <c r="K729" s="585">
        <f>CG682</f>
        <v>0</v>
      </c>
      <c r="L729" s="585">
        <f>CH682</f>
        <v>0</v>
      </c>
      <c r="M729" s="585">
        <f t="shared" si="215"/>
        <v>16888</v>
      </c>
      <c r="N729" s="583"/>
      <c r="Q729" s="902">
        <f t="shared" si="216"/>
        <v>16888</v>
      </c>
      <c r="R729" s="902"/>
      <c r="S729" s="902"/>
      <c r="T729" s="2341"/>
      <c r="U729" s="2341"/>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571</v>
      </c>
      <c r="H730" s="585">
        <f>SUM(H728:H729)</f>
        <v>0</v>
      </c>
      <c r="I730" s="585">
        <f>SUM(I728:I729)</f>
        <v>16888</v>
      </c>
      <c r="J730" s="585">
        <f>SUM(J728:J729)</f>
        <v>53570</v>
      </c>
      <c r="K730" s="585">
        <f>SUM(K728:K729)</f>
        <v>61044</v>
      </c>
      <c r="L730" s="585">
        <f>SUM(L728:L729)</f>
        <v>0</v>
      </c>
      <c r="M730" s="585">
        <f t="shared" si="215"/>
        <v>131502</v>
      </c>
      <c r="N730" s="583"/>
      <c r="Q730" s="902">
        <f t="shared" si="216"/>
        <v>131502</v>
      </c>
      <c r="R730" s="902"/>
      <c r="S730" s="902"/>
      <c r="T730" s="2341"/>
      <c r="U730" s="2341"/>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341"/>
      <c r="U731" s="2341"/>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1206</v>
      </c>
      <c r="D732" s="583"/>
      <c r="E732" s="583"/>
      <c r="F732" s="583"/>
      <c r="G732" s="583"/>
      <c r="H732" s="585">
        <f>SUM(H730:H731)</f>
        <v>0</v>
      </c>
      <c r="I732" s="585">
        <f>SUM(I730:I731)</f>
        <v>16888</v>
      </c>
      <c r="J732" s="585">
        <f>SUM(J730:J731)</f>
        <v>53570</v>
      </c>
      <c r="K732" s="585">
        <f>SUM(K730:K731)</f>
        <v>61044</v>
      </c>
      <c r="L732" s="585">
        <f>SUM(L730:L731)</f>
        <v>0</v>
      </c>
      <c r="M732" s="585">
        <f t="shared" si="215"/>
        <v>131502</v>
      </c>
      <c r="Q732" s="902">
        <f t="shared" si="216"/>
        <v>131502</v>
      </c>
      <c r="R732" s="902"/>
      <c r="S732" s="902"/>
      <c r="T732" s="2341"/>
      <c r="U732" s="2341"/>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2681</v>
      </c>
      <c r="D733" s="583"/>
      <c r="E733" s="583"/>
      <c r="F733" s="583"/>
      <c r="G733" s="583"/>
      <c r="H733" s="585">
        <f>CX682</f>
        <v>0</v>
      </c>
      <c r="I733" s="585">
        <f>CY682</f>
        <v>0</v>
      </c>
      <c r="J733" s="585">
        <f>CZ682</f>
        <v>974</v>
      </c>
      <c r="K733" s="585">
        <f>DA682</f>
        <v>0</v>
      </c>
      <c r="L733" s="585">
        <f>DB682</f>
        <v>0</v>
      </c>
      <c r="M733" s="585">
        <f t="shared" si="215"/>
        <v>974</v>
      </c>
      <c r="Q733" s="902">
        <f t="shared" si="216"/>
        <v>974</v>
      </c>
      <c r="R733" s="902"/>
      <c r="S733" s="902"/>
      <c r="T733" s="2341"/>
      <c r="U733" s="2341"/>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571</v>
      </c>
      <c r="D734" s="583"/>
      <c r="E734" s="583"/>
      <c r="F734" s="583"/>
      <c r="G734" s="583"/>
      <c r="H734" s="585">
        <f>SUM(H732:H733)</f>
        <v>0</v>
      </c>
      <c r="I734" s="585">
        <f>SUM(I732:I733)</f>
        <v>16888</v>
      </c>
      <c r="J734" s="585">
        <f>SUM(J732:J733)</f>
        <v>54544</v>
      </c>
      <c r="K734" s="585">
        <f>SUM(K732:K733)</f>
        <v>61044</v>
      </c>
      <c r="L734" s="585">
        <f>SUM(L732:L733)</f>
        <v>0</v>
      </c>
      <c r="M734" s="585">
        <f t="shared" si="215"/>
        <v>132476</v>
      </c>
      <c r="Q734" s="902">
        <f t="shared" si="216"/>
        <v>132476</v>
      </c>
      <c r="R734" s="902"/>
      <c r="S734" s="902"/>
      <c r="T734" s="2341"/>
      <c r="U734" s="2341"/>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791</v>
      </c>
      <c r="B736" s="788" t="s">
        <v>3671</v>
      </c>
      <c r="Q736" s="583"/>
      <c r="R736" s="583"/>
      <c r="S736" s="583"/>
      <c r="T736" s="788" t="s">
        <v>1973</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1077</v>
      </c>
      <c r="D738" s="587"/>
      <c r="H738" s="2446">
        <f>'Part VI-Revenues &amp; Expenses'!H104</f>
        <v>15750</v>
      </c>
      <c r="I738" s="2446"/>
      <c r="K738" s="904" t="s">
        <v>3672</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1540</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2433</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1078</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341"/>
      <c r="U743" s="2341"/>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790</v>
      </c>
      <c r="C744" s="2320">
        <f>'Part VI-Revenues &amp; Expenses'!C110</f>
        <v>0</v>
      </c>
      <c r="D744" s="2320"/>
      <c r="E744" s="2320"/>
      <c r="F744" s="2320"/>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341"/>
      <c r="U744" s="2341"/>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983</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341"/>
      <c r="U745" s="2341"/>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3673</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565</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341"/>
      <c r="U748" s="2341"/>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790</v>
      </c>
      <c r="C749" s="2320">
        <f>'Part VI-Revenues &amp; Expenses'!C115</f>
        <v>0</v>
      </c>
      <c r="D749" s="2320"/>
      <c r="E749" s="2320"/>
      <c r="F749" s="2320"/>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341"/>
      <c r="U749" s="2341"/>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3674</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341"/>
      <c r="U750" s="2341"/>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2804</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2433</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1078</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341"/>
      <c r="U753" s="2341"/>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790</v>
      </c>
      <c r="C754" s="2320">
        <f>'Part VI-Revenues &amp; Expenses'!C120</f>
        <v>0</v>
      </c>
      <c r="D754" s="2320"/>
      <c r="E754" s="2320"/>
      <c r="F754" s="2320"/>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341"/>
      <c r="U754" s="2341"/>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983</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341"/>
      <c r="U755" s="2341"/>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3673</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565</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341"/>
      <c r="U758" s="2341"/>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790</v>
      </c>
      <c r="C759" s="2320">
        <f>'Part VI-Revenues &amp; Expenses'!C125</f>
        <v>0</v>
      </c>
      <c r="D759" s="2320"/>
      <c r="E759" s="2320"/>
      <c r="F759" s="2320"/>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341"/>
      <c r="U759" s="2341"/>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3674</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341"/>
      <c r="U760" s="2341"/>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2805</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2433</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1078</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341"/>
      <c r="U763" s="2341"/>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790</v>
      </c>
      <c r="C764" s="2320">
        <f>'Part VI-Revenues &amp; Expenses'!C130</f>
        <v>0</v>
      </c>
      <c r="D764" s="2320"/>
      <c r="E764" s="2320"/>
      <c r="F764" s="2320"/>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341"/>
      <c r="U764" s="2341"/>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983</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341"/>
      <c r="U765" s="2341"/>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3673</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565</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341"/>
      <c r="U768" s="2341"/>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790</v>
      </c>
      <c r="C769" s="2320">
        <f>'Part VI-Revenues &amp; Expenses'!C135</f>
        <v>0</v>
      </c>
      <c r="D769" s="2320"/>
      <c r="E769" s="2320"/>
      <c r="F769" s="2320"/>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341"/>
      <c r="U769" s="2341"/>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3674</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341"/>
      <c r="U770" s="2341"/>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1915</v>
      </c>
      <c r="B772" s="885" t="s">
        <v>1080</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443" t="s">
        <v>1973</v>
      </c>
      <c r="U773" s="2443"/>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1375</v>
      </c>
      <c r="F774" s="580"/>
      <c r="G774" s="580"/>
      <c r="I774" s="586" t="s">
        <v>1463</v>
      </c>
      <c r="N774" s="586" t="s">
        <v>1462</v>
      </c>
      <c r="T774" s="2341"/>
      <c r="U774" s="2341"/>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2335</v>
      </c>
      <c r="F775" s="2444">
        <f>'Part VI-Revenues &amp; Expenses'!F141</f>
        <v>65000</v>
      </c>
      <c r="G775" s="2444"/>
      <c r="I775" s="583" t="s">
        <v>1464</v>
      </c>
      <c r="K775" s="2444">
        <f>'Part VI-Revenues &amp; Expenses'!K141</f>
        <v>0</v>
      </c>
      <c r="L775" s="2444"/>
      <c r="N775" s="583" t="s">
        <v>984</v>
      </c>
      <c r="P775" s="914">
        <f>'Part VI-Revenues &amp; Expenses'!P141</f>
        <v>61415</v>
      </c>
      <c r="T775" s="2341"/>
      <c r="U775" s="2341"/>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1453</v>
      </c>
      <c r="F776" s="2444">
        <f>'Part VI-Revenues &amp; Expenses'!F142</f>
        <v>45000</v>
      </c>
      <c r="G776" s="2444"/>
      <c r="I776" s="583" t="s">
        <v>1465</v>
      </c>
      <c r="K776" s="2444">
        <f>'Part VI-Revenues &amp; Expenses'!K142</f>
        <v>0</v>
      </c>
      <c r="L776" s="2444"/>
      <c r="N776" s="583" t="s">
        <v>153</v>
      </c>
      <c r="P776" s="914">
        <f>'Part VI-Revenues &amp; Expenses'!P142</f>
        <v>40446</v>
      </c>
      <c r="T776" s="2341"/>
      <c r="U776" s="2341"/>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1316</v>
      </c>
      <c r="F777" s="2444">
        <f>'Part VI-Revenues &amp; Expenses'!F143</f>
        <v>19800</v>
      </c>
      <c r="G777" s="2444"/>
      <c r="J777" s="913" t="s">
        <v>199</v>
      </c>
      <c r="K777" s="2444">
        <f>SUM(K775:L776)</f>
        <v>0</v>
      </c>
      <c r="L777" s="2444"/>
      <c r="N777" s="2447" t="str">
        <f>'Part VI-Revenues &amp; Expenses'!N143</f>
        <v>Other (describe here)</v>
      </c>
      <c r="O777" s="2447"/>
      <c r="P777" s="914">
        <f>'Part VI-Revenues &amp; Expenses'!P143</f>
        <v>0</v>
      </c>
      <c r="T777" s="2341"/>
      <c r="U777" s="2341"/>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52" t="str">
        <f>'Part VI-Revenues &amp; Expenses'!B144</f>
        <v>Other (describe here)</v>
      </c>
      <c r="C778" s="2352"/>
      <c r="D778" s="2352"/>
      <c r="E778" s="2352"/>
      <c r="F778" s="2444">
        <f>'Part VI-Revenues &amp; Expenses'!F144</f>
        <v>0</v>
      </c>
      <c r="G778" s="2444"/>
      <c r="N778" s="913" t="s">
        <v>199</v>
      </c>
      <c r="P778" s="914">
        <f>SUM(P775:P777)</f>
        <v>101861</v>
      </c>
      <c r="T778" s="2341"/>
      <c r="U778" s="2341"/>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444">
        <f>SUM(F775:G778)</f>
        <v>129800</v>
      </c>
      <c r="G779" s="2444"/>
      <c r="J779" s="915"/>
      <c r="T779" s="2341"/>
      <c r="U779" s="2341"/>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341"/>
      <c r="U780" s="2341"/>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1376</v>
      </c>
      <c r="D781" s="916"/>
      <c r="I781" s="586" t="s">
        <v>1377</v>
      </c>
      <c r="N781" s="586" t="s">
        <v>1466</v>
      </c>
      <c r="P781" s="917">
        <f>IF(OR('Part VII-Pro Forma'!$B$20 = "Choose Mgt Fee",'Part VII-Pro Forma'!$B$20 = "Choose One!"), 0,- 'Part VII-Pro Forma'!$B$20)</f>
        <v>37371</v>
      </c>
      <c r="T781" s="2341"/>
      <c r="U781" s="2341"/>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1458</v>
      </c>
      <c r="D782" s="916"/>
      <c r="F782" s="2444">
        <f>'Part VI-Revenues &amp; Expenses'!F148</f>
        <v>10000</v>
      </c>
      <c r="G782" s="2444"/>
      <c r="I782" s="583" t="s">
        <v>1710</v>
      </c>
      <c r="K782" s="2444">
        <f>'Part VI-Revenues &amp; Expenses'!K148</f>
        <v>8737</v>
      </c>
      <c r="L782" s="2444"/>
      <c r="N782" s="918">
        <f>+P781/(M696*0.93)</f>
        <v>313.93649193548384</v>
      </c>
      <c r="O782" s="919" t="s">
        <v>3137</v>
      </c>
      <c r="T782" s="2341"/>
      <c r="U782" s="2341"/>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1459</v>
      </c>
      <c r="D783" s="916"/>
      <c r="F783" s="2444">
        <f>'Part VI-Revenues &amp; Expenses'!F149</f>
        <v>10000</v>
      </c>
      <c r="G783" s="2444"/>
      <c r="I783" s="583" t="s">
        <v>2186</v>
      </c>
      <c r="K783" s="2444">
        <f>'Part VI-Revenues &amp; Expenses'!K149</f>
        <v>11500</v>
      </c>
      <c r="L783" s="2444"/>
      <c r="N783" s="918">
        <f>+P781/(M696*0.93)/12</f>
        <v>26.161374327956988</v>
      </c>
      <c r="O783" s="919" t="s">
        <v>3139</v>
      </c>
      <c r="T783" s="2341"/>
      <c r="U783" s="2341"/>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1460</v>
      </c>
      <c r="D784" s="916"/>
      <c r="F784" s="2444">
        <f>'Part VI-Revenues &amp; Expenses'!F150</f>
        <v>3500</v>
      </c>
      <c r="G784" s="2444"/>
      <c r="I784" s="583" t="s">
        <v>1711</v>
      </c>
      <c r="K784" s="2444">
        <f>'Part VI-Revenues &amp; Expenses'!K150</f>
        <v>15000</v>
      </c>
      <c r="L784" s="2444"/>
      <c r="T784" s="2341"/>
      <c r="U784" s="2341"/>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2490</v>
      </c>
      <c r="D785" s="916"/>
      <c r="F785" s="2444">
        <f>'Part VI-Revenues &amp; Expenses'!F151</f>
        <v>0</v>
      </c>
      <c r="G785" s="2444"/>
      <c r="I785" s="2447" t="str">
        <f>'Part VI-Revenues &amp; Expenses'!I151</f>
        <v>Other (describe here)</v>
      </c>
      <c r="J785" s="2447"/>
      <c r="K785" s="2444">
        <f>'Part VI-Revenues &amp; Expenses'!K151</f>
        <v>0</v>
      </c>
      <c r="L785" s="2444"/>
      <c r="N785" s="2448" t="s">
        <v>2627</v>
      </c>
      <c r="O785" s="2448"/>
      <c r="P785" s="2448"/>
      <c r="T785" s="2341"/>
      <c r="U785" s="2341"/>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1708</v>
      </c>
      <c r="D786" s="916"/>
      <c r="F786" s="2444">
        <f>'Part VI-Revenues &amp; Expenses'!F152</f>
        <v>0</v>
      </c>
      <c r="G786" s="2444"/>
      <c r="I786" s="586"/>
      <c r="J786" s="913" t="s">
        <v>199</v>
      </c>
      <c r="K786" s="2449">
        <f>SUM(K782:K785)</f>
        <v>35237</v>
      </c>
      <c r="L786" s="2449"/>
      <c r="N786" s="2448"/>
      <c r="O786" s="2448"/>
      <c r="P786" s="2448"/>
      <c r="T786" s="2341"/>
      <c r="U786" s="2341"/>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52" t="str">
        <f>'Part VI-Revenues &amp; Expenses'!B153</f>
        <v>other admin</v>
      </c>
      <c r="C787" s="2352"/>
      <c r="D787" s="2352"/>
      <c r="E787" s="2352"/>
      <c r="F787" s="2444">
        <f>'Part VI-Revenues &amp; Expenses'!F153</f>
        <v>3500</v>
      </c>
      <c r="G787" s="2444"/>
      <c r="J787" s="915"/>
      <c r="T787" s="2341"/>
      <c r="U787" s="2341"/>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444">
        <f>SUM(F782:G787)</f>
        <v>27000</v>
      </c>
      <c r="G788" s="2444"/>
      <c r="J788" s="915"/>
      <c r="T788" s="2341"/>
      <c r="U788" s="2341"/>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341"/>
      <c r="U789" s="2341"/>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1378</v>
      </c>
      <c r="D790" s="916"/>
      <c r="I790" s="586" t="s">
        <v>1461</v>
      </c>
      <c r="J790" s="794" t="s">
        <v>3136</v>
      </c>
      <c r="N790" s="586" t="s">
        <v>2325</v>
      </c>
      <c r="T790" s="2341"/>
      <c r="U790" s="2341"/>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1712</v>
      </c>
      <c r="D791" s="916"/>
      <c r="F791" s="2444">
        <f>'Part VI-Revenues &amp; Expenses'!F157</f>
        <v>4850</v>
      </c>
      <c r="G791" s="2444"/>
      <c r="I791" s="583" t="s">
        <v>1454</v>
      </c>
      <c r="J791" s="800">
        <f>K791/12/M696</f>
        <v>10.7421875</v>
      </c>
      <c r="K791" s="2444">
        <f>'Part VI-Revenues &amp; Expenses'!K157</f>
        <v>16500</v>
      </c>
      <c r="L791" s="2444"/>
      <c r="N791" s="918">
        <f>+P791/M696</f>
        <v>4000.3046875</v>
      </c>
      <c r="O791" s="919" t="s">
        <v>3140</v>
      </c>
      <c r="P791" s="914">
        <f>F779+F788+F799+K777+K786+K796+P778+P781</f>
        <v>512039</v>
      </c>
      <c r="T791" s="2341"/>
      <c r="U791" s="2341"/>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1713</v>
      </c>
      <c r="D792" s="916"/>
      <c r="F792" s="2444">
        <f>'Part VI-Revenues &amp; Expenses'!F158</f>
        <v>15000</v>
      </c>
      <c r="G792" s="2444"/>
      <c r="I792" s="583" t="s">
        <v>1455</v>
      </c>
      <c r="J792" s="800">
        <f>K792/12/M696</f>
        <v>0</v>
      </c>
      <c r="K792" s="2444">
        <f>'Part VI-Revenues &amp; Expenses'!K158</f>
        <v>0</v>
      </c>
      <c r="L792" s="2444"/>
      <c r="T792" s="2341"/>
      <c r="U792" s="2341"/>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1714</v>
      </c>
      <c r="D793" s="916"/>
      <c r="F793" s="2444">
        <f>'Part VI-Revenues &amp; Expenses'!F159</f>
        <v>15200</v>
      </c>
      <c r="G793" s="2444"/>
      <c r="I793" s="583" t="s">
        <v>2504</v>
      </c>
      <c r="J793" s="800">
        <f>K793/12/M696</f>
        <v>52.083333333333336</v>
      </c>
      <c r="K793" s="2444">
        <f>'Part VI-Revenues &amp; Expenses'!K159</f>
        <v>80000</v>
      </c>
      <c r="L793" s="2444"/>
      <c r="T793" s="2341"/>
      <c r="U793" s="2341"/>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1062</v>
      </c>
      <c r="D794" s="916"/>
      <c r="F794" s="2444">
        <f>'Part VI-Revenues &amp; Expenses'!F160</f>
        <v>5000</v>
      </c>
      <c r="G794" s="2444"/>
      <c r="I794" s="583" t="s">
        <v>1457</v>
      </c>
      <c r="K794" s="2444">
        <f>'Part VI-Revenues &amp; Expenses'!K160</f>
        <v>19220</v>
      </c>
      <c r="L794" s="2444"/>
      <c r="N794" s="586" t="s">
        <v>1321</v>
      </c>
      <c r="O794" s="586"/>
      <c r="P794" s="917">
        <f>P795*M696</f>
        <v>44800</v>
      </c>
      <c r="T794" s="2341"/>
      <c r="U794" s="2341"/>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1063</v>
      </c>
      <c r="D795" s="916"/>
      <c r="F795" s="2444">
        <f>'Part VI-Revenues &amp; Expenses'!F161</f>
        <v>10000</v>
      </c>
      <c r="G795" s="2444"/>
      <c r="I795" s="2447" t="str">
        <f>'Part VI-Revenues &amp; Expenses'!I161</f>
        <v>Other (describe here)</v>
      </c>
      <c r="J795" s="2447"/>
      <c r="K795" s="2444">
        <f>'Part VI-Revenues &amp; Expenses'!K161</f>
        <v>0</v>
      </c>
      <c r="L795" s="2444"/>
      <c r="N795" s="919" t="s">
        <v>489</v>
      </c>
      <c r="P795" s="917">
        <f>'Part VI-Revenues &amp; Expenses'!P161</f>
        <v>350</v>
      </c>
      <c r="T795" s="2341"/>
      <c r="U795" s="2341"/>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1064</v>
      </c>
      <c r="D796" s="916"/>
      <c r="F796" s="2444">
        <f>'Part VI-Revenues &amp; Expenses'!F162</f>
        <v>0</v>
      </c>
      <c r="G796" s="2444"/>
      <c r="J796" s="913" t="s">
        <v>199</v>
      </c>
      <c r="K796" s="2449">
        <f>SUM(K791:K795)</f>
        <v>115720</v>
      </c>
      <c r="L796" s="2449"/>
      <c r="T796" s="2341"/>
      <c r="U796" s="2341"/>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921</v>
      </c>
      <c r="D797" s="916"/>
      <c r="F797" s="2444">
        <f>'Part VI-Revenues &amp; Expenses'!F163</f>
        <v>15000</v>
      </c>
      <c r="G797" s="2444"/>
      <c r="J797" s="915"/>
      <c r="T797" s="2341"/>
      <c r="U797" s="2341"/>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52" t="str">
        <f>'Part VI-Revenues &amp; Expenses'!B164</f>
        <v>Other (describe here)</v>
      </c>
      <c r="C798" s="2352"/>
      <c r="D798" s="2352"/>
      <c r="E798" s="2352"/>
      <c r="F798" s="2444">
        <f>'Part VI-Revenues &amp; Expenses'!F164</f>
        <v>0</v>
      </c>
      <c r="G798" s="2444"/>
      <c r="J798" s="915"/>
      <c r="N798" s="586" t="s">
        <v>2326</v>
      </c>
      <c r="O798" s="586"/>
      <c r="P798" s="586"/>
      <c r="T798" s="2341"/>
      <c r="U798" s="2341"/>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444">
        <f>SUM(F791:G798)</f>
        <v>65050</v>
      </c>
      <c r="G799" s="2444"/>
      <c r="J799" s="915"/>
      <c r="P799" s="914">
        <f>P791+P794</f>
        <v>556839</v>
      </c>
      <c r="T799" s="2341"/>
      <c r="U799" s="2341"/>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1917</v>
      </c>
      <c r="B801" s="788" t="s">
        <v>607</v>
      </c>
      <c r="K801" s="788" t="s">
        <v>562</v>
      </c>
      <c r="L801" s="788" t="s">
        <v>1973</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80" t="str">
        <f>'Part VI-Revenues &amp; Expenses'!A168</f>
        <v xml:space="preserve">Insurance in the above Operating Budget are based on actual insurance cost of the property. A copy of the 2014 insuarance bill is located in Tab 1 of the application. Property Taxes are based on the 2013 tax bill for the property, which is also included in Tab 1 of the application. 
</v>
      </c>
      <c r="B802" s="2380"/>
      <c r="C802" s="2380"/>
      <c r="D802" s="2380"/>
      <c r="E802" s="2380"/>
      <c r="F802" s="2380"/>
      <c r="G802" s="2380"/>
      <c r="H802" s="2380"/>
      <c r="I802" s="2380"/>
      <c r="J802" s="2380"/>
      <c r="K802" s="2380">
        <f>'Part VI-Revenues &amp; Expenses'!K168</f>
        <v>0</v>
      </c>
      <c r="L802" s="2380"/>
      <c r="M802" s="2380"/>
      <c r="N802" s="2380"/>
      <c r="O802" s="2380"/>
      <c r="P802" s="2380"/>
      <c r="T802" s="2450" t="s">
        <v>2923</v>
      </c>
      <c r="U802" s="2450"/>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53" t="str">
        <f>CONCATENATE("PART SEVEN - OPERATING PRO FORMA","  -  ",'Part I-Project Information'!$O$4," ",'Part I-Project Information'!$F$23,", ",'Part I-Project Information'!F831,", ",'Part I-Project Information'!J832," County")</f>
        <v>PART SEVEN - OPERATING PRO FORMA  -  2014-006 North Grove Apartments, ,  County</v>
      </c>
      <c r="B805" s="2330"/>
      <c r="C805" s="2330"/>
      <c r="D805" s="2330"/>
      <c r="E805" s="2330"/>
      <c r="F805" s="2330"/>
      <c r="G805" s="2330"/>
      <c r="H805" s="2330"/>
      <c r="I805" s="2330"/>
      <c r="J805" s="2330"/>
      <c r="K805" s="2330"/>
    </row>
    <row r="806" spans="1:221">
      <c r="A806" s="920"/>
      <c r="B806" s="920"/>
      <c r="C806" s="920"/>
      <c r="D806" s="920"/>
      <c r="E806" s="920"/>
      <c r="F806" s="920"/>
      <c r="G806" s="920"/>
      <c r="H806" s="920"/>
      <c r="I806" s="920"/>
      <c r="J806" s="920"/>
      <c r="K806" s="920"/>
    </row>
    <row r="807" spans="1:221" ht="13.5">
      <c r="A807" s="788" t="s">
        <v>93</v>
      </c>
      <c r="D807" s="788" t="s">
        <v>83</v>
      </c>
      <c r="E807" s="888"/>
      <c r="F807" s="792" t="s">
        <v>3675</v>
      </c>
    </row>
    <row r="809" spans="1:221">
      <c r="A809" s="580" t="s">
        <v>2327</v>
      </c>
      <c r="B809" s="921">
        <v>0.02</v>
      </c>
      <c r="D809" s="580" t="s">
        <v>837</v>
      </c>
      <c r="G809" s="1059">
        <f>'Part VII-Pro Forma'!G5</f>
        <v>5000</v>
      </c>
      <c r="H809" s="922" t="s">
        <v>2040</v>
      </c>
      <c r="K809" s="923" t="str">
        <f>IF(($B$14+$B$15+$B$16+$B$17)=0,"",B832/($B$14+$B$15+$B$16+$B$17))</f>
        <v/>
      </c>
    </row>
    <row r="810" spans="1:221">
      <c r="A810" s="580" t="s">
        <v>2328</v>
      </c>
      <c r="B810" s="921">
        <v>0.03</v>
      </c>
    </row>
    <row r="811" spans="1:221">
      <c r="A811" s="580" t="s">
        <v>2330</v>
      </c>
      <c r="B811" s="921">
        <v>0.03</v>
      </c>
      <c r="D811" s="583" t="s">
        <v>284</v>
      </c>
      <c r="G811" s="924"/>
      <c r="H811" s="922" t="s">
        <v>2529</v>
      </c>
      <c r="K811" s="923" t="str">
        <f>IF(($B$14+$B$15+$B$16+$B$17)=0,"",-B824/($B$14+$B$15+$B$16+$B$17))</f>
        <v/>
      </c>
    </row>
    <row r="812" spans="1:221">
      <c r="A812" s="580" t="s">
        <v>2329</v>
      </c>
      <c r="B812" s="921">
        <f>'Part VII-Pro Forma'!B8</f>
        <v>7.0000000000000007E-2</v>
      </c>
      <c r="D812" s="583" t="s">
        <v>2676</v>
      </c>
      <c r="G812" s="1060" t="str">
        <f>'Part VII-Pro Forma'!G8</f>
        <v>Yes</v>
      </c>
      <c r="H812" s="925" t="s">
        <v>1539</v>
      </c>
      <c r="K812" s="1061">
        <f>'Part VII-Pro Forma'!K8</f>
        <v>37371</v>
      </c>
    </row>
    <row r="813" spans="1:221">
      <c r="A813" s="580" t="s">
        <v>1509</v>
      </c>
      <c r="B813" s="921">
        <v>0.02</v>
      </c>
      <c r="D813" s="583" t="s">
        <v>1838</v>
      </c>
      <c r="G813" s="1060" t="str">
        <f>'Part VII-Pro Forma'!G9</f>
        <v>No</v>
      </c>
      <c r="H813" s="925" t="s">
        <v>2509</v>
      </c>
      <c r="K813" s="1062">
        <f>'Part VII-Pro Forma'!K9</f>
        <v>0.05</v>
      </c>
    </row>
    <row r="815" spans="1:221">
      <c r="A815" s="788" t="s">
        <v>94</v>
      </c>
    </row>
    <row r="817" spans="1:11">
      <c r="A817" s="788" t="s">
        <v>2647</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2564</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1077</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2565</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654</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1179</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1277</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1278</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1698</v>
      </c>
      <c r="B827" s="911">
        <f>'Part VII-Pro Forma'!B23</f>
        <v>-114909.96667102081</v>
      </c>
      <c r="C827" s="911">
        <f>'Part VII-Pro Forma'!C23</f>
        <v>-114909.96667102081</v>
      </c>
      <c r="D827" s="911">
        <f>'Part VII-Pro Forma'!D23</f>
        <v>-114909.96667102081</v>
      </c>
      <c r="E827" s="911">
        <f>'Part VII-Pro Forma'!E23</f>
        <v>-114909.96667102081</v>
      </c>
      <c r="F827" s="911">
        <f>'Part VII-Pro Forma'!F23</f>
        <v>-114909.96667102081</v>
      </c>
      <c r="G827" s="911">
        <f>'Part VII-Pro Forma'!G23</f>
        <v>-114909.96667102081</v>
      </c>
      <c r="H827" s="911">
        <f>'Part VII-Pro Forma'!H23</f>
        <v>-114909.96667102081</v>
      </c>
      <c r="I827" s="911">
        <f>'Part VII-Pro Forma'!I23</f>
        <v>-114909.96667102081</v>
      </c>
      <c r="J827" s="911">
        <f>'Part VII-Pro Forma'!J23</f>
        <v>-114909.96667102081</v>
      </c>
      <c r="K827" s="911">
        <f>'Part VII-Pro Forma'!K23</f>
        <v>-114909.96667102081</v>
      </c>
    </row>
    <row r="828" spans="1:11">
      <c r="A828" s="580" t="s">
        <v>1699</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1700</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834</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813</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1233</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1279</v>
      </c>
      <c r="B833" s="911">
        <f>'Part VII-Pro Forma'!B29</f>
        <v>-59876</v>
      </c>
      <c r="C833" s="911">
        <f>'Part VII-Pro Forma'!C29</f>
        <v>-59875</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1234</v>
      </c>
      <c r="B834" s="911">
        <f t="shared" ref="B834:K834" si="230">SUM(B826:B833)</f>
        <v>-179785.96667102081</v>
      </c>
      <c r="C834" s="911">
        <f t="shared" si="230"/>
        <v>-179784.96667102081</v>
      </c>
      <c r="D834" s="911">
        <f t="shared" si="230"/>
        <v>-119909.96667102081</v>
      </c>
      <c r="E834" s="911">
        <f t="shared" si="230"/>
        <v>-119909.96667102081</v>
      </c>
      <c r="F834" s="911">
        <f t="shared" si="230"/>
        <v>-119909.96667102081</v>
      </c>
      <c r="G834" s="911">
        <f t="shared" si="230"/>
        <v>-119909.96667102081</v>
      </c>
      <c r="H834" s="911">
        <f t="shared" si="230"/>
        <v>-119909.96667102081</v>
      </c>
      <c r="I834" s="911">
        <f t="shared" si="230"/>
        <v>-119909.96667102081</v>
      </c>
      <c r="J834" s="911">
        <f t="shared" si="230"/>
        <v>-119909.96667102081</v>
      </c>
      <c r="K834" s="911">
        <f t="shared" si="230"/>
        <v>-119909.96667102081</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835</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820</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2799</v>
      </c>
      <c r="B840" s="911">
        <f>'Part VII-Pro Forma'!B36</f>
        <v>1498066.4591452563</v>
      </c>
      <c r="C840" s="911">
        <f>'Part VII-Pro Forma'!C36</f>
        <v>1479998.8476985097</v>
      </c>
      <c r="D840" s="911">
        <f>'Part VII-Pro Forma'!D36</f>
        <v>1460721.2148519121</v>
      </c>
      <c r="E840" s="911">
        <f>'Part VII-Pro Forma'!E36</f>
        <v>1440152.5232313529</v>
      </c>
      <c r="F840" s="911">
        <f>'Part VII-Pro Forma'!F36</f>
        <v>1418206.3082396956</v>
      </c>
      <c r="G840" s="911">
        <f>'Part VII-Pro Forma'!G36</f>
        <v>1394790.314585601</v>
      </c>
      <c r="H840" s="911">
        <f>'Part VII-Pro Forma'!H36</f>
        <v>1369806.108470012</v>
      </c>
      <c r="I840" s="911">
        <f>'Part VII-Pro Forma'!I36</f>
        <v>1343148.6638000486</v>
      </c>
      <c r="J840" s="911">
        <f>'Part VII-Pro Forma'!J36</f>
        <v>1314705.9206908825</v>
      </c>
      <c r="K840" s="911">
        <f>'Part VII-Pro Forma'!K36</f>
        <v>1284358.3143996629</v>
      </c>
    </row>
    <row r="841" spans="1:11">
      <c r="A841" s="580" t="s">
        <v>2800</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2801</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836</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1314</v>
      </c>
      <c r="B844" s="911">
        <f>'Part VII-Pro Forma'!B40</f>
        <v>59875</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2647</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2564</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1077</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2565</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654</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1179</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1277</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1278</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-114909.96667102081</v>
      </c>
      <c r="C856" s="911">
        <f>'Part VII-Pro Forma'!C52</f>
        <v>-114909.96667102081</v>
      </c>
      <c r="D856" s="911">
        <f>'Part VII-Pro Forma'!D52</f>
        <v>-114909.96667102081</v>
      </c>
      <c r="E856" s="911">
        <f>'Part VII-Pro Forma'!E52</f>
        <v>-114909.96667102081</v>
      </c>
      <c r="F856" s="911">
        <f>'Part VII-Pro Forma'!F52</f>
        <v>-114909.96667102081</v>
      </c>
      <c r="G856" s="911">
        <f>'Part VII-Pro Forma'!G52</f>
        <v>-114909.96667102081</v>
      </c>
      <c r="H856" s="911">
        <f>'Part VII-Pro Forma'!H52</f>
        <v>-114909.96667102081</v>
      </c>
      <c r="I856" s="911">
        <f>'Part VII-Pro Forma'!I52</f>
        <v>-114909.96667102081</v>
      </c>
      <c r="J856" s="911">
        <f>'Part VII-Pro Forma'!J52</f>
        <v>-114909.96667102081</v>
      </c>
      <c r="K856" s="911">
        <f>'Part VII-Pro Forma'!K52</f>
        <v>-114909.96667102081</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813</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1233</v>
      </c>
      <c r="B861" s="911">
        <f>'Part VII-Pro Forma'!B57</f>
        <v>-5000</v>
      </c>
      <c r="C861" s="911">
        <f>'Part VII-Pro Forma'!C57</f>
        <v>-5000</v>
      </c>
      <c r="D861" s="911">
        <f>'Part VII-Pro Forma'!D57</f>
        <v>-5000</v>
      </c>
      <c r="E861" s="911">
        <f>'Part VII-Pro Forma'!E57</f>
        <v>-5000</v>
      </c>
      <c r="F861" s="911">
        <f>'Part VII-Pro Forma'!F57</f>
        <v>-5000</v>
      </c>
      <c r="G861" s="911">
        <f>'Part VII-Pro Forma'!G57</f>
        <v>-5000</v>
      </c>
      <c r="H861" s="911">
        <f>'Part VII-Pro Forma'!H57</f>
        <v>-5000</v>
      </c>
      <c r="I861" s="911">
        <f>'Part VII-Pro Forma'!I57</f>
        <v>-5000</v>
      </c>
      <c r="J861" s="911">
        <f>'Part VII-Pro Forma'!J57</f>
        <v>-5000</v>
      </c>
      <c r="K861" s="911">
        <f>'Part VII-Pro Forma'!K57</f>
        <v>-5000</v>
      </c>
    </row>
    <row r="862" spans="1:11">
      <c r="A862" s="580" t="s">
        <v>1279</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1234</v>
      </c>
      <c r="B863" s="911">
        <f t="shared" ref="B863:K863" si="243">SUM(B855:B862)</f>
        <v>-119909.96667102081</v>
      </c>
      <c r="C863" s="911">
        <f t="shared" si="243"/>
        <v>-119909.96667102081</v>
      </c>
      <c r="D863" s="911">
        <f t="shared" si="243"/>
        <v>-119909.96667102081</v>
      </c>
      <c r="E863" s="911">
        <f t="shared" si="243"/>
        <v>-119909.96667102081</v>
      </c>
      <c r="F863" s="911">
        <f t="shared" si="243"/>
        <v>-119909.96667102081</v>
      </c>
      <c r="G863" s="911">
        <f t="shared" si="243"/>
        <v>-119909.96667102081</v>
      </c>
      <c r="H863" s="911">
        <f t="shared" si="243"/>
        <v>-119909.96667102081</v>
      </c>
      <c r="I863" s="911">
        <f t="shared" si="243"/>
        <v>-119909.96667102081</v>
      </c>
      <c r="J863" s="911">
        <f t="shared" si="243"/>
        <v>-119909.96667102081</v>
      </c>
      <c r="K863" s="911">
        <f t="shared" si="243"/>
        <v>-119909.96667102081</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820</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2799</v>
      </c>
      <c r="B869" s="911">
        <f>'Part VII-Pro Forma'!B65</f>
        <v>1251978.2727112763</v>
      </c>
      <c r="C869" s="911">
        <f>'Part VII-Pro Forma'!C65</f>
        <v>1217429.6796630989</v>
      </c>
      <c r="D869" s="911">
        <f>'Part VII-Pro Forma'!D65</f>
        <v>1180567.303354403</v>
      </c>
      <c r="E869" s="911">
        <f>'Part VII-Pro Forma'!E65</f>
        <v>1141236.1854350991</v>
      </c>
      <c r="F869" s="911">
        <f>'Part VII-Pro Forma'!F65</f>
        <v>1099270.9897074089</v>
      </c>
      <c r="G869" s="911">
        <f>'Part VII-Pro Forma'!G65</f>
        <v>1054495.3071021861</v>
      </c>
      <c r="H869" s="911">
        <f>'Part VII-Pro Forma'!H65</f>
        <v>1006720.9141082136</v>
      </c>
      <c r="I869" s="911">
        <f>'Part VII-Pro Forma'!I65</f>
        <v>955746.98153713753</v>
      </c>
      <c r="J869" s="911">
        <f>'Part VII-Pro Forma'!J65</f>
        <v>901359.23029792367</v>
      </c>
      <c r="K869" s="911">
        <f>'Part VII-Pro Forma'!K65</f>
        <v>843329.03063196607</v>
      </c>
    </row>
    <row r="870" spans="1:11">
      <c r="A870" s="580" t="s">
        <v>2800</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2801</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836</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1314</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2647</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2564</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1077</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2565</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654</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1179</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1277</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1278</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-114909.96667102081</v>
      </c>
      <c r="C885" s="911">
        <f>'Part VII-Pro Forma'!C81</f>
        <v>-114909.96667102081</v>
      </c>
      <c r="D885" s="911">
        <f>'Part VII-Pro Forma'!D81</f>
        <v>-114909.96667102081</v>
      </c>
      <c r="E885" s="911">
        <f>'Part VII-Pro Forma'!E81</f>
        <v>-114909.96667102081</v>
      </c>
      <c r="F885" s="911">
        <f>'Part VII-Pro Forma'!F81</f>
        <v>-114909.96667102081</v>
      </c>
      <c r="G885" s="911">
        <f>'Part VII-Pro Forma'!G81</f>
        <v>-114909.96667102081</v>
      </c>
      <c r="H885" s="911">
        <f>'Part VII-Pro Forma'!H81</f>
        <v>-114909.96667102081</v>
      </c>
      <c r="I885" s="911">
        <f>'Part VII-Pro Forma'!I81</f>
        <v>-114909.96667102081</v>
      </c>
      <c r="J885" s="911">
        <f>'Part VII-Pro Forma'!J81</f>
        <v>-114909.96667102081</v>
      </c>
      <c r="K885" s="911">
        <f>'Part VII-Pro Forma'!K81</f>
        <v>-114909.96667102081</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813</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1233</v>
      </c>
      <c r="B890" s="911">
        <f>'Part VII-Pro Forma'!B86</f>
        <v>-5000</v>
      </c>
      <c r="C890" s="911">
        <f>'Part VII-Pro Forma'!C86</f>
        <v>-5000</v>
      </c>
      <c r="D890" s="911">
        <f>'Part VII-Pro Forma'!D86</f>
        <v>-5000</v>
      </c>
      <c r="E890" s="911">
        <f>'Part VII-Pro Forma'!E86</f>
        <v>-5000</v>
      </c>
      <c r="F890" s="911">
        <f>'Part VII-Pro Forma'!F86</f>
        <v>-5000</v>
      </c>
      <c r="G890" s="911">
        <f>'Part VII-Pro Forma'!G86</f>
        <v>-5000</v>
      </c>
      <c r="H890" s="911">
        <f>'Part VII-Pro Forma'!H86</f>
        <v>-5000</v>
      </c>
      <c r="I890" s="911">
        <f>'Part VII-Pro Forma'!I86</f>
        <v>-5000</v>
      </c>
      <c r="J890" s="911">
        <f>'Part VII-Pro Forma'!J86</f>
        <v>-5000</v>
      </c>
      <c r="K890" s="911">
        <f>'Part VII-Pro Forma'!K86</f>
        <v>-5000</v>
      </c>
    </row>
    <row r="891" spans="1:11">
      <c r="A891" s="580" t="s">
        <v>1279</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1234</v>
      </c>
      <c r="B892" s="911">
        <f t="shared" ref="B892:K892" si="256">SUM(B884:B891)</f>
        <v>-119909.96667102081</v>
      </c>
      <c r="C892" s="911">
        <f t="shared" si="256"/>
        <v>-119909.96667102081</v>
      </c>
      <c r="D892" s="911">
        <f t="shared" si="256"/>
        <v>-119909.96667102081</v>
      </c>
      <c r="E892" s="911">
        <f t="shared" si="256"/>
        <v>-119909.96667102081</v>
      </c>
      <c r="F892" s="911">
        <f t="shared" si="256"/>
        <v>-119909.96667102081</v>
      </c>
      <c r="G892" s="911">
        <f t="shared" si="256"/>
        <v>-119909.96667102081</v>
      </c>
      <c r="H892" s="911">
        <f t="shared" si="256"/>
        <v>-119909.96667102081</v>
      </c>
      <c r="I892" s="911">
        <f t="shared" si="256"/>
        <v>-119909.96667102081</v>
      </c>
      <c r="J892" s="911">
        <f t="shared" si="256"/>
        <v>-119909.96667102081</v>
      </c>
      <c r="K892" s="911">
        <f t="shared" si="256"/>
        <v>-119909.96667102081</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820</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2799</v>
      </c>
      <c r="B898" s="911">
        <f>'Part VII-Pro Forma'!B94</f>
        <v>781412.44102230191</v>
      </c>
      <c r="C898" s="911">
        <f>'Part VII-Pro Forma'!C94</f>
        <v>715349.18273679714</v>
      </c>
      <c r="D898" s="911">
        <f>'Part VII-Pro Forma'!D94</f>
        <v>644861.54569458973</v>
      </c>
      <c r="E898" s="911">
        <f>'Part VII-Pro Forma'!E94</f>
        <v>569653.22105638264</v>
      </c>
      <c r="F898" s="911">
        <f>'Part VII-Pro Forma'!F94</f>
        <v>489408.05563114624</v>
      </c>
      <c r="G898" s="911">
        <f>'Part VII-Pro Forma'!G94</f>
        <v>403788.72286313138</v>
      </c>
      <c r="H898" s="911">
        <f>'Part VII-Pro Forma'!H94</f>
        <v>312435.30481242051</v>
      </c>
      <c r="I898" s="911">
        <f>'Part VII-Pro Forma'!I94</f>
        <v>214963.77916809102</v>
      </c>
      <c r="J898" s="911">
        <f>'Part VII-Pro Forma'!J94</f>
        <v>110964.40493384741</v>
      </c>
      <c r="K898" s="911">
        <f>'Part VII-Pro Forma'!K94</f>
        <v>3.0951923690736294E-8</v>
      </c>
    </row>
    <row r="899" spans="1:17">
      <c r="A899" s="580" t="s">
        <v>2800</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2801</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836</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1314</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606</v>
      </c>
      <c r="B905" s="788"/>
      <c r="G905" s="788" t="s">
        <v>1092</v>
      </c>
    </row>
    <row r="906" spans="1:17">
      <c r="B906" s="920"/>
    </row>
    <row r="907" spans="1:17" ht="13.5">
      <c r="A907" s="2380">
        <f>'Part VII-Pro Forma'!A103</f>
        <v>0</v>
      </c>
      <c r="B907" s="2380"/>
      <c r="C907" s="2380"/>
      <c r="D907" s="2380"/>
      <c r="E907" s="2380"/>
      <c r="F907" s="2380"/>
      <c r="G907" s="2380">
        <f>'Part VII-Pro Forma'!G103</f>
        <v>0</v>
      </c>
      <c r="H907" s="2380"/>
      <c r="I907" s="2380"/>
      <c r="J907" s="2380"/>
      <c r="K907" s="2380"/>
    </row>
    <row r="910" spans="1:17">
      <c r="A910" s="2353" t="str">
        <f>CONCATENATE("PART EIGHT - THRESHOLD CRITERIA","  -  ",'Part I-Project Information'!$O$4," ",'Part I-Project Information'!$F$23,", ",'Part I-Project Information'!F936,", ",'Part I-Project Information'!J937," County")</f>
        <v>PART EIGHT - THRESHOLD CRITERIA  -  2014-006 North Grove Apartments, ,  County</v>
      </c>
      <c r="B910" s="2353"/>
      <c r="C910" s="2353"/>
      <c r="D910" s="2353"/>
      <c r="E910" s="2353"/>
      <c r="F910" s="2353"/>
      <c r="G910" s="2353"/>
      <c r="H910" s="2353"/>
      <c r="I910" s="2353"/>
      <c r="J910" s="2353"/>
      <c r="K910" s="2353"/>
      <c r="L910" s="2353"/>
      <c r="M910" s="2353"/>
      <c r="N910" s="2353"/>
      <c r="O910" s="2353"/>
      <c r="P910" s="2353"/>
      <c r="Q910" s="2353"/>
    </row>
    <row r="912" spans="1:17" ht="20.25">
      <c r="A912" s="2463" t="str">
        <f>'Part VIII-Threshold Criteria'!A3</f>
        <v>Preliminary Rating: Incomplete</v>
      </c>
      <c r="B912" s="2463"/>
      <c r="C912" s="2463"/>
      <c r="D912" s="2463"/>
      <c r="E912" s="2463"/>
      <c r="F912" s="2463"/>
      <c r="G912" s="2463"/>
      <c r="H912" s="2463" t="str">
        <f>'Part VIII-Threshold Criteria'!H3</f>
        <v/>
      </c>
      <c r="I912" s="2463"/>
      <c r="J912" s="2463"/>
      <c r="K912" s="2463"/>
      <c r="L912" s="2463"/>
      <c r="M912" s="2463"/>
      <c r="N912" s="2463"/>
      <c r="O912" s="2464" t="s">
        <v>990</v>
      </c>
      <c r="P912" s="2464"/>
      <c r="Q912" s="606" t="s">
        <v>1970</v>
      </c>
    </row>
    <row r="913" spans="1:17">
      <c r="A913" s="890"/>
      <c r="B913" s="2465"/>
      <c r="C913" s="2465"/>
      <c r="D913" s="2465"/>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599</v>
      </c>
      <c r="J915" s="890"/>
      <c r="K915" s="890"/>
      <c r="L915" s="890"/>
      <c r="M915" s="890"/>
      <c r="N915" s="890"/>
      <c r="P915" s="2466">
        <f>'Part VIII-Threshold Criteria'!P6</f>
        <v>0</v>
      </c>
      <c r="Q915" s="2466"/>
    </row>
    <row r="916" spans="1:17">
      <c r="A916" s="930" t="s">
        <v>290</v>
      </c>
      <c r="J916" s="890"/>
      <c r="K916" s="890"/>
      <c r="L916" s="890"/>
      <c r="M916" s="890"/>
      <c r="N916" s="890"/>
    </row>
    <row r="917" spans="1:17">
      <c r="A917" s="2333" t="str">
        <f>'Part VIII-Threshold Criteria'!A8</f>
        <v xml:space="preserve">1.) </v>
      </c>
      <c r="B917" s="2333"/>
      <c r="C917" s="2333"/>
      <c r="D917" s="2333"/>
      <c r="E917" s="2333"/>
      <c r="F917" s="2333"/>
      <c r="G917" s="2333"/>
      <c r="H917" s="2333"/>
      <c r="I917" s="2333"/>
      <c r="J917" s="2333"/>
      <c r="K917" s="2333"/>
      <c r="L917" s="2333"/>
      <c r="M917" s="2333"/>
      <c r="N917" s="2333"/>
      <c r="O917" s="2333"/>
      <c r="P917" s="2333"/>
      <c r="Q917" s="2333"/>
    </row>
    <row r="918" spans="1:17">
      <c r="A918" s="2333" t="str">
        <f>'Part VIII-Threshold Criteria'!A9</f>
        <v>2.)</v>
      </c>
      <c r="B918" s="2333"/>
      <c r="C918" s="2333"/>
      <c r="D918" s="2333"/>
      <c r="E918" s="2333"/>
      <c r="F918" s="2333"/>
      <c r="G918" s="2333"/>
      <c r="H918" s="2333"/>
      <c r="I918" s="2333"/>
      <c r="J918" s="2333"/>
      <c r="K918" s="2333"/>
      <c r="L918" s="2333"/>
      <c r="M918" s="2333"/>
      <c r="N918" s="2333"/>
      <c r="O918" s="2333"/>
      <c r="P918" s="2333"/>
      <c r="Q918" s="2333"/>
    </row>
    <row r="919" spans="1:17">
      <c r="A919" s="2333" t="str">
        <f>'Part VIII-Threshold Criteria'!A10</f>
        <v>3.)</v>
      </c>
      <c r="B919" s="2333"/>
      <c r="C919" s="2333"/>
      <c r="D919" s="2333"/>
      <c r="E919" s="2333"/>
      <c r="F919" s="2333"/>
      <c r="G919" s="2333"/>
      <c r="H919" s="2333"/>
      <c r="I919" s="2333"/>
      <c r="J919" s="2333"/>
      <c r="K919" s="2333"/>
      <c r="L919" s="2333"/>
      <c r="M919" s="2333"/>
      <c r="N919" s="2333"/>
      <c r="O919" s="2333"/>
      <c r="P919" s="2333"/>
      <c r="Q919" s="2333"/>
    </row>
    <row r="920" spans="1:17">
      <c r="A920" s="2333" t="str">
        <f>'Part VIII-Threshold Criteria'!A11</f>
        <v>4.)</v>
      </c>
      <c r="B920" s="2333"/>
      <c r="C920" s="2333"/>
      <c r="D920" s="2333"/>
      <c r="E920" s="2333"/>
      <c r="F920" s="2333"/>
      <c r="G920" s="2333"/>
      <c r="H920" s="2333"/>
      <c r="I920" s="2333"/>
      <c r="J920" s="2333"/>
      <c r="K920" s="2333"/>
      <c r="L920" s="2333"/>
      <c r="M920" s="2333"/>
      <c r="N920" s="2333"/>
      <c r="O920" s="2333"/>
      <c r="P920" s="2333"/>
      <c r="Q920" s="2333"/>
    </row>
    <row r="921" spans="1:17">
      <c r="A921" s="2333" t="str">
        <f>'Part VIII-Threshold Criteria'!A12</f>
        <v>5.)</v>
      </c>
      <c r="B921" s="2333"/>
      <c r="C921" s="2333"/>
      <c r="D921" s="2333"/>
      <c r="E921" s="2333"/>
      <c r="F921" s="2333"/>
      <c r="G921" s="2333"/>
      <c r="H921" s="2333"/>
      <c r="I921" s="2333"/>
      <c r="J921" s="2333"/>
      <c r="K921" s="2333"/>
      <c r="L921" s="2333"/>
      <c r="M921" s="2333"/>
      <c r="N921" s="2333"/>
      <c r="O921" s="2333"/>
      <c r="P921" s="2333"/>
      <c r="Q921" s="2333"/>
    </row>
    <row r="922" spans="1:17">
      <c r="A922" s="2333" t="str">
        <f>'Part VIII-Threshold Criteria'!A13</f>
        <v>6.)</v>
      </c>
      <c r="B922" s="2333"/>
      <c r="C922" s="2333"/>
      <c r="D922" s="2333"/>
      <c r="E922" s="2333"/>
      <c r="F922" s="2333"/>
      <c r="G922" s="2333"/>
      <c r="H922" s="2333"/>
      <c r="I922" s="2333"/>
      <c r="J922" s="2333"/>
      <c r="K922" s="2333"/>
      <c r="L922" s="2333"/>
      <c r="M922" s="2333"/>
      <c r="N922" s="2333"/>
      <c r="O922" s="2333"/>
      <c r="P922" s="2333"/>
      <c r="Q922" s="2333"/>
    </row>
    <row r="923" spans="1:17">
      <c r="A923" s="2333" t="str">
        <f>'Part VIII-Threshold Criteria'!A14</f>
        <v>7.)</v>
      </c>
      <c r="B923" s="2333"/>
      <c r="C923" s="2333"/>
      <c r="D923" s="2333"/>
      <c r="E923" s="2333"/>
      <c r="F923" s="2333"/>
      <c r="G923" s="2333"/>
      <c r="H923" s="2333"/>
      <c r="I923" s="2333"/>
      <c r="J923" s="2333"/>
      <c r="K923" s="2333"/>
      <c r="L923" s="2333"/>
      <c r="M923" s="2333"/>
      <c r="N923" s="2333"/>
      <c r="O923" s="2333"/>
      <c r="P923" s="2333"/>
      <c r="Q923" s="2333"/>
    </row>
    <row r="924" spans="1:17">
      <c r="A924" s="2333" t="str">
        <f>'Part VIII-Threshold Criteria'!A15</f>
        <v xml:space="preserve">8.) </v>
      </c>
      <c r="B924" s="2333"/>
      <c r="C924" s="2333"/>
      <c r="D924" s="2333"/>
      <c r="E924" s="2333"/>
      <c r="F924" s="2333"/>
      <c r="G924" s="2333"/>
      <c r="H924" s="2333"/>
      <c r="I924" s="2333"/>
      <c r="J924" s="2333"/>
      <c r="K924" s="2333"/>
      <c r="L924" s="2333"/>
      <c r="M924" s="2333"/>
      <c r="N924" s="2333"/>
      <c r="O924" s="2333"/>
      <c r="P924" s="2333"/>
      <c r="Q924" s="2333"/>
    </row>
    <row r="925" spans="1:17">
      <c r="A925" s="2333" t="str">
        <f>'Part VIII-Threshold Criteria'!A16</f>
        <v>9.)</v>
      </c>
      <c r="B925" s="2333"/>
      <c r="C925" s="2333"/>
      <c r="D925" s="2333"/>
      <c r="E925" s="2333"/>
      <c r="F925" s="2333"/>
      <c r="G925" s="2333"/>
      <c r="H925" s="2333"/>
      <c r="I925" s="2333"/>
      <c r="J925" s="2333"/>
      <c r="K925" s="2333"/>
      <c r="L925" s="2333"/>
      <c r="M925" s="2333"/>
      <c r="N925" s="2333"/>
      <c r="O925" s="2333"/>
      <c r="P925" s="2333"/>
      <c r="Q925" s="2333"/>
    </row>
    <row r="926" spans="1:17">
      <c r="A926" s="2333" t="str">
        <f>'Part VIII-Threshold Criteria'!A17</f>
        <v>10.)</v>
      </c>
      <c r="B926" s="2333"/>
      <c r="C926" s="2333"/>
      <c r="D926" s="2333"/>
      <c r="E926" s="2333"/>
      <c r="F926" s="2333"/>
      <c r="G926" s="2333"/>
      <c r="H926" s="2333"/>
      <c r="I926" s="2333"/>
      <c r="J926" s="2333"/>
      <c r="K926" s="2333"/>
      <c r="L926" s="2333"/>
      <c r="M926" s="2333"/>
      <c r="N926" s="2333"/>
      <c r="O926" s="2333"/>
      <c r="P926" s="2333"/>
      <c r="Q926" s="2333"/>
    </row>
    <row r="927" spans="1:17">
      <c r="A927" s="2333" t="str">
        <f>'Part VIII-Threshold Criteria'!A18</f>
        <v>11.)</v>
      </c>
      <c r="B927" s="2333"/>
      <c r="C927" s="2333"/>
      <c r="D927" s="2333"/>
      <c r="E927" s="2333"/>
      <c r="F927" s="2333"/>
      <c r="G927" s="2333"/>
      <c r="H927" s="2333"/>
      <c r="I927" s="2333"/>
      <c r="J927" s="2333"/>
      <c r="K927" s="2333"/>
      <c r="L927" s="2333"/>
      <c r="M927" s="2333"/>
      <c r="N927" s="2333"/>
      <c r="O927" s="2333"/>
      <c r="P927" s="2333"/>
      <c r="Q927" s="2333"/>
    </row>
    <row r="928" spans="1:17">
      <c r="A928" s="2333" t="str">
        <f>'Part VIII-Threshold Criteria'!A19</f>
        <v>12.)</v>
      </c>
      <c r="B928" s="2333"/>
      <c r="C928" s="2333"/>
      <c r="D928" s="2333"/>
      <c r="E928" s="2333"/>
      <c r="F928" s="2333"/>
      <c r="G928" s="2333"/>
      <c r="H928" s="2333"/>
      <c r="I928" s="2333"/>
      <c r="J928" s="2333"/>
      <c r="K928" s="2333"/>
      <c r="L928" s="2333"/>
      <c r="M928" s="2333"/>
      <c r="N928" s="2333"/>
      <c r="O928" s="2333"/>
      <c r="P928" s="2333"/>
      <c r="Q928" s="2333"/>
    </row>
    <row r="929" spans="1:17">
      <c r="A929" s="2333" t="str">
        <f>'Part VIII-Threshold Criteria'!A20</f>
        <v>13.)</v>
      </c>
      <c r="B929" s="2333"/>
      <c r="C929" s="2333"/>
      <c r="D929" s="2333"/>
      <c r="E929" s="2333"/>
      <c r="F929" s="2333"/>
      <c r="G929" s="2333"/>
      <c r="H929" s="2333"/>
      <c r="I929" s="2333"/>
      <c r="J929" s="2333"/>
      <c r="K929" s="2333"/>
      <c r="L929" s="2333"/>
      <c r="M929" s="2333"/>
      <c r="N929" s="2333"/>
      <c r="O929" s="2333"/>
      <c r="P929" s="2333"/>
      <c r="Q929" s="2333"/>
    </row>
    <row r="930" spans="1:17">
      <c r="A930" s="2333" t="str">
        <f>'Part VIII-Threshold Criteria'!A21</f>
        <v>14.)</v>
      </c>
      <c r="B930" s="2333"/>
      <c r="C930" s="2333"/>
      <c r="D930" s="2333"/>
      <c r="E930" s="2333"/>
      <c r="F930" s="2333"/>
      <c r="G930" s="2333"/>
      <c r="H930" s="2333"/>
      <c r="I930" s="2333"/>
      <c r="J930" s="2333"/>
      <c r="K930" s="2333"/>
      <c r="L930" s="2333"/>
      <c r="M930" s="2333"/>
      <c r="N930" s="2333"/>
      <c r="O930" s="2333"/>
      <c r="P930" s="2333"/>
      <c r="Q930" s="2333"/>
    </row>
    <row r="931" spans="1:17">
      <c r="A931" s="2333" t="str">
        <f>'Part VIII-Threshold Criteria'!A22</f>
        <v xml:space="preserve">15.) </v>
      </c>
      <c r="B931" s="2333"/>
      <c r="C931" s="2333"/>
      <c r="D931" s="2333"/>
      <c r="E931" s="2333"/>
      <c r="F931" s="2333"/>
      <c r="G931" s="2333"/>
      <c r="H931" s="2333"/>
      <c r="I931" s="2333"/>
      <c r="J931" s="2333"/>
      <c r="K931" s="2333"/>
      <c r="L931" s="2333"/>
      <c r="M931" s="2333"/>
      <c r="N931" s="2333"/>
      <c r="O931" s="2333"/>
      <c r="P931" s="2333"/>
      <c r="Q931" s="2333"/>
    </row>
    <row r="932" spans="1:17">
      <c r="A932" s="2333" t="str">
        <f>'Part VIII-Threshold Criteria'!A23</f>
        <v>16.)</v>
      </c>
      <c r="B932" s="2333"/>
      <c r="C932" s="2333"/>
      <c r="D932" s="2333"/>
      <c r="E932" s="2333"/>
      <c r="F932" s="2333"/>
      <c r="G932" s="2333"/>
      <c r="H932" s="2333"/>
      <c r="I932" s="2333"/>
      <c r="J932" s="2333"/>
      <c r="K932" s="2333"/>
      <c r="L932" s="2333"/>
      <c r="M932" s="2333"/>
      <c r="N932" s="2333"/>
      <c r="O932" s="2333"/>
      <c r="P932" s="2333"/>
      <c r="Q932" s="2333"/>
    </row>
    <row r="933" spans="1:17">
      <c r="A933" s="2333" t="str">
        <f>'Part VIII-Threshold Criteria'!A24</f>
        <v>17.)</v>
      </c>
      <c r="B933" s="2333"/>
      <c r="C933" s="2333"/>
      <c r="D933" s="2333"/>
      <c r="E933" s="2333"/>
      <c r="F933" s="2333"/>
      <c r="G933" s="2333"/>
      <c r="H933" s="2333"/>
      <c r="I933" s="2333"/>
      <c r="J933" s="2333"/>
      <c r="K933" s="2333"/>
      <c r="L933" s="2333"/>
      <c r="M933" s="2333"/>
      <c r="N933" s="2333"/>
      <c r="O933" s="2333"/>
      <c r="P933" s="2333"/>
      <c r="Q933" s="2333"/>
    </row>
    <row r="934" spans="1:17">
      <c r="A934" s="2333" t="str">
        <f>'Part VIII-Threshold Criteria'!A25</f>
        <v>18.)</v>
      </c>
      <c r="B934" s="2333"/>
      <c r="C934" s="2333"/>
      <c r="D934" s="2333"/>
      <c r="E934" s="2333"/>
      <c r="F934" s="2333"/>
      <c r="G934" s="2333"/>
      <c r="H934" s="2333"/>
      <c r="I934" s="2333"/>
      <c r="J934" s="2333"/>
      <c r="K934" s="2333"/>
      <c r="L934" s="2333"/>
      <c r="M934" s="2333"/>
      <c r="N934" s="2333"/>
      <c r="O934" s="2333"/>
      <c r="P934" s="2333"/>
      <c r="Q934" s="2333"/>
    </row>
    <row r="935" spans="1:17">
      <c r="A935" s="2333" t="str">
        <f>'Part VIII-Threshold Criteria'!A26</f>
        <v>19.)</v>
      </c>
      <c r="B935" s="2333"/>
      <c r="C935" s="2333"/>
      <c r="D935" s="2333"/>
      <c r="E935" s="2333"/>
      <c r="F935" s="2333"/>
      <c r="G935" s="2333"/>
      <c r="H935" s="2333"/>
      <c r="I935" s="2333"/>
      <c r="J935" s="2333"/>
      <c r="K935" s="2333"/>
      <c r="L935" s="2333"/>
      <c r="M935" s="2333"/>
      <c r="N935" s="2333"/>
      <c r="O935" s="2333"/>
      <c r="P935" s="2333"/>
      <c r="Q935" s="2333"/>
    </row>
    <row r="936" spans="1:17">
      <c r="A936" s="2333" t="str">
        <f>'Part VIII-Threshold Criteria'!A27</f>
        <v>20.)</v>
      </c>
      <c r="B936" s="2333"/>
      <c r="C936" s="2333"/>
      <c r="D936" s="2333"/>
      <c r="E936" s="2333"/>
      <c r="F936" s="2333"/>
      <c r="G936" s="2333"/>
      <c r="H936" s="2333"/>
      <c r="I936" s="2333"/>
      <c r="J936" s="2333"/>
      <c r="K936" s="2333"/>
      <c r="L936" s="2333"/>
      <c r="M936" s="2333"/>
      <c r="N936" s="2333"/>
      <c r="O936" s="2333"/>
      <c r="P936" s="2333"/>
      <c r="Q936" s="2333"/>
    </row>
    <row r="938" spans="1:17">
      <c r="A938" s="931">
        <v>1</v>
      </c>
      <c r="B938" s="932" t="s">
        <v>2847</v>
      </c>
      <c r="C938" s="933"/>
      <c r="D938" s="934"/>
      <c r="E938" s="934"/>
      <c r="F938" s="934"/>
      <c r="G938" s="934"/>
      <c r="I938" s="935"/>
      <c r="J938" s="935"/>
      <c r="K938" s="935"/>
      <c r="L938" s="890"/>
      <c r="M938" s="890"/>
      <c r="O938" s="936" t="s">
        <v>1996</v>
      </c>
      <c r="P938" s="2327">
        <f>'Part VIII-Threshold Criteria'!P29</f>
        <v>0</v>
      </c>
      <c r="Q938" s="2327"/>
    </row>
    <row r="940" spans="1:17">
      <c r="B940" s="937" t="s">
        <v>2117</v>
      </c>
      <c r="C940" s="584" t="s">
        <v>3517</v>
      </c>
      <c r="E940" s="938"/>
      <c r="F940" s="938"/>
      <c r="G940" s="938"/>
      <c r="H940" s="938"/>
      <c r="I940" s="583"/>
      <c r="J940" s="583"/>
      <c r="K940" s="583"/>
      <c r="L940" s="583"/>
      <c r="M940" s="583"/>
      <c r="O940" s="939" t="s">
        <v>634</v>
      </c>
      <c r="P940" s="960" t="str">
        <f>'Part VIII-Threshold Criteria'!P31</f>
        <v>No</v>
      </c>
      <c r="Q940" s="960">
        <f>'Part VIII-Threshold Criteria'!Q31</f>
        <v>0</v>
      </c>
    </row>
    <row r="941" spans="1:17">
      <c r="B941" s="940" t="s">
        <v>2120</v>
      </c>
      <c r="C941" s="584" t="s">
        <v>765</v>
      </c>
      <c r="E941" s="938"/>
      <c r="F941" s="938"/>
      <c r="G941" s="938"/>
      <c r="H941" s="938"/>
      <c r="J941" s="2327" t="str">
        <f>'Part VIII-Threshold Criteria'!J32</f>
        <v>&lt;&lt; Select &gt;&gt;</v>
      </c>
      <c r="K941" s="2327"/>
      <c r="L941" s="2327"/>
      <c r="M941" s="2327"/>
      <c r="N941" s="2327"/>
      <c r="O941" s="939"/>
      <c r="P941" s="939"/>
      <c r="Q941" s="939"/>
    </row>
    <row r="942" spans="1:17">
      <c r="B942" s="941" t="s">
        <v>1994</v>
      </c>
      <c r="C942" s="941"/>
      <c r="D942" s="941"/>
      <c r="E942" s="941"/>
      <c r="F942" s="941"/>
      <c r="G942" s="935"/>
      <c r="H942" s="935"/>
      <c r="I942" s="935"/>
      <c r="J942" s="935"/>
      <c r="K942" s="890"/>
      <c r="L942" s="890"/>
      <c r="M942" s="890"/>
      <c r="N942" s="890"/>
      <c r="O942" s="890"/>
      <c r="P942" s="890"/>
    </row>
    <row r="943" spans="1:17">
      <c r="A943" s="2319">
        <f>'Part VIII-Threshold Criteria'!A34</f>
        <v>0</v>
      </c>
      <c r="B943" s="2319"/>
      <c r="C943" s="2319"/>
      <c r="D943" s="2319"/>
      <c r="E943" s="2319"/>
      <c r="F943" s="2319"/>
      <c r="G943" s="2319"/>
      <c r="H943" s="2319"/>
      <c r="I943" s="2319"/>
      <c r="J943" s="2319"/>
      <c r="K943" s="2319"/>
      <c r="L943" s="2319"/>
      <c r="M943" s="2319"/>
      <c r="N943" s="2319"/>
      <c r="O943" s="2319"/>
      <c r="P943" s="2319"/>
      <c r="Q943" s="2319"/>
    </row>
    <row r="944" spans="1:17">
      <c r="B944" s="942" t="s">
        <v>1995</v>
      </c>
      <c r="C944" s="943"/>
      <c r="D944" s="944"/>
      <c r="E944" s="944"/>
      <c r="F944" s="944"/>
      <c r="G944" s="944"/>
      <c r="H944" s="944"/>
      <c r="I944" s="944"/>
      <c r="J944" s="944"/>
      <c r="K944" s="944"/>
      <c r="L944" s="944"/>
      <c r="M944" s="944"/>
      <c r="N944" s="944"/>
      <c r="O944" s="944"/>
      <c r="P944" s="944"/>
    </row>
    <row r="945" spans="1:17">
      <c r="A945" s="2333">
        <f>'Part VIII-Threshold Criteria'!A36</f>
        <v>0</v>
      </c>
      <c r="B945" s="2333"/>
      <c r="C945" s="2333"/>
      <c r="D945" s="2333"/>
      <c r="E945" s="2333"/>
      <c r="F945" s="2333"/>
      <c r="G945" s="2333"/>
      <c r="H945" s="2333"/>
      <c r="I945" s="2333"/>
      <c r="J945" s="2333"/>
      <c r="K945" s="2333"/>
      <c r="L945" s="2333"/>
      <c r="M945" s="2333"/>
      <c r="N945" s="2333"/>
      <c r="O945" s="2333"/>
      <c r="P945" s="2333"/>
      <c r="Q945" s="2333"/>
    </row>
    <row r="946" spans="1:17">
      <c r="A946" s="2333">
        <f>'Part VIII-Threshold Criteria'!A37</f>
        <v>0</v>
      </c>
      <c r="B946" s="2333"/>
      <c r="C946" s="2333"/>
      <c r="D946" s="2333"/>
      <c r="E946" s="2333"/>
      <c r="F946" s="2333"/>
      <c r="G946" s="2333"/>
      <c r="H946" s="2333"/>
      <c r="I946" s="2333"/>
      <c r="J946" s="2333"/>
      <c r="K946" s="2333"/>
      <c r="L946" s="2333"/>
      <c r="M946" s="2333"/>
      <c r="N946" s="2333"/>
      <c r="O946" s="2333"/>
      <c r="P946" s="2333"/>
      <c r="Q946" s="2333"/>
    </row>
    <row r="947" spans="1:17">
      <c r="A947" s="2333">
        <f>'Part VIII-Threshold Criteria'!A38</f>
        <v>0</v>
      </c>
      <c r="B947" s="2333"/>
      <c r="C947" s="2333"/>
      <c r="D947" s="2333"/>
      <c r="E947" s="2333"/>
      <c r="F947" s="2333"/>
      <c r="G947" s="2333"/>
      <c r="H947" s="2333"/>
      <c r="I947" s="2333"/>
      <c r="J947" s="2333"/>
      <c r="K947" s="2333"/>
      <c r="L947" s="2333"/>
      <c r="M947" s="2333"/>
      <c r="N947" s="2333"/>
      <c r="O947" s="2333"/>
      <c r="P947" s="2333"/>
      <c r="Q947" s="2333"/>
    </row>
    <row r="948" spans="1:17">
      <c r="A948" s="2333">
        <f>'Part VIII-Threshold Criteria'!A39</f>
        <v>0</v>
      </c>
      <c r="B948" s="2333"/>
      <c r="C948" s="2333"/>
      <c r="D948" s="2333"/>
      <c r="E948" s="2333"/>
      <c r="F948" s="2333"/>
      <c r="G948" s="2333"/>
      <c r="H948" s="2333"/>
      <c r="I948" s="2333"/>
      <c r="J948" s="2333"/>
      <c r="K948" s="2333"/>
      <c r="L948" s="2333"/>
      <c r="M948" s="2333"/>
      <c r="N948" s="2333"/>
      <c r="O948" s="2333"/>
      <c r="P948" s="2333"/>
      <c r="Q948" s="2333"/>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2953</v>
      </c>
      <c r="C950" s="586"/>
      <c r="D950" s="586"/>
      <c r="E950" s="944"/>
      <c r="F950" s="944"/>
      <c r="G950" s="944"/>
      <c r="H950" s="944"/>
      <c r="K950" s="944"/>
      <c r="L950" s="944"/>
      <c r="M950" s="944"/>
      <c r="O950" s="936" t="s">
        <v>1996</v>
      </c>
      <c r="P950" s="2327">
        <f>'Part VIII-Threshold Criteria'!P41</f>
        <v>0</v>
      </c>
      <c r="Q950" s="2327"/>
    </row>
    <row r="951" spans="1:17">
      <c r="K951" s="944"/>
      <c r="L951" s="944"/>
    </row>
    <row r="952" spans="1:17" ht="13.5">
      <c r="A952" s="2453" t="s">
        <v>3676</v>
      </c>
      <c r="B952" s="2453"/>
      <c r="C952" s="2453"/>
      <c r="D952" s="2453"/>
      <c r="E952" s="2453"/>
      <c r="F952" s="2451" t="s">
        <v>2960</v>
      </c>
      <c r="G952" s="2451"/>
      <c r="H952" s="2451"/>
      <c r="I952" s="2451"/>
      <c r="K952" s="2451" t="s">
        <v>2962</v>
      </c>
      <c r="L952" s="2451"/>
      <c r="M952" s="2451"/>
      <c r="N952" s="2451"/>
      <c r="P952" s="945" t="s">
        <v>3005</v>
      </c>
      <c r="Q952" s="960" t="str">
        <f>'Part VIII-Threshold Criteria'!Q43</f>
        <v>Yes</v>
      </c>
    </row>
    <row r="953" spans="1:17">
      <c r="A953" s="2453"/>
      <c r="B953" s="2453"/>
      <c r="C953" s="2453"/>
      <c r="D953" s="2453"/>
      <c r="E953" s="2453"/>
      <c r="F953" s="2451" t="s">
        <v>2961</v>
      </c>
      <c r="G953" s="2451"/>
      <c r="H953" s="2451"/>
      <c r="I953" s="2451"/>
      <c r="K953" s="2451" t="s">
        <v>2963</v>
      </c>
      <c r="L953" s="2451"/>
      <c r="M953" s="2451"/>
      <c r="N953" s="2451"/>
    </row>
    <row r="954" spans="1:17">
      <c r="A954" s="2453"/>
      <c r="B954" s="2453"/>
      <c r="C954" s="2453"/>
      <c r="D954" s="2453"/>
      <c r="E954" s="2453"/>
      <c r="F954" s="2454" t="s">
        <v>2957</v>
      </c>
      <c r="G954" s="2454"/>
      <c r="H954" s="2454"/>
      <c r="I954" s="2454"/>
      <c r="K954" s="2451" t="s">
        <v>2959</v>
      </c>
      <c r="L954" s="2451"/>
      <c r="M954" s="2451"/>
      <c r="N954" s="2451"/>
      <c r="P954" s="2455" t="s">
        <v>3213</v>
      </c>
      <c r="Q954" s="2455"/>
    </row>
    <row r="955" spans="1:17">
      <c r="A955" s="2453"/>
      <c r="B955" s="2453"/>
      <c r="C955" s="2453"/>
      <c r="D955" s="2453"/>
      <c r="E955" s="2453"/>
      <c r="F955" s="2456" t="s">
        <v>2973</v>
      </c>
      <c r="G955" s="946"/>
      <c r="I955" s="2456" t="s">
        <v>2972</v>
      </c>
      <c r="K955" s="2456" t="s">
        <v>2973</v>
      </c>
      <c r="M955" s="944"/>
      <c r="N955" s="2456" t="s">
        <v>2972</v>
      </c>
      <c r="O955" s="944"/>
      <c r="P955" s="2455"/>
      <c r="Q955" s="2455"/>
    </row>
    <row r="956" spans="1:17">
      <c r="A956" s="947"/>
      <c r="D956" s="1063" t="s">
        <v>2956</v>
      </c>
      <c r="F956" s="2456"/>
      <c r="G956" s="1064" t="s">
        <v>2958</v>
      </c>
      <c r="I956" s="2456"/>
      <c r="K956" s="2456"/>
      <c r="L956" s="1064" t="s">
        <v>2958</v>
      </c>
      <c r="N956" s="2456"/>
      <c r="O956" s="944"/>
      <c r="P956" s="2462">
        <f>'Part VIII-Threshold Criteria'!P47</f>
        <v>21517016</v>
      </c>
      <c r="Q956" s="2462"/>
    </row>
    <row r="957" spans="1:17" ht="13.5">
      <c r="A957" s="947"/>
      <c r="D957" s="1065" t="s">
        <v>600</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50" t="s">
        <v>2999</v>
      </c>
      <c r="Q957" s="2350"/>
    </row>
    <row r="958" spans="1:17" ht="13.5">
      <c r="A958" s="947"/>
      <c r="D958" s="1065" t="s">
        <v>2954</v>
      </c>
      <c r="F958" s="948">
        <f>'Part VIII-Threshold Criteria'!F49</f>
        <v>20</v>
      </c>
      <c r="G958" s="1066">
        <f>'DCA Underwriting Assumptions'!$K$12</f>
        <v>126647</v>
      </c>
      <c r="H958" s="949" t="str">
        <f>CONCATENATE("x ", F958," units = ")</f>
        <v xml:space="preserve">x 20 units = </v>
      </c>
      <c r="I958" s="950">
        <f>F958*G958</f>
        <v>2532940</v>
      </c>
      <c r="K958" s="948">
        <f>'Part VIII-Threshold Criteria'!K49</f>
        <v>0</v>
      </c>
      <c r="L958" s="1066">
        <f>'DCA Underwriting Assumptions'!$K$13</f>
        <v>139312</v>
      </c>
      <c r="M958" s="949" t="str">
        <f>CONCATENATE("x ", K958," units = ")</f>
        <v xml:space="preserve">x 0 units = </v>
      </c>
      <c r="N958" s="950">
        <f>K958*L958</f>
        <v>0</v>
      </c>
      <c r="O958" s="944"/>
      <c r="P958" s="2350"/>
      <c r="Q958" s="2350"/>
    </row>
    <row r="959" spans="1:17" ht="13.5">
      <c r="A959" s="947"/>
      <c r="D959" s="1065" t="s">
        <v>2955</v>
      </c>
      <c r="F959" s="948">
        <f>'Part VIII-Threshold Criteria'!F50</f>
        <v>56</v>
      </c>
      <c r="G959" s="1066">
        <f>'DCA Underwriting Assumptions'!$L$12</f>
        <v>154003</v>
      </c>
      <c r="H959" s="949" t="str">
        <f>CONCATENATE("x ", F959," units = ")</f>
        <v xml:space="preserve">x 56 units = </v>
      </c>
      <c r="I959" s="950">
        <f>F959*G959</f>
        <v>8624168</v>
      </c>
      <c r="K959" s="948">
        <f>'Part VIII-Threshold Criteria'!K50</f>
        <v>0</v>
      </c>
      <c r="L959" s="1066">
        <f>'DCA Underwriting Assumptions'!$L$13</f>
        <v>169403</v>
      </c>
      <c r="M959" s="949" t="str">
        <f>CONCATENATE("x ", K959," units = ")</f>
        <v xml:space="preserve">x 0 units = </v>
      </c>
      <c r="N959" s="950">
        <f>K959*L959</f>
        <v>0</v>
      </c>
      <c r="O959" s="944"/>
      <c r="P959" s="2350"/>
      <c r="Q959" s="2350"/>
    </row>
    <row r="960" spans="1:17" ht="13.5">
      <c r="A960" s="947"/>
      <c r="D960" s="1065" t="s">
        <v>2964</v>
      </c>
      <c r="F960" s="948">
        <f>'Part VIII-Threshold Criteria'!F51</f>
        <v>52</v>
      </c>
      <c r="G960" s="1066">
        <f>'DCA Underwriting Assumptions'!$M$12</f>
        <v>199229</v>
      </c>
      <c r="H960" s="949" t="str">
        <f>CONCATENATE("x ", F960," units = ")</f>
        <v xml:space="preserve">x 52 units = </v>
      </c>
      <c r="I960" s="950">
        <f>F960*G960</f>
        <v>10359908</v>
      </c>
      <c r="K960" s="948">
        <f>'Part VIII-Threshold Criteria'!K51</f>
        <v>0</v>
      </c>
      <c r="L960" s="1066">
        <f>'DCA Underwriting Assumptions'!$M$13</f>
        <v>219152</v>
      </c>
      <c r="M960" s="949" t="str">
        <f>CONCATENATE("x ", K960," units = ")</f>
        <v xml:space="preserve">x 0 units = </v>
      </c>
      <c r="N960" s="950">
        <f>K960*L960</f>
        <v>0</v>
      </c>
      <c r="O960" s="944"/>
      <c r="P960" s="2350"/>
      <c r="Q960" s="2350"/>
    </row>
    <row r="961" spans="1:17" ht="13.5">
      <c r="A961" s="947"/>
      <c r="D961" s="1065" t="s">
        <v>2965</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50"/>
      <c r="Q961" s="2350"/>
    </row>
    <row r="962" spans="1:17" ht="13.5">
      <c r="A962" s="947"/>
      <c r="C962" s="946"/>
      <c r="D962" s="951" t="s">
        <v>2966</v>
      </c>
      <c r="F962" s="952">
        <f>SUM(F957:F961)</f>
        <v>128</v>
      </c>
      <c r="G962" s="1067"/>
      <c r="H962" s="948"/>
      <c r="I962" s="950">
        <f>SUM(I957:I961)</f>
        <v>21517016</v>
      </c>
      <c r="K962" s="952">
        <f>SUM(K957:K961)</f>
        <v>0</v>
      </c>
      <c r="M962" s="948"/>
      <c r="N962" s="950">
        <f>SUM(N957:N961)</f>
        <v>0</v>
      </c>
      <c r="O962" s="944"/>
      <c r="P962" s="2431">
        <f>IF('Part IV-Uses of Funds'!$G$130&gt;P956,"CHECK TDC !!!",0)</f>
        <v>0</v>
      </c>
      <c r="Q962" s="2431"/>
    </row>
    <row r="963" spans="1:17">
      <c r="A963" s="947"/>
      <c r="C963" s="946"/>
      <c r="E963" s="566"/>
      <c r="F963" s="1067"/>
      <c r="G963" s="566"/>
      <c r="I963" s="566"/>
      <c r="J963" s="566"/>
      <c r="K963" s="944"/>
      <c r="L963" s="1068"/>
      <c r="M963" s="944"/>
      <c r="N963" s="944"/>
      <c r="O963" s="944"/>
      <c r="P963" s="944"/>
      <c r="Q963" s="944"/>
    </row>
    <row r="964" spans="1:17">
      <c r="B964" s="953" t="s">
        <v>1994</v>
      </c>
      <c r="D964" s="953"/>
      <c r="E964" s="953"/>
      <c r="F964" s="953"/>
      <c r="G964" s="953"/>
      <c r="H964" s="938"/>
      <c r="I964" s="935"/>
      <c r="J964" s="935"/>
      <c r="K964" s="942" t="s">
        <v>1995</v>
      </c>
      <c r="L964" s="890"/>
      <c r="M964" s="890"/>
      <c r="N964" s="890"/>
      <c r="O964" s="890"/>
      <c r="P964" s="890"/>
      <c r="Q964" s="890"/>
    </row>
    <row r="965" spans="1:17">
      <c r="A965" s="2319">
        <f>'Part VIII-Threshold Criteria'!A56</f>
        <v>0</v>
      </c>
      <c r="B965" s="2319"/>
      <c r="C965" s="2319"/>
      <c r="D965" s="2319"/>
      <c r="E965" s="2319"/>
      <c r="F965" s="2319"/>
      <c r="G965" s="2319"/>
      <c r="H965" s="2319"/>
      <c r="I965" s="2319"/>
      <c r="J965" s="2319"/>
      <c r="K965" s="2319">
        <f>'Part VIII-Threshold Criteria'!K56</f>
        <v>0</v>
      </c>
      <c r="L965" s="2319"/>
      <c r="M965" s="2319"/>
      <c r="N965" s="2319"/>
      <c r="O965" s="2319"/>
      <c r="P965" s="2319"/>
      <c r="Q965" s="2319"/>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1261</v>
      </c>
      <c r="C967" s="586"/>
      <c r="D967" s="586"/>
      <c r="E967" s="944"/>
      <c r="F967" s="944"/>
      <c r="G967" s="944"/>
      <c r="H967" s="944"/>
      <c r="M967" s="944"/>
      <c r="O967" s="936" t="s">
        <v>1996</v>
      </c>
      <c r="P967" s="2327">
        <f>'Part VIII-Threshold Criteria'!P58</f>
        <v>0</v>
      </c>
      <c r="Q967" s="2327"/>
    </row>
    <row r="969" spans="1:17">
      <c r="A969" s="947"/>
      <c r="C969" s="946" t="s">
        <v>102</v>
      </c>
      <c r="D969" s="946"/>
      <c r="E969" s="946"/>
      <c r="F969" s="946"/>
      <c r="G969" s="946"/>
      <c r="H969" s="946"/>
      <c r="K969" s="2452" t="str">
        <f>'Part VIII-Threshold Criteria'!K60</f>
        <v>Family</v>
      </c>
      <c r="L969" s="2452"/>
      <c r="M969" s="2452"/>
      <c r="N969" s="944"/>
    </row>
    <row r="970" spans="1:17">
      <c r="B970" s="953" t="s">
        <v>1994</v>
      </c>
      <c r="D970" s="953"/>
      <c r="E970" s="953"/>
      <c r="F970" s="953"/>
      <c r="G970" s="953"/>
      <c r="H970" s="938"/>
      <c r="I970" s="935"/>
      <c r="J970" s="935"/>
      <c r="K970" s="942" t="s">
        <v>1995</v>
      </c>
      <c r="L970" s="890"/>
      <c r="M970" s="890"/>
      <c r="N970" s="890"/>
      <c r="O970" s="890"/>
      <c r="P970" s="890"/>
      <c r="Q970" s="890"/>
    </row>
    <row r="971" spans="1:17">
      <c r="A971" s="2319">
        <f>'Part VIII-Threshold Criteria'!A62</f>
        <v>0</v>
      </c>
      <c r="B971" s="2319"/>
      <c r="C971" s="2319"/>
      <c r="D971" s="2319"/>
      <c r="E971" s="2319"/>
      <c r="F971" s="2319"/>
      <c r="G971" s="2319"/>
      <c r="H971" s="2319"/>
      <c r="I971" s="2319"/>
      <c r="J971" s="2319"/>
      <c r="K971" s="2319">
        <f>'Part VIII-Threshold Criteria'!K62</f>
        <v>0</v>
      </c>
      <c r="L971" s="2319"/>
      <c r="M971" s="2319"/>
      <c r="N971" s="2319"/>
      <c r="O971" s="2319"/>
      <c r="P971" s="2319"/>
      <c r="Q971" s="2319"/>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2848</v>
      </c>
      <c r="C973" s="954"/>
      <c r="D973" s="944"/>
      <c r="E973" s="944"/>
      <c r="F973" s="944"/>
      <c r="G973" s="944"/>
      <c r="H973" s="944"/>
      <c r="I973" s="944"/>
      <c r="J973" s="944"/>
      <c r="K973" s="944"/>
      <c r="L973" s="944"/>
      <c r="M973" s="944"/>
      <c r="O973" s="936" t="s">
        <v>1996</v>
      </c>
      <c r="P973" s="2327">
        <f>'Part VIII-Threshold Criteria'!P64</f>
        <v>0</v>
      </c>
      <c r="Q973" s="2327"/>
    </row>
    <row r="975" spans="1:17">
      <c r="B975" s="937" t="s">
        <v>2117</v>
      </c>
      <c r="C975" s="2319" t="s">
        <v>3677</v>
      </c>
      <c r="D975" s="2319"/>
      <c r="E975" s="2319"/>
      <c r="F975" s="2319"/>
      <c r="G975" s="2319"/>
      <c r="H975" s="2319"/>
      <c r="I975" s="2319"/>
      <c r="J975" s="2319"/>
      <c r="K975" s="2319"/>
      <c r="L975" s="2319"/>
      <c r="M975" s="2319"/>
      <c r="O975" s="955"/>
      <c r="P975" s="960" t="str">
        <f>'Part VIII-Threshold Criteria'!P66</f>
        <v>Agree</v>
      </c>
    </row>
    <row r="976" spans="1:17">
      <c r="B976" s="940" t="s">
        <v>2120</v>
      </c>
      <c r="C976" s="938" t="s">
        <v>2974</v>
      </c>
      <c r="D976" s="938"/>
      <c r="E976" s="938"/>
      <c r="F976" s="938"/>
      <c r="G976" s="938"/>
      <c r="H976" s="938"/>
      <c r="I976" s="938"/>
      <c r="J976" s="938"/>
      <c r="K976" s="938"/>
      <c r="L976" s="938"/>
      <c r="M976" s="938"/>
      <c r="O976" s="938"/>
      <c r="P976" s="938"/>
      <c r="Q976" s="938"/>
    </row>
    <row r="977" spans="1:17">
      <c r="A977" s="956"/>
      <c r="B977" s="583"/>
      <c r="C977" s="939" t="s">
        <v>1858</v>
      </c>
      <c r="D977" s="938" t="s">
        <v>610</v>
      </c>
      <c r="E977" s="901"/>
      <c r="F977" s="901"/>
      <c r="G977" s="901"/>
      <c r="H977" s="583"/>
      <c r="I977" s="583"/>
      <c r="J977" s="584" t="s">
        <v>2944</v>
      </c>
      <c r="K977" s="2354" t="str">
        <f>'Part VIII-Threshold Criteria'!K68</f>
        <v>Birthday parties, Holiday theme parties, resident forums, etc.</v>
      </c>
      <c r="L977" s="2354"/>
      <c r="M977" s="2354"/>
      <c r="N977" s="2354"/>
      <c r="O977" s="2354"/>
      <c r="P977" s="2354"/>
      <c r="Q977" s="938"/>
    </row>
    <row r="978" spans="1:17">
      <c r="A978" s="956"/>
      <c r="B978" s="583"/>
      <c r="C978" s="939" t="s">
        <v>1859</v>
      </c>
      <c r="D978" s="938" t="s">
        <v>1934</v>
      </c>
      <c r="E978" s="901"/>
      <c r="F978" s="901"/>
      <c r="G978" s="901"/>
      <c r="H978" s="583"/>
      <c r="I978" s="583"/>
      <c r="J978" s="584" t="s">
        <v>2944</v>
      </c>
      <c r="K978" s="2354">
        <f>'Part VIII-Threshold Criteria'!K69</f>
        <v>0</v>
      </c>
      <c r="L978" s="2354"/>
      <c r="M978" s="2354"/>
      <c r="N978" s="2354"/>
      <c r="O978" s="2354"/>
      <c r="P978" s="2354"/>
      <c r="Q978" s="938"/>
    </row>
    <row r="979" spans="1:17">
      <c r="A979" s="956"/>
      <c r="B979" s="583"/>
      <c r="C979" s="939" t="s">
        <v>1860</v>
      </c>
      <c r="D979" s="938" t="s">
        <v>323</v>
      </c>
      <c r="E979" s="901"/>
      <c r="J979" s="584" t="s">
        <v>2944</v>
      </c>
      <c r="K979" s="2354">
        <f>'Part VIII-Threshold Criteria'!K70</f>
        <v>0</v>
      </c>
      <c r="L979" s="2354"/>
      <c r="M979" s="2354"/>
      <c r="N979" s="2354"/>
      <c r="O979" s="2354"/>
      <c r="P979" s="2354"/>
      <c r="Q979" s="938"/>
    </row>
    <row r="980" spans="1:17">
      <c r="B980" s="953" t="s">
        <v>1994</v>
      </c>
      <c r="D980" s="953"/>
      <c r="E980" s="953"/>
      <c r="F980" s="953"/>
      <c r="G980" s="953"/>
      <c r="H980" s="938"/>
      <c r="I980" s="935"/>
      <c r="J980" s="935"/>
      <c r="K980" s="935"/>
      <c r="L980" s="890"/>
      <c r="M980" s="890"/>
      <c r="N980" s="890"/>
      <c r="O980" s="890"/>
      <c r="P980" s="890"/>
      <c r="Q980" s="890"/>
    </row>
    <row r="981" spans="1:17">
      <c r="A981" s="2319" t="str">
        <f>'Part VIII-Threshold Criteria'!A72</f>
        <v>LEDIC Management will identify the needs of the community and provide Social and Recreational Programming. Some examples that will be provided are the following, Birthday parties, Holiday Theme parties, Resident Forums, etc.</v>
      </c>
      <c r="B981" s="2319"/>
      <c r="C981" s="2319"/>
      <c r="D981" s="2319"/>
      <c r="E981" s="2319"/>
      <c r="F981" s="2319"/>
      <c r="G981" s="2319"/>
      <c r="H981" s="2319"/>
      <c r="I981" s="2319"/>
      <c r="J981" s="2319"/>
      <c r="K981" s="2319"/>
      <c r="L981" s="2319"/>
      <c r="M981" s="2319"/>
      <c r="N981" s="2319"/>
      <c r="O981" s="2319"/>
      <c r="P981" s="2319"/>
      <c r="Q981" s="2319"/>
    </row>
    <row r="982" spans="1:17">
      <c r="B982" s="942" t="s">
        <v>1995</v>
      </c>
      <c r="C982" s="943"/>
      <c r="D982" s="944"/>
      <c r="E982" s="944"/>
      <c r="F982" s="944"/>
      <c r="G982" s="944"/>
      <c r="H982" s="944"/>
      <c r="I982" s="944"/>
      <c r="J982" s="944"/>
      <c r="K982" s="944"/>
      <c r="L982" s="944"/>
      <c r="M982" s="944"/>
      <c r="N982" s="944"/>
      <c r="O982" s="944"/>
      <c r="P982" s="944"/>
      <c r="Q982" s="944"/>
    </row>
    <row r="983" spans="1:17">
      <c r="A983" s="2333">
        <f>'Part VIII-Threshold Criteria'!A74</f>
        <v>0</v>
      </c>
      <c r="B983" s="2333"/>
      <c r="C983" s="2333"/>
      <c r="D983" s="2333"/>
      <c r="E983" s="2333"/>
      <c r="F983" s="2333"/>
      <c r="G983" s="2333"/>
      <c r="H983" s="2333"/>
      <c r="I983" s="2333"/>
      <c r="J983" s="2333"/>
      <c r="K983" s="2333"/>
      <c r="L983" s="2333"/>
      <c r="M983" s="2333"/>
      <c r="N983" s="2333"/>
      <c r="O983" s="2333"/>
      <c r="P983" s="2333"/>
      <c r="Q983" s="2333"/>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2849</v>
      </c>
      <c r="C985" s="885"/>
      <c r="D985" s="944"/>
      <c r="E985" s="944"/>
      <c r="F985" s="944"/>
      <c r="G985" s="944"/>
      <c r="H985" s="944"/>
      <c r="I985" s="944"/>
      <c r="J985" s="944"/>
      <c r="K985" s="944"/>
      <c r="O985" s="936" t="s">
        <v>1996</v>
      </c>
      <c r="P985" s="2327">
        <f>'Part VIII-Threshold Criteria'!P76</f>
        <v>0</v>
      </c>
      <c r="Q985" s="2327"/>
    </row>
    <row r="987" spans="1:17">
      <c r="B987" s="940" t="s">
        <v>2117</v>
      </c>
      <c r="C987" s="566" t="s">
        <v>2625</v>
      </c>
      <c r="D987" s="903"/>
      <c r="E987" s="903"/>
      <c r="F987" s="903"/>
      <c r="G987" s="903"/>
      <c r="H987" s="903"/>
      <c r="I987" s="583"/>
      <c r="J987" s="583"/>
      <c r="K987" s="583"/>
      <c r="L987" s="939" t="s">
        <v>2117</v>
      </c>
      <c r="M987" s="2354" t="str">
        <f>'Part VIII-Threshold Criteria'!M78</f>
        <v>Real Property Research Group</v>
      </c>
      <c r="N987" s="2354"/>
      <c r="O987" s="2354"/>
      <c r="P987" s="2457"/>
      <c r="Q987" s="960">
        <f>'Part VIII-Threshold Criteria'!Q78</f>
        <v>0</v>
      </c>
    </row>
    <row r="988" spans="1:17">
      <c r="B988" s="940" t="s">
        <v>2120</v>
      </c>
      <c r="C988" s="584" t="s">
        <v>2172</v>
      </c>
      <c r="D988" s="903"/>
      <c r="E988" s="903"/>
      <c r="F988" s="903"/>
      <c r="L988" s="939" t="s">
        <v>2120</v>
      </c>
      <c r="M988" s="2354" t="str">
        <f>'Part VIII-Threshold Criteria'!M79</f>
        <v>2-3 Months</v>
      </c>
      <c r="N988" s="2354"/>
      <c r="O988" s="2354"/>
      <c r="P988" s="2457"/>
      <c r="Q988" s="960">
        <f>'Part VIII-Threshold Criteria'!Q79</f>
        <v>0</v>
      </c>
    </row>
    <row r="989" spans="1:17">
      <c r="B989" s="940" t="s">
        <v>798</v>
      </c>
      <c r="C989" s="584" t="s">
        <v>3518</v>
      </c>
      <c r="D989" s="903"/>
      <c r="E989" s="903"/>
      <c r="F989" s="903"/>
      <c r="L989" s="939" t="s">
        <v>798</v>
      </c>
      <c r="M989" s="2458">
        <f>'Part VIII-Threshold Criteria'!M80</f>
        <v>0.97399999999999998</v>
      </c>
      <c r="N989" s="2458"/>
      <c r="O989" s="2458"/>
      <c r="P989" s="2459"/>
      <c r="Q989" s="960">
        <f>'Part VIII-Threshold Criteria'!Q80</f>
        <v>0</v>
      </c>
    </row>
    <row r="990" spans="1:17">
      <c r="B990" s="940" t="s">
        <v>2252</v>
      </c>
      <c r="C990" s="584" t="s">
        <v>2626</v>
      </c>
      <c r="D990" s="903"/>
      <c r="E990" s="903"/>
      <c r="F990" s="903"/>
      <c r="L990" s="939" t="s">
        <v>2252</v>
      </c>
      <c r="M990" s="2458">
        <f>'Part VIII-Threshold Criteria'!M81</f>
        <v>1.0999999999999999E-2</v>
      </c>
      <c r="N990" s="2458"/>
      <c r="O990" s="2458"/>
      <c r="P990" s="2459"/>
      <c r="Q990" s="960">
        <f>'Part VIII-Threshold Criteria'!Q81</f>
        <v>0</v>
      </c>
    </row>
    <row r="991" spans="1:17">
      <c r="B991" s="937" t="s">
        <v>1856</v>
      </c>
      <c r="C991" s="2319" t="s">
        <v>3519</v>
      </c>
      <c r="D991" s="2319"/>
      <c r="E991" s="2319"/>
      <c r="F991" s="2319"/>
      <c r="G991" s="2319"/>
      <c r="H991" s="2319"/>
      <c r="I991" s="2319"/>
      <c r="J991" s="2319"/>
      <c r="K991" s="2319"/>
      <c r="L991" s="2319"/>
      <c r="M991" s="2319"/>
      <c r="N991" s="2319"/>
      <c r="O991" s="2319"/>
      <c r="P991" s="2319"/>
      <c r="Q991" s="2319"/>
    </row>
    <row r="992" spans="1:17">
      <c r="B992" s="940"/>
      <c r="C992" s="584"/>
      <c r="D992" s="935" t="s">
        <v>2533</v>
      </c>
      <c r="E992" s="938" t="s">
        <v>657</v>
      </c>
      <c r="F992" s="938"/>
      <c r="H992" s="584"/>
      <c r="I992" s="935" t="s">
        <v>2533</v>
      </c>
      <c r="J992" s="938" t="s">
        <v>657</v>
      </c>
      <c r="K992" s="938"/>
      <c r="M992" s="584"/>
      <c r="N992" s="935" t="s">
        <v>2533</v>
      </c>
      <c r="O992" s="938" t="s">
        <v>657</v>
      </c>
      <c r="P992" s="938"/>
      <c r="Q992" s="939"/>
    </row>
    <row r="993" spans="1:17">
      <c r="B993" s="940"/>
      <c r="C993" s="584">
        <v>1</v>
      </c>
      <c r="D993" s="960">
        <f>'Part VIII-Threshold Criteria'!D84</f>
        <v>0</v>
      </c>
      <c r="E993" s="2354">
        <f>'Part VIII-Threshold Criteria'!E84</f>
        <v>0</v>
      </c>
      <c r="F993" s="2354"/>
      <c r="G993" s="2354"/>
      <c r="H993" s="584">
        <v>3</v>
      </c>
      <c r="I993" s="960">
        <f>'Part VIII-Threshold Criteria'!I84</f>
        <v>0</v>
      </c>
      <c r="J993" s="2354">
        <f>'Part VIII-Threshold Criteria'!J84</f>
        <v>0</v>
      </c>
      <c r="K993" s="2354"/>
      <c r="L993" s="2354"/>
      <c r="M993" s="584">
        <v>5</v>
      </c>
      <c r="N993" s="960">
        <f>'Part VIII-Threshold Criteria'!N84</f>
        <v>0</v>
      </c>
      <c r="O993" s="2354">
        <f>'Part VIII-Threshold Criteria'!O84</f>
        <v>0</v>
      </c>
      <c r="P993" s="2354"/>
      <c r="Q993" s="2354"/>
    </row>
    <row r="994" spans="1:17">
      <c r="B994" s="940"/>
      <c r="C994" s="584">
        <v>2</v>
      </c>
      <c r="D994" s="960">
        <f>'Part VIII-Threshold Criteria'!D85</f>
        <v>0</v>
      </c>
      <c r="E994" s="2354">
        <f>'Part VIII-Threshold Criteria'!E85</f>
        <v>0</v>
      </c>
      <c r="F994" s="2354"/>
      <c r="G994" s="2354"/>
      <c r="H994" s="584">
        <v>4</v>
      </c>
      <c r="I994" s="960">
        <f>'Part VIII-Threshold Criteria'!I85</f>
        <v>0</v>
      </c>
      <c r="J994" s="2354">
        <f>'Part VIII-Threshold Criteria'!J85</f>
        <v>0</v>
      </c>
      <c r="K994" s="2354"/>
      <c r="L994" s="2354"/>
      <c r="M994" s="584">
        <v>6</v>
      </c>
      <c r="N994" s="960">
        <f>'Part VIII-Threshold Criteria'!N85</f>
        <v>0</v>
      </c>
      <c r="O994" s="2354">
        <f>'Part VIII-Threshold Criteria'!O85</f>
        <v>0</v>
      </c>
      <c r="P994" s="2354"/>
      <c r="Q994" s="2354"/>
    </row>
    <row r="995" spans="1:17">
      <c r="B995" s="940" t="s">
        <v>1857</v>
      </c>
      <c r="C995" s="584" t="s">
        <v>0</v>
      </c>
      <c r="D995" s="903"/>
      <c r="E995" s="903"/>
      <c r="F995" s="903"/>
      <c r="G995" s="903"/>
      <c r="H995" s="903"/>
      <c r="I995" s="583"/>
      <c r="J995" s="583"/>
      <c r="K995" s="903"/>
      <c r="L995" s="901"/>
      <c r="M995" s="901"/>
      <c r="O995" s="939" t="s">
        <v>1857</v>
      </c>
      <c r="P995" s="960">
        <f>'Part VIII-Threshold Criteria'!P86</f>
        <v>0</v>
      </c>
      <c r="Q995" s="960">
        <f>'Part VIII-Threshold Criteria'!Q86</f>
        <v>0</v>
      </c>
    </row>
    <row r="996" spans="1:17">
      <c r="B996" s="953" t="s">
        <v>1994</v>
      </c>
      <c r="D996" s="953"/>
      <c r="E996" s="953"/>
      <c r="F996" s="953"/>
      <c r="G996" s="953"/>
      <c r="H996" s="938"/>
      <c r="I996" s="935"/>
      <c r="J996" s="935"/>
      <c r="K996" s="935"/>
      <c r="L996" s="890"/>
      <c r="M996" s="890"/>
      <c r="N996" s="890"/>
      <c r="O996" s="890"/>
      <c r="P996" s="890"/>
      <c r="Q996" s="890"/>
    </row>
    <row r="997" spans="1:17">
      <c r="A997" s="2319" t="str">
        <f>'Part VIII-Threshold Criteria'!A88</f>
        <v>There are (0) projects located inside a 2-mile radius that were developed for years 2009-2013</v>
      </c>
      <c r="B997" s="2319"/>
      <c r="C997" s="2319"/>
      <c r="D997" s="2319"/>
      <c r="E997" s="2319"/>
      <c r="F997" s="2319"/>
      <c r="G997" s="2319"/>
      <c r="H997" s="2319"/>
      <c r="I997" s="2319"/>
      <c r="J997" s="2319"/>
      <c r="K997" s="2319"/>
      <c r="L997" s="2319"/>
      <c r="M997" s="2319"/>
      <c r="N997" s="2319"/>
      <c r="O997" s="2319"/>
      <c r="P997" s="2319"/>
      <c r="Q997" s="2319"/>
    </row>
    <row r="998" spans="1:17">
      <c r="B998" s="942" t="s">
        <v>1995</v>
      </c>
      <c r="C998" s="943"/>
      <c r="D998" s="944"/>
      <c r="E998" s="944"/>
      <c r="F998" s="944"/>
      <c r="G998" s="944"/>
      <c r="H998" s="944"/>
      <c r="I998" s="944"/>
      <c r="J998" s="944"/>
      <c r="K998" s="944"/>
      <c r="L998" s="944"/>
      <c r="M998" s="944"/>
      <c r="N998" s="944"/>
      <c r="O998" s="944"/>
      <c r="P998" s="944"/>
      <c r="Q998" s="944"/>
    </row>
    <row r="999" spans="1:17">
      <c r="A999" s="2333">
        <f>'Part VIII-Threshold Criteria'!A90</f>
        <v>0</v>
      </c>
      <c r="B999" s="2333"/>
      <c r="C999" s="2333"/>
      <c r="D999" s="2333"/>
      <c r="E999" s="2333"/>
      <c r="F999" s="2333"/>
      <c r="G999" s="2333"/>
      <c r="H999" s="2333"/>
      <c r="I999" s="2333"/>
      <c r="J999" s="2333"/>
      <c r="K999" s="2333"/>
      <c r="L999" s="2333"/>
      <c r="M999" s="2333"/>
      <c r="N999" s="2333"/>
      <c r="O999" s="2333"/>
      <c r="P999" s="2333"/>
      <c r="Q999" s="2333"/>
    </row>
    <row r="1000" spans="1:17">
      <c r="A1000" s="885">
        <v>6</v>
      </c>
      <c r="B1000" s="885" t="s">
        <v>2850</v>
      </c>
      <c r="C1000" s="885"/>
      <c r="D1000" s="944"/>
      <c r="E1000" s="944"/>
      <c r="F1000" s="944"/>
      <c r="G1000" s="944"/>
      <c r="H1000" s="944"/>
      <c r="I1000" s="944"/>
      <c r="J1000" s="944"/>
      <c r="K1000" s="944"/>
      <c r="L1000" s="944"/>
      <c r="M1000" s="944"/>
      <c r="O1000" s="936" t="s">
        <v>1996</v>
      </c>
      <c r="P1000" s="2327">
        <f>'Part VIII-Threshold Criteria'!P91</f>
        <v>0</v>
      </c>
      <c r="Q1000" s="2327"/>
    </row>
    <row r="1002" spans="1:17">
      <c r="B1002" s="940" t="s">
        <v>2117</v>
      </c>
      <c r="C1002" s="584" t="s">
        <v>524</v>
      </c>
      <c r="D1002" s="584"/>
      <c r="E1002" s="584"/>
      <c r="F1002" s="584"/>
      <c r="G1002" s="584"/>
      <c r="H1002" s="584"/>
      <c r="I1002" s="584"/>
      <c r="J1002" s="584"/>
      <c r="K1002" s="584"/>
      <c r="L1002" s="584"/>
      <c r="M1002" s="584"/>
      <c r="O1002" s="939" t="s">
        <v>2117</v>
      </c>
      <c r="P1002" s="960" t="str">
        <f>'Part VIII-Threshold Criteria'!P93</f>
        <v>No</v>
      </c>
      <c r="Q1002" s="960">
        <f>'Part VIII-Threshold Criteria'!Q93</f>
        <v>0</v>
      </c>
    </row>
    <row r="1003" spans="1:17">
      <c r="B1003" s="940" t="s">
        <v>2120</v>
      </c>
      <c r="C1003" s="584" t="s">
        <v>1389</v>
      </c>
      <c r="D1003" s="584"/>
      <c r="E1003" s="584"/>
      <c r="F1003" s="584"/>
      <c r="G1003" s="584"/>
      <c r="H1003" s="584"/>
      <c r="I1003" s="584"/>
      <c r="J1003" s="584"/>
      <c r="K1003" s="584"/>
      <c r="L1003" s="938"/>
      <c r="M1003" s="938"/>
      <c r="O1003" s="939" t="s">
        <v>2120</v>
      </c>
      <c r="P1003" s="960" t="str">
        <f>'Part VIII-Threshold Criteria'!P94</f>
        <v>No</v>
      </c>
      <c r="Q1003" s="960">
        <f>'Part VIII-Threshold Criteria'!Q94</f>
        <v>0</v>
      </c>
    </row>
    <row r="1004" spans="1:17">
      <c r="A1004" s="957"/>
      <c r="B1004" s="584"/>
      <c r="D1004" s="584" t="s">
        <v>586</v>
      </c>
      <c r="E1004" s="583"/>
      <c r="F1004" s="583"/>
      <c r="G1004" s="583"/>
      <c r="H1004" s="583"/>
      <c r="I1004" s="583"/>
      <c r="L1004" s="939" t="s">
        <v>587</v>
      </c>
      <c r="M1004" s="2354">
        <f>'Part VIII-Threshold Criteria'!M95</f>
        <v>0</v>
      </c>
      <c r="N1004" s="2354"/>
      <c r="O1004" s="2354"/>
      <c r="P1004" s="2457"/>
      <c r="Q1004" s="960">
        <f>'Part VIII-Threshold Criteria'!Q95</f>
        <v>0</v>
      </c>
    </row>
    <row r="1005" spans="1:17">
      <c r="A1005" s="956"/>
      <c r="B1005" s="935"/>
      <c r="C1005" s="958" t="s">
        <v>1858</v>
      </c>
      <c r="D1005" s="2316" t="s">
        <v>488</v>
      </c>
      <c r="E1005" s="2448"/>
      <c r="F1005" s="2448"/>
      <c r="G1005" s="2448"/>
      <c r="H1005" s="2448"/>
      <c r="I1005" s="2448"/>
      <c r="J1005" s="2448"/>
      <c r="K1005" s="2448"/>
      <c r="L1005" s="2448"/>
      <c r="M1005" s="2448"/>
      <c r="N1005" s="2448"/>
      <c r="O1005" s="958" t="s">
        <v>1858</v>
      </c>
      <c r="P1005" s="960">
        <f>'Part VIII-Threshold Criteria'!P96</f>
        <v>0</v>
      </c>
      <c r="Q1005" s="960">
        <f>'Part VIII-Threshold Criteria'!Q96</f>
        <v>0</v>
      </c>
    </row>
    <row r="1006" spans="1:17">
      <c r="A1006" s="956"/>
      <c r="B1006" s="935"/>
      <c r="C1006" s="939" t="s">
        <v>1859</v>
      </c>
      <c r="D1006" s="584" t="s">
        <v>3521</v>
      </c>
      <c r="E1006" s="584"/>
      <c r="F1006" s="584"/>
      <c r="G1006" s="584"/>
      <c r="H1006" s="584"/>
      <c r="I1006" s="584"/>
      <c r="J1006" s="584"/>
      <c r="K1006" s="584"/>
      <c r="L1006" s="584"/>
      <c r="M1006" s="584"/>
      <c r="O1006" s="939" t="s">
        <v>1859</v>
      </c>
      <c r="P1006" s="960">
        <f>'Part VIII-Threshold Criteria'!P97</f>
        <v>0</v>
      </c>
      <c r="Q1006" s="960">
        <f>'Part VIII-Threshold Criteria'!Q97</f>
        <v>0</v>
      </c>
    </row>
    <row r="1007" spans="1:17">
      <c r="A1007" s="956"/>
      <c r="B1007" s="935"/>
      <c r="C1007" s="958" t="s">
        <v>1860</v>
      </c>
      <c r="D1007" s="584" t="s">
        <v>3520</v>
      </c>
      <c r="E1007" s="584"/>
      <c r="F1007" s="584"/>
      <c r="G1007" s="584"/>
      <c r="H1007" s="584"/>
      <c r="I1007" s="584"/>
      <c r="J1007" s="584"/>
      <c r="K1007" s="584"/>
      <c r="L1007" s="584"/>
      <c r="M1007" s="584"/>
      <c r="O1007" s="958" t="s">
        <v>1860</v>
      </c>
      <c r="P1007" s="960">
        <f>'Part VIII-Threshold Criteria'!P98</f>
        <v>0</v>
      </c>
      <c r="Q1007" s="960">
        <f>'Part VIII-Threshold Criteria'!Q98</f>
        <v>0</v>
      </c>
    </row>
    <row r="1008" spans="1:17">
      <c r="A1008" s="956"/>
      <c r="B1008" s="959"/>
      <c r="C1008" s="958" t="s">
        <v>2518</v>
      </c>
      <c r="D1008" s="2319" t="s">
        <v>2915</v>
      </c>
      <c r="E1008" s="2319"/>
      <c r="F1008" s="2319"/>
      <c r="G1008" s="2319"/>
      <c r="H1008" s="2319"/>
      <c r="I1008" s="2319"/>
      <c r="J1008" s="2319"/>
      <c r="K1008" s="2319"/>
      <c r="L1008" s="2319"/>
      <c r="M1008" s="2319"/>
      <c r="N1008" s="2319"/>
      <c r="O1008" s="958" t="s">
        <v>2518</v>
      </c>
      <c r="P1008" s="960">
        <f>'Part VIII-Threshold Criteria'!P99</f>
        <v>0</v>
      </c>
      <c r="Q1008" s="960">
        <f>'Part VIII-Threshold Criteria'!Q99</f>
        <v>0</v>
      </c>
    </row>
    <row r="1009" spans="1:17">
      <c r="B1009" s="940" t="s">
        <v>798</v>
      </c>
      <c r="C1009" s="584" t="s">
        <v>149</v>
      </c>
      <c r="D1009" s="584"/>
      <c r="E1009" s="584"/>
      <c r="F1009" s="584"/>
      <c r="G1009" s="584"/>
      <c r="H1009" s="584"/>
      <c r="I1009" s="584"/>
      <c r="J1009" s="584"/>
      <c r="K1009" s="584"/>
      <c r="L1009" s="584"/>
      <c r="M1009" s="584"/>
      <c r="O1009" s="939" t="s">
        <v>798</v>
      </c>
      <c r="P1009" s="960" t="str">
        <f>'Part VIII-Threshold Criteria'!P100</f>
        <v>No</v>
      </c>
      <c r="Q1009" s="960">
        <f>'Part VIII-Threshold Criteria'!Q100</f>
        <v>0</v>
      </c>
    </row>
    <row r="1010" spans="1:17">
      <c r="B1010" s="940" t="s">
        <v>2252</v>
      </c>
      <c r="C1010" s="584" t="s">
        <v>1521</v>
      </c>
      <c r="D1010" s="584"/>
      <c r="E1010" s="584"/>
      <c r="G1010" s="584"/>
      <c r="I1010" s="584"/>
      <c r="K1010" s="584"/>
      <c r="L1010" s="938"/>
      <c r="M1010" s="938"/>
      <c r="N1010" s="938"/>
      <c r="O1010" s="938"/>
      <c r="P1010" s="938"/>
      <c r="Q1010" s="938"/>
    </row>
    <row r="1011" spans="1:17">
      <c r="B1011" s="940"/>
      <c r="C1011" s="939" t="s">
        <v>1858</v>
      </c>
      <c r="D1011" s="584" t="s">
        <v>1522</v>
      </c>
      <c r="E1011" s="584"/>
      <c r="F1011" s="584"/>
      <c r="G1011" s="584"/>
      <c r="H1011" s="584"/>
      <c r="I1011" s="584"/>
      <c r="J1011" s="584"/>
      <c r="K1011" s="584"/>
      <c r="L1011" s="938"/>
      <c r="M1011" s="938"/>
      <c r="O1011" s="939" t="s">
        <v>1858</v>
      </c>
      <c r="P1011" s="960" t="str">
        <f>'Part VIII-Threshold Criteria'!P102</f>
        <v>No</v>
      </c>
      <c r="Q1011" s="960">
        <f>'Part VIII-Threshold Criteria'!Q102</f>
        <v>0</v>
      </c>
    </row>
    <row r="1012" spans="1:17">
      <c r="B1012" s="940"/>
      <c r="C1012" s="939" t="s">
        <v>1859</v>
      </c>
      <c r="D1012" s="584" t="s">
        <v>1523</v>
      </c>
      <c r="E1012" s="584"/>
      <c r="F1012" s="584"/>
      <c r="G1012" s="584"/>
      <c r="H1012" s="584"/>
      <c r="I1012" s="584"/>
      <c r="J1012" s="584"/>
      <c r="K1012" s="584"/>
      <c r="L1012" s="938"/>
      <c r="M1012" s="938"/>
      <c r="O1012" s="939" t="s">
        <v>1859</v>
      </c>
      <c r="P1012" s="960" t="str">
        <f>'Part VIII-Threshold Criteria'!P103</f>
        <v>No</v>
      </c>
      <c r="Q1012" s="960">
        <f>'Part VIII-Threshold Criteria'!Q103</f>
        <v>0</v>
      </c>
    </row>
    <row r="1013" spans="1:17">
      <c r="B1013" s="940"/>
      <c r="C1013" s="939" t="s">
        <v>1860</v>
      </c>
      <c r="D1013" s="584" t="s">
        <v>1524</v>
      </c>
      <c r="E1013" s="584"/>
      <c r="F1013" s="584"/>
      <c r="G1013" s="584"/>
      <c r="H1013" s="584"/>
      <c r="I1013" s="584"/>
      <c r="J1013" s="584"/>
      <c r="K1013" s="584"/>
      <c r="L1013" s="938"/>
      <c r="M1013" s="938"/>
      <c r="O1013" s="939" t="s">
        <v>1860</v>
      </c>
      <c r="P1013" s="960" t="str">
        <f>'Part VIII-Threshold Criteria'!P104</f>
        <v>No</v>
      </c>
      <c r="Q1013" s="960">
        <f>'Part VIII-Threshold Criteria'!Q104</f>
        <v>0</v>
      </c>
    </row>
    <row r="1014" spans="1:17">
      <c r="B1014" s="953" t="s">
        <v>1994</v>
      </c>
      <c r="D1014" s="953"/>
      <c r="E1014" s="953"/>
      <c r="F1014" s="953"/>
      <c r="G1014" s="953"/>
      <c r="H1014" s="938"/>
      <c r="I1014" s="935"/>
      <c r="J1014" s="935"/>
      <c r="K1014" s="935"/>
      <c r="L1014" s="890"/>
      <c r="M1014" s="890"/>
      <c r="N1014" s="890"/>
      <c r="O1014" s="890"/>
      <c r="P1014" s="890"/>
      <c r="Q1014" s="890"/>
    </row>
    <row r="1015" spans="1:17">
      <c r="A1015" s="2319">
        <f>'Part VIII-Threshold Criteria'!A106</f>
        <v>0</v>
      </c>
      <c r="B1015" s="2319"/>
      <c r="C1015" s="2319"/>
      <c r="D1015" s="2319"/>
      <c r="E1015" s="2319"/>
      <c r="F1015" s="2319"/>
      <c r="G1015" s="2319"/>
      <c r="H1015" s="2319"/>
      <c r="I1015" s="2319"/>
      <c r="J1015" s="2319"/>
      <c r="K1015" s="2319"/>
      <c r="L1015" s="2319"/>
      <c r="M1015" s="2319"/>
      <c r="N1015" s="2319"/>
      <c r="O1015" s="2319"/>
      <c r="P1015" s="2319"/>
      <c r="Q1015" s="2319"/>
    </row>
    <row r="1016" spans="1:17">
      <c r="B1016" s="942" t="s">
        <v>1995</v>
      </c>
      <c r="C1016" s="943"/>
      <c r="D1016" s="944"/>
      <c r="E1016" s="944"/>
      <c r="F1016" s="944"/>
      <c r="G1016" s="944"/>
      <c r="H1016" s="944"/>
      <c r="I1016" s="944"/>
      <c r="J1016" s="944"/>
      <c r="K1016" s="944"/>
      <c r="L1016" s="944"/>
      <c r="M1016" s="944"/>
      <c r="N1016" s="944"/>
      <c r="O1016" s="944"/>
      <c r="P1016" s="944"/>
      <c r="Q1016" s="944"/>
    </row>
    <row r="1017" spans="1:17">
      <c r="A1017" s="2333">
        <f>'Part VIII-Threshold Criteria'!A108</f>
        <v>0</v>
      </c>
      <c r="B1017" s="2333"/>
      <c r="C1017" s="2333"/>
      <c r="D1017" s="2333"/>
      <c r="E1017" s="2333"/>
      <c r="F1017" s="2333"/>
      <c r="G1017" s="2333"/>
      <c r="H1017" s="2333"/>
      <c r="I1017" s="2333"/>
      <c r="J1017" s="2333"/>
      <c r="K1017" s="2333"/>
      <c r="L1017" s="2333"/>
      <c r="M1017" s="2333"/>
      <c r="N1017" s="2333"/>
      <c r="O1017" s="2333"/>
      <c r="P1017" s="2333"/>
      <c r="Q1017" s="2333"/>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2851</v>
      </c>
      <c r="C1019" s="938"/>
      <c r="D1019" s="944"/>
      <c r="E1019" s="944"/>
      <c r="F1019" s="944"/>
      <c r="G1019" s="944"/>
      <c r="H1019" s="944"/>
      <c r="I1019" s="944"/>
      <c r="J1019" s="944"/>
      <c r="K1019" s="944"/>
      <c r="L1019" s="944"/>
      <c r="M1019" s="944"/>
      <c r="O1019" s="936" t="s">
        <v>1996</v>
      </c>
      <c r="P1019" s="2327">
        <f>'Part VIII-Threshold Criteria'!P110</f>
        <v>0</v>
      </c>
      <c r="Q1019" s="2327"/>
    </row>
    <row r="1021" spans="1:17">
      <c r="B1021" s="940" t="s">
        <v>2117</v>
      </c>
      <c r="C1021" s="584" t="s">
        <v>2913</v>
      </c>
      <c r="D1021" s="903"/>
      <c r="E1021" s="903"/>
      <c r="F1021" s="903"/>
      <c r="G1021" s="903"/>
      <c r="H1021" s="903"/>
      <c r="I1021" s="583"/>
      <c r="J1021" s="583"/>
      <c r="K1021" s="583"/>
      <c r="L1021" s="939" t="s">
        <v>2117</v>
      </c>
      <c r="M1021" s="2354" t="str">
        <f>'Part VIII-Threshold Criteria'!M112</f>
        <v>GEC Consultants</v>
      </c>
      <c r="N1021" s="2354"/>
      <c r="O1021" s="2354"/>
      <c r="P1021" s="2354"/>
      <c r="Q1021" s="960">
        <f>'Part VIII-Threshold Criteria'!Q112</f>
        <v>0</v>
      </c>
    </row>
    <row r="1022" spans="1:17">
      <c r="B1022" s="940" t="s">
        <v>2120</v>
      </c>
      <c r="C1022" s="584" t="s">
        <v>1644</v>
      </c>
      <c r="D1022" s="903"/>
      <c r="E1022" s="903"/>
      <c r="F1022" s="903"/>
      <c r="G1022" s="903"/>
      <c r="H1022" s="903"/>
      <c r="I1022" s="583"/>
      <c r="J1022" s="583"/>
      <c r="K1022" s="903"/>
      <c r="L1022" s="903"/>
      <c r="M1022" s="901"/>
      <c r="O1022" s="939" t="s">
        <v>2120</v>
      </c>
      <c r="P1022" s="960" t="str">
        <f>'Part VIII-Threshold Criteria'!P113</f>
        <v>No</v>
      </c>
      <c r="Q1022" s="960">
        <f>'Part VIII-Threshold Criteria'!Q113</f>
        <v>0</v>
      </c>
    </row>
    <row r="1023" spans="1:17">
      <c r="B1023" s="940" t="s">
        <v>798</v>
      </c>
      <c r="C1023" s="584" t="s">
        <v>157</v>
      </c>
      <c r="D1023" s="903"/>
      <c r="E1023" s="903"/>
      <c r="F1023" s="903"/>
      <c r="G1023" s="903"/>
      <c r="H1023" s="903"/>
      <c r="I1023" s="583"/>
      <c r="J1023" s="583"/>
      <c r="K1023" s="903"/>
      <c r="L1023" s="901"/>
      <c r="M1023" s="901"/>
      <c r="O1023" s="939" t="s">
        <v>798</v>
      </c>
      <c r="P1023" s="960" t="str">
        <f>'Part VIII-Threshold Criteria'!P114</f>
        <v>Yes</v>
      </c>
      <c r="Q1023" s="960">
        <f>'Part VIII-Threshold Criteria'!Q114</f>
        <v>0</v>
      </c>
    </row>
    <row r="1024" spans="1:17">
      <c r="B1024" s="940"/>
      <c r="C1024" s="939" t="s">
        <v>1858</v>
      </c>
      <c r="D1024" s="584" t="s">
        <v>2914</v>
      </c>
      <c r="E1024" s="903"/>
      <c r="F1024" s="903"/>
      <c r="G1024" s="903"/>
      <c r="H1024" s="903"/>
      <c r="I1024" s="583"/>
      <c r="J1024" s="583"/>
      <c r="K1024" s="903"/>
      <c r="L1024" s="939" t="s">
        <v>1858</v>
      </c>
      <c r="M1024" s="2354" t="str">
        <f>'Part VIII-Threshold Criteria'!M115</f>
        <v>GEC Consultants</v>
      </c>
      <c r="N1024" s="2354"/>
      <c r="O1024" s="2354"/>
      <c r="P1024" s="2354"/>
      <c r="Q1024" s="960">
        <f>'Part VIII-Threshold Criteria'!Q115</f>
        <v>0</v>
      </c>
    </row>
    <row r="1025" spans="2:17">
      <c r="B1025" s="947"/>
      <c r="C1025" s="939" t="s">
        <v>1859</v>
      </c>
      <c r="D1025" s="584" t="s">
        <v>2785</v>
      </c>
      <c r="E1025" s="583"/>
      <c r="F1025" s="583"/>
      <c r="G1025" s="583"/>
      <c r="H1025" s="584"/>
      <c r="I1025" s="583"/>
      <c r="J1025" s="583"/>
      <c r="K1025" s="903"/>
      <c r="L1025" s="901"/>
      <c r="M1025" s="901"/>
      <c r="O1025" s="939" t="s">
        <v>1859</v>
      </c>
      <c r="P1025" s="960">
        <f>'Part VIII-Threshold Criteria'!P116</f>
        <v>64.2</v>
      </c>
      <c r="Q1025" s="960">
        <f>'Part VIII-Threshold Criteria'!Q116</f>
        <v>0</v>
      </c>
    </row>
    <row r="1026" spans="2:17">
      <c r="B1026" s="947"/>
      <c r="C1026" s="939" t="s">
        <v>1860</v>
      </c>
      <c r="D1026" s="584" t="s">
        <v>1470</v>
      </c>
      <c r="E1026" s="583"/>
      <c r="F1026" s="583"/>
      <c r="G1026" s="583"/>
      <c r="H1026" s="584"/>
      <c r="I1026" s="583"/>
      <c r="J1026" s="583"/>
      <c r="K1026" s="903"/>
      <c r="L1026" s="901"/>
      <c r="M1026" s="901"/>
      <c r="N1026" s="901"/>
      <c r="O1026" s="901"/>
    </row>
    <row r="1027" spans="2:17">
      <c r="B1027" s="890"/>
      <c r="C1027" s="939"/>
      <c r="D1027" s="2316" t="str">
        <f>'Part VIII-Threshold Criteria'!D118</f>
        <v>Road way, Railway, Aircraft Noise</v>
      </c>
      <c r="E1027" s="2316"/>
      <c r="F1027" s="2316"/>
      <c r="G1027" s="2316"/>
      <c r="H1027" s="2316"/>
      <c r="I1027" s="2316"/>
      <c r="J1027" s="2316"/>
      <c r="K1027" s="2316"/>
      <c r="L1027" s="2316"/>
      <c r="M1027" s="2316"/>
      <c r="N1027" s="2316"/>
      <c r="O1027" s="2316"/>
      <c r="P1027" s="2316"/>
      <c r="Q1027" s="2316"/>
    </row>
    <row r="1028" spans="2:17">
      <c r="B1028" s="940" t="s">
        <v>2252</v>
      </c>
      <c r="C1028" s="584" t="s">
        <v>1339</v>
      </c>
      <c r="D1028" s="903"/>
      <c r="E1028" s="903"/>
      <c r="F1028" s="903"/>
      <c r="G1028" s="903"/>
      <c r="H1028" s="903"/>
      <c r="I1028" s="583"/>
      <c r="J1028" s="583"/>
      <c r="K1028" s="903"/>
      <c r="L1028" s="901"/>
      <c r="M1028" s="901"/>
      <c r="N1028" s="901"/>
      <c r="O1028" s="939" t="s">
        <v>2252</v>
      </c>
    </row>
    <row r="1029" spans="2:17">
      <c r="B1029" s="940"/>
      <c r="C1029" s="939" t="s">
        <v>1858</v>
      </c>
      <c r="D1029" s="584" t="s">
        <v>155</v>
      </c>
      <c r="E1029" s="903"/>
      <c r="F1029" s="903"/>
      <c r="G1029" s="903"/>
      <c r="H1029" s="903"/>
      <c r="I1029" s="583"/>
      <c r="J1029" s="583"/>
      <c r="K1029" s="903"/>
      <c r="L1029" s="901"/>
      <c r="M1029" s="901"/>
      <c r="O1029" s="939" t="s">
        <v>1858</v>
      </c>
      <c r="P1029" s="960" t="str">
        <f>'Part VIII-Threshold Criteria'!P120</f>
        <v>No</v>
      </c>
      <c r="Q1029" s="960">
        <f>'Part VIII-Threshold Criteria'!Q120</f>
        <v>0</v>
      </c>
    </row>
    <row r="1030" spans="2:17">
      <c r="B1030" s="940"/>
      <c r="C1030" s="939" t="s">
        <v>1859</v>
      </c>
      <c r="D1030" s="584" t="s">
        <v>1340</v>
      </c>
      <c r="E1030" s="903"/>
      <c r="F1030" s="903"/>
      <c r="G1030" s="903"/>
      <c r="H1030" s="583"/>
      <c r="I1030" s="583"/>
      <c r="J1030" s="583"/>
      <c r="K1030" s="903"/>
      <c r="L1030" s="901"/>
      <c r="M1030" s="901"/>
      <c r="O1030" s="939" t="s">
        <v>1859</v>
      </c>
      <c r="P1030" s="960" t="str">
        <f>'Part VIII-Threshold Criteria'!P121</f>
        <v>No</v>
      </c>
      <c r="Q1030" s="960">
        <f>'Part VIII-Threshold Criteria'!Q121</f>
        <v>0</v>
      </c>
    </row>
    <row r="1031" spans="2:17">
      <c r="B1031" s="940"/>
      <c r="C1031" s="939"/>
      <c r="D1031" s="584" t="s">
        <v>2826</v>
      </c>
      <c r="E1031" s="961" t="s">
        <v>2598</v>
      </c>
      <c r="F1031" s="584" t="s">
        <v>2827</v>
      </c>
      <c r="G1031" s="583"/>
      <c r="H1031" s="584"/>
      <c r="I1031" s="583"/>
      <c r="J1031" s="583"/>
      <c r="K1031" s="903"/>
      <c r="L1031" s="901"/>
      <c r="M1031" s="901"/>
      <c r="O1031" s="961" t="s">
        <v>2598</v>
      </c>
      <c r="P1031" s="1069">
        <f>'Part VIII-Threshold Criteria'!P122</f>
        <v>0</v>
      </c>
      <c r="Q1031" s="1069">
        <f>'Part VIII-Threshold Criteria'!Q122</f>
        <v>0</v>
      </c>
    </row>
    <row r="1032" spans="2:17">
      <c r="B1032" s="940"/>
      <c r="C1032" s="939"/>
      <c r="E1032" s="961" t="s">
        <v>2599</v>
      </c>
      <c r="F1032" s="584" t="s">
        <v>2828</v>
      </c>
      <c r="G1032" s="583"/>
      <c r="H1032" s="584"/>
      <c r="I1032" s="583"/>
      <c r="J1032" s="583"/>
      <c r="K1032" s="903"/>
      <c r="L1032" s="901"/>
      <c r="M1032" s="901"/>
      <c r="O1032" s="961" t="s">
        <v>2599</v>
      </c>
      <c r="P1032" s="960">
        <f>'Part VIII-Threshold Criteria'!P123</f>
        <v>0</v>
      </c>
      <c r="Q1032" s="960">
        <f>'Part VIII-Threshold Criteria'!Q123</f>
        <v>0</v>
      </c>
    </row>
    <row r="1033" spans="2:17">
      <c r="B1033" s="940"/>
      <c r="C1033" s="939"/>
      <c r="E1033" s="961" t="s">
        <v>2600</v>
      </c>
      <c r="F1033" s="584" t="s">
        <v>2829</v>
      </c>
      <c r="G1033" s="583"/>
      <c r="H1033" s="584"/>
      <c r="I1033" s="583"/>
      <c r="J1033" s="583"/>
      <c r="K1033" s="903"/>
      <c r="L1033" s="901"/>
      <c r="M1033" s="901"/>
      <c r="O1033" s="961" t="s">
        <v>2600</v>
      </c>
      <c r="P1033" s="960">
        <f>'Part VIII-Threshold Criteria'!P124</f>
        <v>0</v>
      </c>
      <c r="Q1033" s="960">
        <f>'Part VIII-Threshold Criteria'!Q124</f>
        <v>0</v>
      </c>
    </row>
    <row r="1034" spans="2:17">
      <c r="B1034" s="940"/>
      <c r="C1034" s="939" t="s">
        <v>1860</v>
      </c>
      <c r="D1034" s="584" t="s">
        <v>1341</v>
      </c>
      <c r="E1034" s="903"/>
      <c r="F1034" s="903"/>
      <c r="G1034" s="903"/>
      <c r="H1034" s="584"/>
      <c r="I1034" s="583"/>
      <c r="J1034" s="583"/>
      <c r="K1034" s="903"/>
      <c r="L1034" s="901"/>
      <c r="M1034" s="901"/>
      <c r="O1034" s="939" t="s">
        <v>1860</v>
      </c>
      <c r="P1034" s="960" t="str">
        <f>'Part VIII-Threshold Criteria'!P125</f>
        <v>No</v>
      </c>
      <c r="Q1034" s="960">
        <f>'Part VIII-Threshold Criteria'!Q125</f>
        <v>0</v>
      </c>
    </row>
    <row r="1035" spans="2:17">
      <c r="B1035" s="940"/>
      <c r="C1035" s="939"/>
      <c r="D1035" s="584" t="s">
        <v>2826</v>
      </c>
      <c r="E1035" s="961" t="s">
        <v>2598</v>
      </c>
      <c r="F1035" s="584" t="s">
        <v>2830</v>
      </c>
      <c r="G1035" s="583"/>
      <c r="H1035" s="584"/>
      <c r="I1035" s="583"/>
      <c r="J1035" s="583"/>
      <c r="K1035" s="903"/>
      <c r="L1035" s="901"/>
      <c r="O1035" s="961" t="s">
        <v>2598</v>
      </c>
      <c r="P1035" s="1069">
        <f>'Part VIII-Threshold Criteria'!P126</f>
        <v>0</v>
      </c>
      <c r="Q1035" s="1069">
        <f>'Part VIII-Threshold Criteria'!Q126</f>
        <v>0</v>
      </c>
    </row>
    <row r="1036" spans="2:17">
      <c r="B1036" s="940"/>
      <c r="C1036" s="939"/>
      <c r="E1036" s="961" t="s">
        <v>2599</v>
      </c>
      <c r="F1036" s="584" t="s">
        <v>2831</v>
      </c>
      <c r="G1036" s="583"/>
      <c r="H1036" s="584"/>
      <c r="I1036" s="583"/>
      <c r="J1036" s="583"/>
      <c r="O1036" s="961" t="s">
        <v>2599</v>
      </c>
      <c r="P1036" s="960">
        <f>'Part VIII-Threshold Criteria'!P127</f>
        <v>0</v>
      </c>
      <c r="Q1036" s="960">
        <f>'Part VIII-Threshold Criteria'!Q127</f>
        <v>0</v>
      </c>
    </row>
    <row r="1037" spans="2:17">
      <c r="B1037" s="940"/>
      <c r="C1037" s="939"/>
      <c r="E1037" s="961" t="s">
        <v>2600</v>
      </c>
      <c r="F1037" s="584" t="s">
        <v>2829</v>
      </c>
      <c r="G1037" s="583"/>
      <c r="H1037" s="584"/>
      <c r="I1037" s="583"/>
      <c r="J1037" s="583"/>
      <c r="O1037" s="961" t="s">
        <v>2600</v>
      </c>
      <c r="P1037" s="960">
        <f>'Part VIII-Threshold Criteria'!P128</f>
        <v>0</v>
      </c>
      <c r="Q1037" s="960">
        <f>'Part VIII-Threshold Criteria'!Q128</f>
        <v>0</v>
      </c>
    </row>
    <row r="1038" spans="2:17">
      <c r="B1038" s="584"/>
      <c r="C1038" s="939" t="s">
        <v>2518</v>
      </c>
      <c r="D1038" s="584" t="s">
        <v>2832</v>
      </c>
      <c r="E1038" s="903"/>
      <c r="F1038" s="903"/>
      <c r="G1038" s="903"/>
      <c r="H1038" s="903"/>
      <c r="I1038" s="583"/>
      <c r="J1038" s="583"/>
      <c r="O1038" s="939" t="s">
        <v>2518</v>
      </c>
      <c r="P1038" s="960" t="str">
        <f>'Part VIII-Threshold Criteria'!P129</f>
        <v>No</v>
      </c>
      <c r="Q1038" s="960">
        <f>'Part VIII-Threshold Criteria'!Q129</f>
        <v>0</v>
      </c>
    </row>
    <row r="1039" spans="2:17">
      <c r="B1039" s="940" t="s">
        <v>1856</v>
      </c>
      <c r="C1039" s="938" t="s">
        <v>2576</v>
      </c>
      <c r="D1039" s="903"/>
      <c r="E1039" s="903"/>
      <c r="F1039" s="903"/>
      <c r="G1039" s="903"/>
      <c r="H1039" s="903"/>
      <c r="I1039" s="583"/>
      <c r="J1039" s="583"/>
      <c r="K1039" s="903"/>
      <c r="L1039" s="901"/>
      <c r="M1039" s="901"/>
      <c r="N1039" s="901"/>
      <c r="O1039" s="901"/>
      <c r="P1039" s="901"/>
      <c r="Q1039" s="901"/>
    </row>
    <row r="1040" spans="2:17">
      <c r="C1040" s="939" t="s">
        <v>1858</v>
      </c>
      <c r="D1040" s="584" t="s">
        <v>2662</v>
      </c>
      <c r="E1040" s="903"/>
      <c r="F1040" s="960" t="str">
        <f>'Part VIII-Threshold Criteria'!F131</f>
        <v>No</v>
      </c>
      <c r="G1040" s="960">
        <f>'Part VIII-Threshold Criteria'!G131</f>
        <v>0</v>
      </c>
      <c r="H1040" s="939" t="s">
        <v>1656</v>
      </c>
      <c r="I1040" s="566" t="s">
        <v>2834</v>
      </c>
      <c r="L1040" s="960" t="str">
        <f>'Part VIII-Threshold Criteria'!L131</f>
        <v>No</v>
      </c>
      <c r="M1040" s="960">
        <f>'Part VIII-Threshold Criteria'!M131</f>
        <v>0</v>
      </c>
      <c r="N1040" s="939" t="s">
        <v>544</v>
      </c>
      <c r="O1040" s="584" t="s">
        <v>1659</v>
      </c>
      <c r="P1040" s="960" t="str">
        <f>'Part VIII-Threshold Criteria'!P131</f>
        <v>No</v>
      </c>
      <c r="Q1040" s="960">
        <f>'Part VIII-Threshold Criteria'!Q131</f>
        <v>0</v>
      </c>
    </row>
    <row r="1041" spans="1:17">
      <c r="B1041" s="584"/>
      <c r="C1041" s="939" t="s">
        <v>1859</v>
      </c>
      <c r="D1041" s="584" t="s">
        <v>3260</v>
      </c>
      <c r="E1041" s="903"/>
      <c r="F1041" s="960" t="str">
        <f>'Part VIII-Threshold Criteria'!F132</f>
        <v>No</v>
      </c>
      <c r="G1041" s="960">
        <f>'Part VIII-Threshold Criteria'!G132</f>
        <v>0</v>
      </c>
      <c r="H1041" s="939" t="s">
        <v>1657</v>
      </c>
      <c r="I1041" s="566" t="s">
        <v>2835</v>
      </c>
      <c r="L1041" s="960" t="str">
        <f>'Part VIII-Threshold Criteria'!L132</f>
        <v>No</v>
      </c>
      <c r="M1041" s="960">
        <f>'Part VIII-Threshold Criteria'!M132</f>
        <v>0</v>
      </c>
      <c r="N1041" s="939" t="s">
        <v>545</v>
      </c>
      <c r="O1041" s="584" t="s">
        <v>1658</v>
      </c>
      <c r="P1041" s="960" t="str">
        <f>'Part VIII-Threshold Criteria'!P132</f>
        <v>No</v>
      </c>
      <c r="Q1041" s="960">
        <f>'Part VIII-Threshold Criteria'!Q132</f>
        <v>0</v>
      </c>
    </row>
    <row r="1042" spans="1:17">
      <c r="B1042" s="584"/>
      <c r="C1042" s="939" t="s">
        <v>1860</v>
      </c>
      <c r="D1042" s="584" t="s">
        <v>2833</v>
      </c>
      <c r="E1042" s="903"/>
      <c r="F1042" s="960" t="str">
        <f>'Part VIII-Threshold Criteria'!F133</f>
        <v>No</v>
      </c>
      <c r="G1042" s="960">
        <f>'Part VIII-Threshold Criteria'!G133</f>
        <v>0</v>
      </c>
      <c r="H1042" s="939" t="s">
        <v>101</v>
      </c>
      <c r="I1042" s="566" t="s">
        <v>3261</v>
      </c>
      <c r="L1042" s="960" t="str">
        <f>'Part VIII-Threshold Criteria'!L133</f>
        <v>No</v>
      </c>
      <c r="M1042" s="960">
        <f>'Part VIII-Threshold Criteria'!M133</f>
        <v>0</v>
      </c>
      <c r="N1042" s="939" t="s">
        <v>3263</v>
      </c>
      <c r="O1042" s="584" t="s">
        <v>1660</v>
      </c>
      <c r="P1042" s="960" t="str">
        <f>'Part VIII-Threshold Criteria'!P133</f>
        <v>No</v>
      </c>
      <c r="Q1042" s="960">
        <f>'Part VIII-Threshold Criteria'!Q133</f>
        <v>0</v>
      </c>
    </row>
    <row r="1043" spans="1:17">
      <c r="B1043" s="584"/>
      <c r="C1043" s="939" t="s">
        <v>2518</v>
      </c>
      <c r="D1043" s="584" t="s">
        <v>3264</v>
      </c>
      <c r="E1043" s="903"/>
      <c r="F1043" s="960" t="str">
        <f>'Part VIII-Threshold Criteria'!F134</f>
        <v>No</v>
      </c>
      <c r="G1043" s="960">
        <f>'Part VIII-Threshold Criteria'!G134</f>
        <v>0</v>
      </c>
      <c r="H1043" s="939" t="s">
        <v>543</v>
      </c>
      <c r="I1043" s="584" t="s">
        <v>3259</v>
      </c>
      <c r="L1043" s="960" t="str">
        <f>'Part VIII-Threshold Criteria'!L134</f>
        <v>No</v>
      </c>
      <c r="M1043" s="960">
        <f>'Part VIII-Threshold Criteria'!M134</f>
        <v>0</v>
      </c>
      <c r="O1043" s="939"/>
    </row>
    <row r="1044" spans="1:17">
      <c r="B1044" s="584"/>
      <c r="C1044" s="939" t="s">
        <v>3557</v>
      </c>
      <c r="D1044" s="584" t="s">
        <v>3262</v>
      </c>
      <c r="E1044" s="903"/>
      <c r="F1044" s="903"/>
      <c r="G1044" s="903"/>
      <c r="H1044" s="903"/>
      <c r="I1044" s="903"/>
      <c r="J1044" s="903"/>
      <c r="K1044" s="903"/>
      <c r="L1044" s="903"/>
      <c r="M1044" s="584"/>
      <c r="O1044" s="939"/>
      <c r="P1044" s="939"/>
    </row>
    <row r="1045" spans="1:17">
      <c r="B1045" s="584"/>
      <c r="D1045" s="2354" t="str">
        <f>'Part VIII-Threshold Criteria'!D136</f>
        <v>None</v>
      </c>
      <c r="E1045" s="2354"/>
      <c r="F1045" s="2354"/>
      <c r="G1045" s="2354"/>
      <c r="H1045" s="2354"/>
      <c r="I1045" s="2354"/>
      <c r="J1045" s="2354"/>
      <c r="K1045" s="2354"/>
      <c r="L1045" s="2354"/>
      <c r="M1045" s="2354"/>
      <c r="N1045" s="2354"/>
      <c r="O1045" s="2354"/>
      <c r="P1045" s="2354"/>
      <c r="Q1045" s="960">
        <f>'Part VIII-Threshold Criteria'!Q136</f>
        <v>0</v>
      </c>
    </row>
    <row r="1046" spans="1:17">
      <c r="B1046" s="940" t="s">
        <v>1857</v>
      </c>
      <c r="C1046" s="584" t="s">
        <v>1369</v>
      </c>
      <c r="D1046" s="903"/>
      <c r="E1046" s="903"/>
      <c r="F1046" s="903"/>
      <c r="G1046" s="903"/>
      <c r="H1046" s="903"/>
      <c r="I1046" s="583"/>
      <c r="J1046" s="583"/>
      <c r="K1046" s="903"/>
      <c r="L1046" s="903"/>
      <c r="M1046" s="901"/>
      <c r="O1046" s="939" t="s">
        <v>1857</v>
      </c>
      <c r="P1046" s="960" t="str">
        <f>'Part VIII-Threshold Criteria'!P137</f>
        <v>Yes</v>
      </c>
      <c r="Q1046" s="960">
        <f>'Part VIII-Threshold Criteria'!Q137</f>
        <v>0</v>
      </c>
    </row>
    <row r="1047" spans="1:17">
      <c r="A1047" s="956"/>
      <c r="B1047" s="583"/>
      <c r="C1047" s="939" t="s">
        <v>1858</v>
      </c>
      <c r="D1047" s="584" t="s">
        <v>3265</v>
      </c>
      <c r="E1047" s="903"/>
      <c r="F1047" s="903"/>
      <c r="G1047" s="903"/>
      <c r="H1047" s="903"/>
      <c r="O1047" s="939" t="s">
        <v>1858</v>
      </c>
      <c r="P1047" s="960" t="str">
        <f>'Part VIII-Threshold Criteria'!P138</f>
        <v>No</v>
      </c>
      <c r="Q1047" s="960">
        <f>'Part VIII-Threshold Criteria'!Q138</f>
        <v>0</v>
      </c>
    </row>
    <row r="1048" spans="1:17">
      <c r="A1048" s="956"/>
      <c r="B1048" s="935"/>
      <c r="C1048" s="939" t="s">
        <v>1859</v>
      </c>
      <c r="D1048" s="584" t="s">
        <v>521</v>
      </c>
      <c r="E1048" s="584"/>
      <c r="F1048" s="584"/>
      <c r="G1048" s="584"/>
      <c r="H1048" s="584"/>
      <c r="I1048" s="583"/>
      <c r="J1048" s="583"/>
      <c r="K1048" s="584"/>
      <c r="L1048" s="584"/>
      <c r="M1048" s="584"/>
      <c r="O1048" s="939" t="s">
        <v>1859</v>
      </c>
      <c r="P1048" s="960" t="str">
        <f>'Part VIII-Threshold Criteria'!P139</f>
        <v>Yes</v>
      </c>
      <c r="Q1048" s="960">
        <f>'Part VIII-Threshold Criteria'!Q139</f>
        <v>0</v>
      </c>
    </row>
    <row r="1049" spans="1:17">
      <c r="A1049" s="956"/>
      <c r="B1049" s="935"/>
      <c r="C1049" s="939" t="s">
        <v>1860</v>
      </c>
      <c r="D1049" s="584" t="s">
        <v>726</v>
      </c>
      <c r="E1049" s="584"/>
      <c r="F1049" s="584"/>
      <c r="G1049" s="584"/>
      <c r="H1049" s="584"/>
      <c r="I1049" s="583"/>
      <c r="J1049" s="583"/>
      <c r="K1049" s="584"/>
      <c r="L1049" s="584"/>
      <c r="M1049" s="584"/>
      <c r="O1049" s="939" t="s">
        <v>1860</v>
      </c>
      <c r="P1049" s="960" t="str">
        <f>'Part VIII-Threshold Criteria'!P140</f>
        <v>Yes</v>
      </c>
      <c r="Q1049" s="960">
        <f>'Part VIII-Threshold Criteria'!Q140</f>
        <v>0</v>
      </c>
    </row>
    <row r="1050" spans="1:17">
      <c r="B1050" s="940" t="s">
        <v>2080</v>
      </c>
      <c r="C1050" s="584" t="s">
        <v>1875</v>
      </c>
      <c r="D1050" s="903"/>
      <c r="E1050" s="903"/>
      <c r="F1050" s="903"/>
      <c r="G1050" s="903"/>
      <c r="H1050" s="903"/>
      <c r="I1050" s="583"/>
      <c r="J1050" s="583"/>
      <c r="K1050" s="903"/>
      <c r="L1050" s="903"/>
      <c r="M1050" s="901"/>
      <c r="O1050" s="939" t="s">
        <v>2080</v>
      </c>
      <c r="P1050" s="960" t="str">
        <f>'Part VIII-Threshold Criteria'!P141</f>
        <v>N/A</v>
      </c>
      <c r="Q1050" s="960">
        <f>'Part VIII-Threshold Criteria'!Q141</f>
        <v>0</v>
      </c>
    </row>
    <row r="1052" spans="1:17">
      <c r="B1052" s="953" t="s">
        <v>1994</v>
      </c>
      <c r="D1052" s="953"/>
      <c r="E1052" s="953"/>
      <c r="F1052" s="953"/>
      <c r="G1052" s="953"/>
      <c r="H1052" s="938"/>
      <c r="I1052" s="935"/>
      <c r="J1052" s="935"/>
      <c r="K1052" s="935"/>
      <c r="L1052" s="890"/>
      <c r="M1052" s="890"/>
      <c r="N1052" s="890"/>
      <c r="O1052" s="890"/>
      <c r="P1052" s="890"/>
      <c r="Q1052" s="890"/>
    </row>
    <row r="1053" spans="1:17">
      <c r="A1053" s="2319" t="str">
        <f>'Part VIII-Threshold Criteria'!A144</f>
        <v>Per DCA's Guidance regarding Integrated Supportive Housing Points, we have completed the HOME/HUD environmental questionaire.</v>
      </c>
      <c r="B1053" s="2319"/>
      <c r="C1053" s="2319"/>
      <c r="D1053" s="2319"/>
      <c r="E1053" s="2319"/>
      <c r="F1053" s="2319"/>
      <c r="G1053" s="2319"/>
      <c r="H1053" s="2319"/>
      <c r="I1053" s="2319"/>
      <c r="J1053" s="2319"/>
      <c r="K1053" s="2319"/>
      <c r="L1053" s="2319"/>
      <c r="M1053" s="2319"/>
      <c r="N1053" s="2319"/>
      <c r="O1053" s="2319"/>
      <c r="P1053" s="2319"/>
      <c r="Q1053" s="2319"/>
    </row>
    <row r="1054" spans="1:17">
      <c r="B1054" s="942" t="s">
        <v>1995</v>
      </c>
      <c r="C1054" s="943"/>
      <c r="D1054" s="944"/>
      <c r="E1054" s="944"/>
      <c r="F1054" s="944"/>
      <c r="G1054" s="944"/>
      <c r="H1054" s="944"/>
      <c r="I1054" s="944"/>
      <c r="J1054" s="944"/>
      <c r="K1054" s="944"/>
      <c r="L1054" s="944"/>
      <c r="M1054" s="944"/>
      <c r="N1054" s="944"/>
      <c r="O1054" s="944"/>
      <c r="P1054" s="944"/>
      <c r="Q1054" s="944"/>
    </row>
    <row r="1055" spans="1:17">
      <c r="A1055" s="2333">
        <f>'Part VIII-Threshold Criteria'!A146</f>
        <v>0</v>
      </c>
      <c r="B1055" s="2333"/>
      <c r="C1055" s="2333"/>
      <c r="D1055" s="2333"/>
      <c r="E1055" s="2333"/>
      <c r="F1055" s="2333"/>
      <c r="G1055" s="2333"/>
      <c r="H1055" s="2333"/>
      <c r="I1055" s="2333"/>
      <c r="J1055" s="2333"/>
      <c r="K1055" s="2333"/>
      <c r="L1055" s="2333"/>
      <c r="M1055" s="2333"/>
      <c r="N1055" s="2333"/>
      <c r="O1055" s="2333"/>
      <c r="P1055" s="2333"/>
      <c r="Q1055" s="2333"/>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2852</v>
      </c>
      <c r="C1057" s="885"/>
      <c r="D1057" s="944"/>
      <c r="E1057" s="944"/>
      <c r="F1057" s="944"/>
      <c r="G1057" s="944"/>
      <c r="H1057" s="944"/>
      <c r="I1057" s="944"/>
      <c r="J1057" s="944"/>
      <c r="K1057" s="944"/>
      <c r="O1057" s="936" t="s">
        <v>1996</v>
      </c>
      <c r="P1057" s="2327">
        <f>'Part VIII-Threshold Criteria'!P148</f>
        <v>0</v>
      </c>
      <c r="Q1057" s="2327"/>
    </row>
    <row r="1058" spans="1:17">
      <c r="B1058" s="940" t="s">
        <v>2117</v>
      </c>
      <c r="C1058" s="584" t="s">
        <v>3258</v>
      </c>
      <c r="D1058" s="584"/>
      <c r="E1058" s="584"/>
      <c r="F1058" s="584"/>
      <c r="G1058" s="584"/>
      <c r="I1058" s="584" t="s">
        <v>2947</v>
      </c>
      <c r="K1058" s="2467">
        <f>'Part VIII-Threshold Criteria'!K149</f>
        <v>42248</v>
      </c>
      <c r="L1058" s="2467"/>
      <c r="N1058" s="584"/>
      <c r="O1058" s="939" t="s">
        <v>2117</v>
      </c>
      <c r="P1058" s="960" t="str">
        <f>'Part VIII-Threshold Criteria'!P149</f>
        <v>Yes</v>
      </c>
      <c r="Q1058" s="960">
        <f>'Part VIII-Threshold Criteria'!Q149</f>
        <v>0</v>
      </c>
    </row>
    <row r="1059" spans="1:17">
      <c r="A1059" s="947"/>
      <c r="B1059" s="940" t="s">
        <v>2120</v>
      </c>
      <c r="C1059" s="946" t="s">
        <v>156</v>
      </c>
      <c r="D1059" s="946"/>
      <c r="E1059" s="946"/>
      <c r="F1059" s="946"/>
      <c r="G1059" s="946"/>
      <c r="H1059" s="946"/>
      <c r="M1059" s="939" t="s">
        <v>2120</v>
      </c>
      <c r="N1059" s="2443" t="str">
        <f>'Part VIII-Threshold Criteria'!N150</f>
        <v>Contract/Option</v>
      </c>
      <c r="O1059" s="2443"/>
      <c r="P1059" s="2443">
        <f>'Part VIII-Threshold Criteria'!P150</f>
        <v>0</v>
      </c>
      <c r="Q1059" s="2443"/>
    </row>
    <row r="1060" spans="1:17">
      <c r="A1060" s="947"/>
      <c r="B1060" s="940" t="s">
        <v>798</v>
      </c>
      <c r="C1060" s="946" t="s">
        <v>727</v>
      </c>
      <c r="D1060" s="946"/>
      <c r="E1060" s="946"/>
      <c r="F1060" s="946"/>
      <c r="G1060" s="946"/>
      <c r="H1060" s="946"/>
      <c r="J1060" s="939" t="s">
        <v>798</v>
      </c>
      <c r="K1060" s="2354" t="str">
        <f>'Part VIII-Threshold Criteria'!K151</f>
        <v>North Grove, LP</v>
      </c>
      <c r="L1060" s="2354"/>
      <c r="M1060" s="2354"/>
      <c r="N1060" s="2354"/>
      <c r="O1060" s="2354"/>
      <c r="P1060" s="2354"/>
      <c r="Q1060" s="960">
        <f>'Part VIII-Threshold Criteria'!Q151</f>
        <v>0</v>
      </c>
    </row>
    <row r="1061" spans="1:17">
      <c r="A1061" s="947"/>
      <c r="B1061" s="940" t="s">
        <v>2252</v>
      </c>
      <c r="C1061" s="946" t="s">
        <v>3538</v>
      </c>
      <c r="D1061" s="946"/>
      <c r="E1061" s="946"/>
      <c r="F1061" s="946"/>
      <c r="G1061" s="946"/>
      <c r="H1061" s="946"/>
      <c r="J1061" s="939"/>
      <c r="K1061" s="939"/>
      <c r="L1061" s="939"/>
      <c r="M1061" s="939"/>
      <c r="N1061" s="939"/>
      <c r="O1061" s="939" t="s">
        <v>2252</v>
      </c>
      <c r="P1061" s="960" t="str">
        <f>'Part VIII-Threshold Criteria'!P152</f>
        <v>No</v>
      </c>
      <c r="Q1061" s="960">
        <f>'Part VIII-Threshold Criteria'!Q152</f>
        <v>0</v>
      </c>
    </row>
    <row r="1062" spans="1:17">
      <c r="B1062" s="953" t="s">
        <v>1994</v>
      </c>
      <c r="D1062" s="953"/>
      <c r="E1062" s="953"/>
      <c r="F1062" s="953"/>
      <c r="G1062" s="953"/>
      <c r="H1062" s="938"/>
      <c r="I1062" s="935"/>
      <c r="J1062" s="935"/>
      <c r="K1062" s="935"/>
      <c r="L1062" s="890"/>
      <c r="M1062" s="890"/>
      <c r="N1062" s="890"/>
      <c r="O1062" s="890"/>
      <c r="P1062" s="890"/>
      <c r="Q1062" s="890"/>
    </row>
    <row r="1063" spans="1:17">
      <c r="A1063" s="2319" t="str">
        <f>'Part VIII-Threshold Criteria'!A154</f>
        <v xml:space="preserve">The entity with site control and the Applicant is North Grove, LP. </v>
      </c>
      <c r="B1063" s="2319"/>
      <c r="C1063" s="2319"/>
      <c r="D1063" s="2319"/>
      <c r="E1063" s="2319"/>
      <c r="F1063" s="2319"/>
      <c r="G1063" s="2319"/>
      <c r="H1063" s="2319"/>
      <c r="I1063" s="2319"/>
      <c r="J1063" s="2319"/>
      <c r="K1063" s="2319"/>
      <c r="L1063" s="2319"/>
      <c r="M1063" s="2319"/>
      <c r="N1063" s="2319"/>
      <c r="O1063" s="2319"/>
      <c r="P1063" s="2319"/>
      <c r="Q1063" s="2319"/>
    </row>
    <row r="1064" spans="1:17">
      <c r="B1064" s="942" t="s">
        <v>1995</v>
      </c>
      <c r="C1064" s="943"/>
      <c r="D1064" s="944"/>
      <c r="E1064" s="944"/>
      <c r="F1064" s="944"/>
      <c r="G1064" s="944"/>
      <c r="H1064" s="944"/>
      <c r="I1064" s="944"/>
      <c r="J1064" s="944"/>
      <c r="K1064" s="944"/>
      <c r="L1064" s="944"/>
      <c r="M1064" s="944"/>
      <c r="N1064" s="944"/>
      <c r="O1064" s="944"/>
      <c r="P1064" s="944"/>
      <c r="Q1064" s="944"/>
    </row>
    <row r="1065" spans="1:17">
      <c r="A1065" s="2333">
        <f>'Part VIII-Threshold Criteria'!A156</f>
        <v>0</v>
      </c>
      <c r="B1065" s="2333"/>
      <c r="C1065" s="2333"/>
      <c r="D1065" s="2333"/>
      <c r="E1065" s="2333"/>
      <c r="F1065" s="2333"/>
      <c r="G1065" s="2333"/>
      <c r="H1065" s="2333"/>
      <c r="I1065" s="2333"/>
      <c r="J1065" s="2333"/>
      <c r="K1065" s="2333"/>
      <c r="L1065" s="2333"/>
      <c r="M1065" s="2333"/>
      <c r="N1065" s="2333"/>
      <c r="O1065" s="2333"/>
      <c r="P1065" s="2333"/>
      <c r="Q1065" s="2333"/>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2853</v>
      </c>
      <c r="C1067" s="885"/>
      <c r="D1067" s="944"/>
      <c r="E1067" s="944"/>
      <c r="F1067" s="944"/>
      <c r="G1067" s="944"/>
      <c r="H1067" s="944"/>
      <c r="I1067" s="944"/>
      <c r="J1067" s="944"/>
      <c r="K1067" s="944"/>
      <c r="L1067" s="944"/>
      <c r="M1067" s="944"/>
      <c r="O1067" s="936" t="s">
        <v>1996</v>
      </c>
      <c r="P1067" s="2327">
        <f>'Part VIII-Threshold Criteria'!P158</f>
        <v>0</v>
      </c>
      <c r="Q1067" s="2327"/>
    </row>
    <row r="1068" spans="1:17">
      <c r="B1068" s="937" t="s">
        <v>2117</v>
      </c>
      <c r="C1068" s="2319" t="s">
        <v>3522</v>
      </c>
      <c r="D1068" s="2319"/>
      <c r="E1068" s="2319"/>
      <c r="F1068" s="2319"/>
      <c r="G1068" s="2319"/>
      <c r="H1068" s="2319"/>
      <c r="I1068" s="2319"/>
      <c r="J1068" s="2319"/>
      <c r="K1068" s="2319"/>
      <c r="L1068" s="2319"/>
      <c r="M1068" s="2319"/>
      <c r="N1068" s="2319"/>
      <c r="O1068" s="958" t="s">
        <v>2117</v>
      </c>
      <c r="P1068" s="960" t="str">
        <f>'Part VIII-Threshold Criteria'!P159</f>
        <v>Yes</v>
      </c>
      <c r="Q1068" s="960">
        <f>'Part VIII-Threshold Criteria'!Q159</f>
        <v>0</v>
      </c>
    </row>
    <row r="1069" spans="1:17">
      <c r="B1069" s="937" t="s">
        <v>2120</v>
      </c>
      <c r="C1069" s="2319" t="s">
        <v>2677</v>
      </c>
      <c r="D1069" s="2319"/>
      <c r="E1069" s="2319"/>
      <c r="F1069" s="2319"/>
      <c r="G1069" s="2319"/>
      <c r="H1069" s="2319"/>
      <c r="I1069" s="2319"/>
      <c r="J1069" s="2319"/>
      <c r="K1069" s="2319"/>
      <c r="L1069" s="2319"/>
      <c r="M1069" s="2319"/>
      <c r="N1069" s="2319"/>
      <c r="O1069" s="958" t="s">
        <v>2120</v>
      </c>
      <c r="P1069" s="960">
        <f>'Part VIII-Threshold Criteria'!P160</f>
        <v>0</v>
      </c>
      <c r="Q1069" s="960">
        <f>'Part VIII-Threshold Criteria'!Q160</f>
        <v>0</v>
      </c>
    </row>
    <row r="1070" spans="1:17">
      <c r="B1070" s="937" t="s">
        <v>798</v>
      </c>
      <c r="C1070" s="2319" t="s">
        <v>2836</v>
      </c>
      <c r="D1070" s="2319"/>
      <c r="E1070" s="2319"/>
      <c r="F1070" s="2319"/>
      <c r="G1070" s="2319"/>
      <c r="H1070" s="2319"/>
      <c r="I1070" s="2319"/>
      <c r="J1070" s="2319"/>
      <c r="K1070" s="2319"/>
      <c r="L1070" s="2319"/>
      <c r="M1070" s="2319"/>
      <c r="N1070" s="2319"/>
      <c r="O1070" s="958" t="s">
        <v>798</v>
      </c>
      <c r="P1070" s="960" t="str">
        <f>'Part VIII-Threshold Criteria'!P161</f>
        <v>Yes</v>
      </c>
      <c r="Q1070" s="960">
        <f>'Part VIII-Threshold Criteria'!Q161</f>
        <v>0</v>
      </c>
    </row>
    <row r="1071" spans="1:17">
      <c r="B1071" s="953" t="s">
        <v>1994</v>
      </c>
      <c r="D1071" s="953"/>
      <c r="E1071" s="953"/>
      <c r="F1071" s="953"/>
      <c r="G1071" s="953"/>
      <c r="H1071" s="938"/>
      <c r="I1071" s="935"/>
      <c r="J1071" s="935"/>
      <c r="K1071" s="935"/>
      <c r="L1071" s="890"/>
      <c r="M1071" s="890"/>
      <c r="N1071" s="890"/>
      <c r="O1071" s="890"/>
      <c r="P1071" s="890"/>
      <c r="Q1071" s="890"/>
    </row>
    <row r="1072" spans="1:17">
      <c r="A1072" s="2319" t="str">
        <f>'Part VIII-Threshold Criteria'!A163</f>
        <v>Documentation regarding the site being accessible by a paved road is included in Tab 9</v>
      </c>
      <c r="B1072" s="2319"/>
      <c r="C1072" s="2319"/>
      <c r="D1072" s="2319"/>
      <c r="E1072" s="2319"/>
      <c r="F1072" s="2319"/>
      <c r="G1072" s="2319"/>
      <c r="H1072" s="2319"/>
      <c r="I1072" s="2319"/>
      <c r="J1072" s="2319"/>
      <c r="K1072" s="2319"/>
      <c r="L1072" s="2319"/>
      <c r="M1072" s="2319"/>
      <c r="N1072" s="2319"/>
      <c r="O1072" s="2319"/>
      <c r="P1072" s="2319"/>
      <c r="Q1072" s="2319"/>
    </row>
    <row r="1073" spans="1:17">
      <c r="B1073" s="942" t="s">
        <v>1995</v>
      </c>
      <c r="C1073" s="943"/>
      <c r="D1073" s="944"/>
      <c r="E1073" s="944"/>
      <c r="F1073" s="944"/>
      <c r="G1073" s="944"/>
      <c r="H1073" s="944"/>
      <c r="I1073" s="944"/>
      <c r="J1073" s="944"/>
      <c r="K1073" s="944"/>
      <c r="L1073" s="944"/>
      <c r="M1073" s="944"/>
      <c r="N1073" s="944"/>
      <c r="O1073" s="944"/>
      <c r="P1073" s="944"/>
      <c r="Q1073" s="944"/>
    </row>
    <row r="1074" spans="1:17">
      <c r="A1074" s="2333">
        <f>'Part VIII-Threshold Criteria'!A165</f>
        <v>0</v>
      </c>
      <c r="B1074" s="2333"/>
      <c r="C1074" s="2333"/>
      <c r="D1074" s="2333"/>
      <c r="E1074" s="2333"/>
      <c r="F1074" s="2333"/>
      <c r="G1074" s="2333"/>
      <c r="H1074" s="2333"/>
      <c r="I1074" s="2333"/>
      <c r="J1074" s="2333"/>
      <c r="K1074" s="2333"/>
      <c r="L1074" s="2333"/>
      <c r="M1074" s="2333"/>
      <c r="N1074" s="2333"/>
      <c r="O1074" s="2333"/>
      <c r="P1074" s="2333"/>
      <c r="Q1074" s="2333"/>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68" t="s">
        <v>2854</v>
      </c>
      <c r="C1076" s="2468"/>
      <c r="D1076" s="2468"/>
      <c r="O1076" s="936" t="s">
        <v>1996</v>
      </c>
      <c r="P1076" s="2327">
        <f>'Part VIII-Threshold Criteria'!P167</f>
        <v>0</v>
      </c>
      <c r="Q1076" s="2327"/>
    </row>
    <row r="1077" spans="1:17">
      <c r="B1077" s="937" t="s">
        <v>2117</v>
      </c>
      <c r="C1077" s="951" t="s">
        <v>497</v>
      </c>
      <c r="D1077" s="951"/>
      <c r="E1077" s="951"/>
      <c r="F1077" s="951"/>
      <c r="G1077" s="951"/>
      <c r="H1077" s="951"/>
      <c r="I1077" s="951"/>
      <c r="J1077" s="951"/>
      <c r="K1077" s="951"/>
      <c r="L1077" s="951"/>
      <c r="M1077" s="951"/>
      <c r="O1077" s="958" t="s">
        <v>2117</v>
      </c>
      <c r="P1077" s="960" t="str">
        <f>'Part VIII-Threshold Criteria'!P168</f>
        <v>Yes</v>
      </c>
      <c r="Q1077" s="960">
        <f>'Part VIII-Threshold Criteria'!Q168</f>
        <v>0</v>
      </c>
    </row>
    <row r="1078" spans="1:17">
      <c r="B1078" s="937" t="s">
        <v>2120</v>
      </c>
      <c r="C1078" s="951" t="s">
        <v>2837</v>
      </c>
      <c r="D1078" s="951"/>
      <c r="E1078" s="951"/>
      <c r="F1078" s="951"/>
      <c r="G1078" s="951"/>
      <c r="H1078" s="951"/>
      <c r="I1078" s="951"/>
      <c r="J1078" s="951"/>
      <c r="K1078" s="951"/>
      <c r="L1078" s="951"/>
      <c r="M1078" s="951"/>
      <c r="O1078" s="958" t="s">
        <v>2120</v>
      </c>
      <c r="P1078" s="960" t="str">
        <f>'Part VIII-Threshold Criteria'!P169</f>
        <v>Yes</v>
      </c>
      <c r="Q1078" s="960">
        <f>'Part VIII-Threshold Criteria'!Q169</f>
        <v>0</v>
      </c>
    </row>
    <row r="1079" spans="1:17">
      <c r="B1079" s="937" t="s">
        <v>798</v>
      </c>
      <c r="C1079" s="951" t="s">
        <v>2838</v>
      </c>
      <c r="D1079" s="951"/>
      <c r="E1079" s="951"/>
      <c r="F1079" s="951"/>
      <c r="G1079" s="951"/>
      <c r="H1079" s="951"/>
      <c r="I1079" s="951"/>
      <c r="J1079" s="951"/>
      <c r="K1079" s="951"/>
      <c r="L1079" s="951"/>
      <c r="M1079" s="951"/>
      <c r="O1079" s="958" t="s">
        <v>798</v>
      </c>
      <c r="P1079" s="960" t="str">
        <f>'Part VIII-Threshold Criteria'!P170</f>
        <v>Yes</v>
      </c>
      <c r="Q1079" s="960">
        <f>'Part VIII-Threshold Criteria'!Q170</f>
        <v>0</v>
      </c>
    </row>
    <row r="1080" spans="1:17">
      <c r="B1080" s="937"/>
      <c r="C1080" s="951" t="s">
        <v>2826</v>
      </c>
      <c r="D1080" s="951"/>
      <c r="E1080" s="961" t="s">
        <v>1858</v>
      </c>
      <c r="F1080" s="951" t="s">
        <v>2839</v>
      </c>
      <c r="G1080" s="951"/>
      <c r="H1080" s="951"/>
      <c r="I1080" s="951"/>
      <c r="J1080" s="951"/>
      <c r="K1080" s="951"/>
      <c r="L1080" s="951"/>
      <c r="M1080" s="951"/>
      <c r="O1080" s="961" t="s">
        <v>1858</v>
      </c>
      <c r="P1080" s="960" t="str">
        <f>'Part VIII-Threshold Criteria'!P171</f>
        <v>Yes</v>
      </c>
      <c r="Q1080" s="960">
        <f>'Part VIII-Threshold Criteria'!Q171</f>
        <v>0</v>
      </c>
    </row>
    <row r="1081" spans="1:17">
      <c r="B1081" s="937"/>
      <c r="C1081" s="951"/>
      <c r="D1081" s="951"/>
      <c r="E1081" s="961" t="s">
        <v>1859</v>
      </c>
      <c r="F1081" s="951" t="s">
        <v>3678</v>
      </c>
      <c r="G1081" s="951"/>
      <c r="H1081" s="951"/>
      <c r="I1081" s="951"/>
      <c r="J1081" s="951"/>
      <c r="K1081" s="951"/>
      <c r="L1081" s="951"/>
      <c r="M1081" s="951"/>
      <c r="O1081" s="961" t="s">
        <v>1859</v>
      </c>
      <c r="P1081" s="960" t="str">
        <f>'Part VIII-Threshold Criteria'!P172</f>
        <v>Yes</v>
      </c>
      <c r="Q1081" s="960">
        <f>'Part VIII-Threshold Criteria'!Q172</f>
        <v>0</v>
      </c>
    </row>
    <row r="1082" spans="1:17">
      <c r="A1082" s="957"/>
      <c r="B1082" s="937"/>
      <c r="C1082" s="951"/>
      <c r="D1082" s="951"/>
      <c r="E1082" s="958" t="s">
        <v>1860</v>
      </c>
      <c r="F1082" s="2319" t="s">
        <v>2841</v>
      </c>
      <c r="G1082" s="2319"/>
      <c r="H1082" s="2319"/>
      <c r="I1082" s="2319"/>
      <c r="J1082" s="2319"/>
      <c r="K1082" s="2319"/>
      <c r="L1082" s="2319"/>
      <c r="M1082" s="2319"/>
      <c r="N1082" s="2319"/>
      <c r="O1082" s="958" t="s">
        <v>1860</v>
      </c>
      <c r="P1082" s="960" t="str">
        <f>'Part VIII-Threshold Criteria'!P173</f>
        <v>Yes</v>
      </c>
      <c r="Q1082" s="960">
        <f>'Part VIII-Threshold Criteria'!Q173</f>
        <v>0</v>
      </c>
    </row>
    <row r="1083" spans="1:17">
      <c r="B1083" s="937"/>
      <c r="C1083" s="951"/>
      <c r="D1083" s="951"/>
      <c r="E1083" s="961" t="s">
        <v>2518</v>
      </c>
      <c r="F1083" s="951" t="s">
        <v>2842</v>
      </c>
      <c r="G1083" s="951"/>
      <c r="H1083" s="951"/>
      <c r="I1083" s="951"/>
      <c r="J1083" s="951"/>
      <c r="K1083" s="951"/>
      <c r="L1083" s="951"/>
      <c r="M1083" s="951"/>
      <c r="O1083" s="961" t="s">
        <v>2518</v>
      </c>
      <c r="P1083" s="960" t="str">
        <f>'Part VIII-Threshold Criteria'!P174</f>
        <v>Yes</v>
      </c>
      <c r="Q1083" s="960">
        <f>'Part VIII-Threshold Criteria'!Q174</f>
        <v>0</v>
      </c>
    </row>
    <row r="1084" spans="1:17">
      <c r="A1084" s="957"/>
      <c r="B1084" s="937"/>
      <c r="C1084" s="951"/>
      <c r="D1084" s="951"/>
      <c r="E1084" s="958" t="s">
        <v>1656</v>
      </c>
      <c r="F1084" s="2319" t="s">
        <v>2843</v>
      </c>
      <c r="G1084" s="2319"/>
      <c r="H1084" s="2319"/>
      <c r="I1084" s="2319"/>
      <c r="J1084" s="2319"/>
      <c r="K1084" s="2319"/>
      <c r="L1084" s="2319"/>
      <c r="M1084" s="2319"/>
      <c r="N1084" s="2319"/>
      <c r="O1084" s="958" t="s">
        <v>1656</v>
      </c>
      <c r="P1084" s="960" t="str">
        <f>'Part VIII-Threshold Criteria'!P175</f>
        <v>Yes</v>
      </c>
      <c r="Q1084" s="960">
        <f>'Part VIII-Threshold Criteria'!Q175</f>
        <v>0</v>
      </c>
    </row>
    <row r="1085" spans="1:17">
      <c r="B1085" s="937" t="s">
        <v>2252</v>
      </c>
      <c r="C1085" s="2319" t="s">
        <v>2844</v>
      </c>
      <c r="D1085" s="2319"/>
      <c r="E1085" s="2319"/>
      <c r="F1085" s="2319"/>
      <c r="G1085" s="2319"/>
      <c r="H1085" s="2319"/>
      <c r="I1085" s="2319"/>
      <c r="J1085" s="2319"/>
      <c r="K1085" s="2319"/>
      <c r="L1085" s="2319"/>
      <c r="M1085" s="2319"/>
      <c r="N1085" s="2319"/>
      <c r="O1085" s="958" t="s">
        <v>2252</v>
      </c>
      <c r="P1085" s="960" t="str">
        <f>'Part VIII-Threshold Criteria'!P176</f>
        <v>Yes</v>
      </c>
      <c r="Q1085" s="960">
        <f>'Part VIII-Threshold Criteria'!Q176</f>
        <v>0</v>
      </c>
    </row>
    <row r="1086" spans="1:17">
      <c r="B1086" s="937" t="s">
        <v>1856</v>
      </c>
      <c r="C1086" s="951" t="s">
        <v>2534</v>
      </c>
      <c r="D1086" s="951"/>
      <c r="E1086" s="951"/>
      <c r="F1086" s="951"/>
      <c r="G1086" s="951"/>
      <c r="H1086" s="951"/>
      <c r="I1086" s="951"/>
      <c r="J1086" s="951"/>
      <c r="K1086" s="951"/>
      <c r="L1086" s="951"/>
      <c r="M1086" s="951"/>
      <c r="O1086" s="958" t="s">
        <v>1856</v>
      </c>
      <c r="P1086" s="960" t="str">
        <f>'Part VIII-Threshold Criteria'!P177</f>
        <v>Yes</v>
      </c>
      <c r="Q1086" s="960">
        <f>'Part VIII-Threshold Criteria'!Q177</f>
        <v>0</v>
      </c>
    </row>
    <row r="1087" spans="1:17">
      <c r="B1087" s="953" t="s">
        <v>1994</v>
      </c>
      <c r="D1087" s="953"/>
      <c r="E1087" s="953"/>
      <c r="F1087" s="953"/>
      <c r="G1087" s="953"/>
      <c r="H1087" s="938"/>
      <c r="I1087" s="935"/>
      <c r="J1087" s="935"/>
      <c r="K1087" s="935"/>
      <c r="L1087" s="890"/>
      <c r="M1087" s="890"/>
      <c r="N1087" s="890"/>
      <c r="O1087" s="890"/>
      <c r="P1087" s="890"/>
      <c r="Q1087" s="890"/>
    </row>
    <row r="1088" spans="1:17">
      <c r="A1088" s="2319" t="str">
        <f>'Part VIII-Threshold Criteria'!A179</f>
        <v>The property is an existing apartment community. The property is currently zoned C-G (Commercial General) but the property was built before the current standards and is grandfathered in as a legal non-confirming use. A copy of the zoning letter and relevant sections of the Zoning Ordinance are included in Tab 10</v>
      </c>
      <c r="B1088" s="2319"/>
      <c r="C1088" s="2319"/>
      <c r="D1088" s="2319"/>
      <c r="E1088" s="2319"/>
      <c r="F1088" s="2319"/>
      <c r="G1088" s="2319"/>
      <c r="H1088" s="2319"/>
      <c r="I1088" s="2319"/>
      <c r="J1088" s="2319"/>
      <c r="K1088" s="2319"/>
      <c r="L1088" s="2319"/>
      <c r="M1088" s="2319"/>
      <c r="N1088" s="2319"/>
      <c r="O1088" s="2319"/>
      <c r="P1088" s="2319"/>
      <c r="Q1088" s="2319"/>
    </row>
    <row r="1089" spans="1:17">
      <c r="B1089" s="942" t="s">
        <v>1995</v>
      </c>
      <c r="C1089" s="943"/>
      <c r="D1089" s="944"/>
      <c r="E1089" s="944"/>
      <c r="F1089" s="944"/>
      <c r="G1089" s="944"/>
      <c r="H1089" s="944"/>
      <c r="I1089" s="944"/>
      <c r="J1089" s="944"/>
      <c r="K1089" s="944"/>
      <c r="L1089" s="944"/>
      <c r="M1089" s="944"/>
      <c r="N1089" s="944"/>
      <c r="O1089" s="944"/>
      <c r="P1089" s="944"/>
      <c r="Q1089" s="944"/>
    </row>
    <row r="1090" spans="1:17">
      <c r="A1090" s="2333">
        <f>'Part VIII-Threshold Criteria'!A181</f>
        <v>0</v>
      </c>
      <c r="B1090" s="2333"/>
      <c r="C1090" s="2333"/>
      <c r="D1090" s="2333"/>
      <c r="E1090" s="2333"/>
      <c r="F1090" s="2333"/>
      <c r="G1090" s="2333"/>
      <c r="H1090" s="2333"/>
      <c r="I1090" s="2333"/>
      <c r="J1090" s="2333"/>
      <c r="K1090" s="2333"/>
      <c r="L1090" s="2333"/>
      <c r="M1090" s="2333"/>
      <c r="N1090" s="2333"/>
      <c r="O1090" s="2333"/>
      <c r="P1090" s="2333"/>
      <c r="Q1090" s="2333"/>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2855</v>
      </c>
      <c r="C1092" s="885"/>
      <c r="D1092" s="944"/>
      <c r="E1092" s="962"/>
      <c r="F1092" s="962"/>
      <c r="G1092" s="944"/>
      <c r="J1092" s="955"/>
      <c r="K1092" s="955"/>
      <c r="L1092" s="955"/>
      <c r="M1092" s="955"/>
      <c r="N1092" s="955"/>
      <c r="O1092" s="936" t="s">
        <v>1996</v>
      </c>
      <c r="P1092" s="2327">
        <f>'Part VIII-Threshold Criteria'!P183</f>
        <v>0</v>
      </c>
      <c r="Q1092" s="2327"/>
    </row>
    <row r="1093" spans="1:17">
      <c r="A1093" s="947"/>
      <c r="B1093" s="940" t="s">
        <v>2117</v>
      </c>
      <c r="C1093" s="2319" t="s">
        <v>100</v>
      </c>
      <c r="D1093" s="2319"/>
      <c r="E1093" s="2319"/>
      <c r="F1093" s="2319"/>
      <c r="G1093" s="2319"/>
      <c r="H1093" s="939" t="s">
        <v>1858</v>
      </c>
      <c r="I1093" s="584" t="s">
        <v>158</v>
      </c>
      <c r="K1093" s="2354" t="str">
        <f>'Part VIII-Threshold Criteria'!K184</f>
        <v>N/A</v>
      </c>
      <c r="L1093" s="2354"/>
      <c r="M1093" s="2354"/>
      <c r="N1093" s="2354"/>
      <c r="O1093" s="939" t="s">
        <v>1858</v>
      </c>
      <c r="P1093" s="960" t="str">
        <f>'Part VIII-Threshold Criteria'!P184</f>
        <v>No</v>
      </c>
      <c r="Q1093" s="960">
        <f>'Part VIII-Threshold Criteria'!Q184</f>
        <v>0</v>
      </c>
    </row>
    <row r="1094" spans="1:17">
      <c r="A1094" s="947"/>
      <c r="B1094" s="935"/>
      <c r="C1094" s="1070"/>
      <c r="D1094" s="1070"/>
      <c r="E1094" s="1070"/>
      <c r="F1094" s="1070"/>
      <c r="H1094" s="939" t="s">
        <v>1859</v>
      </c>
      <c r="I1094" s="584" t="s">
        <v>1703</v>
      </c>
      <c r="K1094" s="2354" t="str">
        <f>'Part VIII-Threshold Criteria'!K185</f>
        <v>Georgia Power</v>
      </c>
      <c r="L1094" s="2354"/>
      <c r="M1094" s="2354"/>
      <c r="N1094" s="2354"/>
      <c r="O1094" s="939" t="s">
        <v>1859</v>
      </c>
      <c r="P1094" s="960" t="str">
        <f>'Part VIII-Threshold Criteria'!P185</f>
        <v>Yes</v>
      </c>
      <c r="Q1094" s="960">
        <f>'Part VIII-Threshold Criteria'!Q185</f>
        <v>0</v>
      </c>
    </row>
    <row r="1095" spans="1:17">
      <c r="B1095" s="953" t="s">
        <v>1994</v>
      </c>
      <c r="D1095" s="953"/>
      <c r="E1095" s="953"/>
      <c r="F1095" s="953"/>
      <c r="G1095" s="953"/>
      <c r="J1095" s="935"/>
      <c r="K1095" s="935"/>
      <c r="L1095" s="890"/>
      <c r="M1095" s="890"/>
      <c r="N1095" s="890"/>
      <c r="O1095" s="890"/>
      <c r="P1095" s="890"/>
      <c r="Q1095" s="890"/>
    </row>
    <row r="1096" spans="1:17">
      <c r="A1096" s="2319" t="str">
        <f>'Part VIII-Threshold Criteria'!A187</f>
        <v>Project is currently all electric (NO GAS) and after rehabilitation, will remain all electric (NO GAS). Electricity is currently on our site. The Availability Letter is included in Tab 11</v>
      </c>
      <c r="B1096" s="2319"/>
      <c r="C1096" s="2319"/>
      <c r="D1096" s="2319"/>
      <c r="E1096" s="2319"/>
      <c r="F1096" s="2319"/>
      <c r="G1096" s="2319"/>
      <c r="H1096" s="2319"/>
      <c r="I1096" s="2319"/>
      <c r="J1096" s="2319"/>
      <c r="K1096" s="2319"/>
      <c r="L1096" s="2319"/>
      <c r="M1096" s="2319"/>
      <c r="N1096" s="2319"/>
      <c r="O1096" s="2319"/>
      <c r="P1096" s="2319"/>
      <c r="Q1096" s="2319"/>
    </row>
    <row r="1097" spans="1:17">
      <c r="B1097" s="942" t="s">
        <v>1995</v>
      </c>
      <c r="C1097" s="943"/>
      <c r="D1097" s="944"/>
      <c r="E1097" s="944"/>
      <c r="F1097" s="944"/>
      <c r="G1097" s="944"/>
      <c r="H1097" s="944"/>
      <c r="I1097" s="944"/>
      <c r="J1097" s="944"/>
      <c r="K1097" s="944"/>
      <c r="L1097" s="944"/>
      <c r="M1097" s="944"/>
      <c r="N1097" s="944"/>
      <c r="O1097" s="944"/>
      <c r="P1097" s="944"/>
      <c r="Q1097" s="944"/>
    </row>
    <row r="1098" spans="1:17">
      <c r="A1098" s="2333">
        <f>'Part VIII-Threshold Criteria'!A189</f>
        <v>0</v>
      </c>
      <c r="B1098" s="2333"/>
      <c r="C1098" s="2333"/>
      <c r="D1098" s="2333"/>
      <c r="E1098" s="2333"/>
      <c r="F1098" s="2333"/>
      <c r="G1098" s="2333"/>
      <c r="H1098" s="2333"/>
      <c r="I1098" s="2333"/>
      <c r="J1098" s="2333"/>
      <c r="K1098" s="2333"/>
      <c r="L1098" s="2333"/>
      <c r="M1098" s="2333"/>
      <c r="N1098" s="2333"/>
      <c r="O1098" s="2333"/>
      <c r="P1098" s="2333"/>
      <c r="Q1098" s="2333"/>
    </row>
    <row r="1099" spans="1:17">
      <c r="B1099" s="935"/>
      <c r="C1099" s="944"/>
      <c r="D1099" s="944"/>
      <c r="E1099" s="944"/>
      <c r="F1099" s="944"/>
      <c r="G1099" s="944"/>
      <c r="H1099" s="944"/>
      <c r="I1099" s="944"/>
      <c r="J1099" s="944"/>
      <c r="K1099" s="944"/>
      <c r="L1099" s="944"/>
      <c r="M1099" s="944"/>
      <c r="Q1099" s="890"/>
    </row>
    <row r="1100" spans="1:17">
      <c r="A1100" s="885">
        <v>12</v>
      </c>
      <c r="B1100" s="586" t="s">
        <v>2856</v>
      </c>
      <c r="C1100" s="586"/>
      <c r="D1100" s="934"/>
      <c r="E1100" s="934"/>
      <c r="F1100" s="934"/>
      <c r="G1100" s="944"/>
      <c r="H1100" s="944"/>
      <c r="I1100" s="944"/>
      <c r="J1100" s="944"/>
      <c r="K1100" s="944"/>
      <c r="L1100" s="944"/>
      <c r="M1100" s="944"/>
      <c r="O1100" s="936" t="s">
        <v>1996</v>
      </c>
      <c r="P1100" s="2327">
        <f>'Part VIII-Threshold Criteria'!P191</f>
        <v>0</v>
      </c>
      <c r="Q1100" s="2327"/>
    </row>
    <row r="1102" spans="1:17">
      <c r="B1102" s="937" t="s">
        <v>2117</v>
      </c>
      <c r="C1102" s="948" t="s">
        <v>1858</v>
      </c>
      <c r="D1102" s="963" t="s">
        <v>546</v>
      </c>
      <c r="E1102" s="963"/>
      <c r="F1102" s="963"/>
      <c r="G1102" s="963"/>
      <c r="H1102" s="963"/>
      <c r="I1102" s="963"/>
      <c r="J1102" s="963"/>
      <c r="K1102" s="963"/>
      <c r="L1102" s="963"/>
      <c r="M1102" s="963"/>
      <c r="N1102" s="963"/>
      <c r="O1102" s="958" t="s">
        <v>1587</v>
      </c>
      <c r="P1102" s="960" t="str">
        <f>'Part VIII-Threshold Criteria'!P193</f>
        <v>No</v>
      </c>
      <c r="Q1102" s="960">
        <f>'Part VIII-Threshold Criteria'!Q193</f>
        <v>0</v>
      </c>
    </row>
    <row r="1103" spans="1:17">
      <c r="B1103" s="937"/>
      <c r="C1103" s="948" t="s">
        <v>1859</v>
      </c>
      <c r="D1103" s="963" t="s">
        <v>1564</v>
      </c>
      <c r="E1103" s="963"/>
      <c r="F1103" s="963"/>
      <c r="G1103" s="963"/>
      <c r="H1103" s="963"/>
      <c r="I1103" s="963"/>
      <c r="J1103" s="963"/>
      <c r="K1103" s="963"/>
      <c r="L1103" s="963"/>
      <c r="M1103" s="963"/>
      <c r="N1103" s="963"/>
      <c r="O1103" s="958" t="s">
        <v>1859</v>
      </c>
      <c r="P1103" s="960">
        <f>'Part VIII-Threshold Criteria'!P194</f>
        <v>0</v>
      </c>
      <c r="Q1103" s="960">
        <f>'Part VIII-Threshold Criteria'!Q194</f>
        <v>0</v>
      </c>
    </row>
    <row r="1104" spans="1:17">
      <c r="A1104" s="947"/>
      <c r="B1104" s="937" t="s">
        <v>2120</v>
      </c>
      <c r="C1104" s="2319" t="s">
        <v>1977</v>
      </c>
      <c r="D1104" s="2319"/>
      <c r="E1104" s="2319"/>
      <c r="F1104" s="2319"/>
      <c r="G1104" s="2319"/>
      <c r="H1104" s="939" t="s">
        <v>1858</v>
      </c>
      <c r="I1104" s="584" t="s">
        <v>675</v>
      </c>
      <c r="K1104" s="2354" t="str">
        <f>'Part VIII-Threshold Criteria'!K195</f>
        <v>Athens Clarke County Water System</v>
      </c>
      <c r="L1104" s="2354"/>
      <c r="M1104" s="2354"/>
      <c r="N1104" s="2354"/>
      <c r="O1104" s="939" t="s">
        <v>1541</v>
      </c>
      <c r="P1104" s="960" t="str">
        <f>'Part VIII-Threshold Criteria'!P195</f>
        <v>Yes</v>
      </c>
      <c r="Q1104" s="960">
        <f>'Part VIII-Threshold Criteria'!Q195</f>
        <v>0</v>
      </c>
    </row>
    <row r="1105" spans="1:17">
      <c r="A1105" s="947"/>
      <c r="B1105" s="604"/>
      <c r="C1105" s="2319"/>
      <c r="D1105" s="2319"/>
      <c r="E1105" s="2319"/>
      <c r="F1105" s="2319"/>
      <c r="G1105" s="2319"/>
      <c r="H1105" s="939" t="s">
        <v>1859</v>
      </c>
      <c r="I1105" s="584" t="s">
        <v>119</v>
      </c>
      <c r="K1105" s="2354" t="str">
        <f>'Part VIII-Threshold Criteria'!K196</f>
        <v>Athens Clarke County Water System</v>
      </c>
      <c r="L1105" s="2354"/>
      <c r="M1105" s="2354"/>
      <c r="N1105" s="2354"/>
      <c r="O1105" s="939" t="s">
        <v>1859</v>
      </c>
      <c r="P1105" s="960" t="str">
        <f>'Part VIII-Threshold Criteria'!P196</f>
        <v>Yes</v>
      </c>
      <c r="Q1105" s="960">
        <f>'Part VIII-Threshold Criteria'!Q196</f>
        <v>0</v>
      </c>
    </row>
    <row r="1106" spans="1:17">
      <c r="B1106" s="953" t="s">
        <v>1994</v>
      </c>
      <c r="D1106" s="953"/>
      <c r="E1106" s="953"/>
      <c r="F1106" s="953"/>
      <c r="G1106" s="953"/>
      <c r="H1106" s="938"/>
      <c r="I1106" s="935"/>
      <c r="J1106" s="935"/>
      <c r="K1106" s="935"/>
      <c r="L1106" s="890"/>
      <c r="M1106" s="890"/>
      <c r="N1106" s="890"/>
      <c r="O1106" s="890"/>
      <c r="P1106" s="890"/>
      <c r="Q1106" s="890"/>
    </row>
    <row r="1107" spans="1:17">
      <c r="A1107" s="2319" t="str">
        <f>'Part VIII-Threshold Criteria'!A198</f>
        <v>The availabiloty and capacity letter is included in Tab 12</v>
      </c>
      <c r="B1107" s="2319"/>
      <c r="C1107" s="2319"/>
      <c r="D1107" s="2319"/>
      <c r="E1107" s="2319"/>
      <c r="F1107" s="2319"/>
      <c r="G1107" s="2319"/>
      <c r="H1107" s="2319"/>
      <c r="I1107" s="2319"/>
      <c r="J1107" s="2319"/>
      <c r="K1107" s="2319"/>
      <c r="L1107" s="2319"/>
      <c r="M1107" s="2319"/>
      <c r="N1107" s="2319"/>
      <c r="O1107" s="2319"/>
      <c r="P1107" s="2319"/>
      <c r="Q1107" s="2319"/>
    </row>
    <row r="1108" spans="1:17">
      <c r="B1108" s="942" t="s">
        <v>1995</v>
      </c>
      <c r="C1108" s="943"/>
      <c r="D1108" s="944"/>
      <c r="E1108" s="944"/>
      <c r="F1108" s="944"/>
      <c r="G1108" s="944"/>
      <c r="H1108" s="944"/>
      <c r="I1108" s="944"/>
      <c r="J1108" s="944"/>
      <c r="K1108" s="944"/>
      <c r="L1108" s="944"/>
      <c r="M1108" s="944"/>
      <c r="N1108" s="944"/>
      <c r="O1108" s="944"/>
      <c r="P1108" s="944"/>
      <c r="Q1108" s="944"/>
    </row>
    <row r="1109" spans="1:17">
      <c r="A1109" s="2333">
        <f>'Part VIII-Threshold Criteria'!A200</f>
        <v>0</v>
      </c>
      <c r="B1109" s="2333"/>
      <c r="C1109" s="2333"/>
      <c r="D1109" s="2333"/>
      <c r="E1109" s="2333"/>
      <c r="F1109" s="2333"/>
      <c r="G1109" s="2333"/>
      <c r="H1109" s="2333"/>
      <c r="I1109" s="2333"/>
      <c r="J1109" s="2333"/>
      <c r="K1109" s="2333"/>
      <c r="L1109" s="2333"/>
      <c r="M1109" s="2333"/>
      <c r="N1109" s="2333"/>
      <c r="O1109" s="2333"/>
      <c r="P1109" s="2333"/>
      <c r="Q1109" s="2333"/>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2857</v>
      </c>
      <c r="C1111" s="586"/>
      <c r="D1111" s="934"/>
      <c r="E1111" s="934"/>
      <c r="F1111" s="934"/>
      <c r="G1111" s="934"/>
      <c r="H1111" s="944"/>
      <c r="I1111" s="944"/>
      <c r="J1111" s="944"/>
      <c r="K1111" s="944"/>
      <c r="L1111" s="944"/>
      <c r="M1111" s="944"/>
      <c r="O1111" s="936" t="s">
        <v>1996</v>
      </c>
      <c r="P1111" s="2327">
        <f>'Part VIII-Threshold Criteria'!P202</f>
        <v>0</v>
      </c>
      <c r="Q1111" s="2327"/>
    </row>
    <row r="1112" spans="1:17">
      <c r="B1112" s="566" t="s">
        <v>150</v>
      </c>
    </row>
    <row r="1113" spans="1:17">
      <c r="B1113" s="940" t="s">
        <v>2117</v>
      </c>
      <c r="C1113" s="584" t="s">
        <v>3266</v>
      </c>
      <c r="D1113" s="583"/>
      <c r="E1113" s="584"/>
      <c r="F1113" s="584"/>
      <c r="G1113" s="584"/>
      <c r="H1113" s="584"/>
      <c r="I1113" s="583"/>
      <c r="J1113" s="583"/>
      <c r="K1113" s="583"/>
      <c r="L1113" s="951"/>
      <c r="M1113" s="951"/>
      <c r="O1113" s="958" t="s">
        <v>2117</v>
      </c>
      <c r="P1113" s="960" t="str">
        <f>'Part VIII-Threshold Criteria'!P204</f>
        <v>Yes</v>
      </c>
      <c r="Q1113" s="960">
        <f>'Part VIII-Threshold Criteria'!Q204</f>
        <v>0</v>
      </c>
    </row>
    <row r="1114" spans="1:17">
      <c r="B1114" s="940"/>
      <c r="C1114" s="584"/>
      <c r="D1114" s="584" t="s">
        <v>3577</v>
      </c>
      <c r="E1114" s="584"/>
      <c r="F1114" s="584"/>
      <c r="G1114" s="1071">
        <f>'Part VIII-Threshold Criteria'!G205</f>
        <v>41759</v>
      </c>
      <c r="H1114" s="584"/>
      <c r="I1114" s="584" t="s">
        <v>3578</v>
      </c>
      <c r="J1114" s="583"/>
      <c r="K1114" s="1071">
        <f>'Part VIII-Threshold Criteria'!K205</f>
        <v>41765</v>
      </c>
      <c r="M1114" s="951"/>
    </row>
    <row r="1115" spans="1:17">
      <c r="B1115" s="940"/>
      <c r="C1115" s="584"/>
      <c r="D1115" s="566" t="s">
        <v>3579</v>
      </c>
      <c r="E1115" s="584"/>
      <c r="F1115" s="584"/>
      <c r="G1115" s="2354" t="str">
        <f>'Part VIII-Threshold Criteria'!G206</f>
        <v>Athens Banner-Herald</v>
      </c>
      <c r="H1115" s="2354"/>
      <c r="I1115" s="2354"/>
      <c r="J1115" s="2354"/>
      <c r="K1115" s="2354"/>
      <c r="L1115" s="584"/>
      <c r="M1115" s="584"/>
      <c r="N1115" s="584"/>
      <c r="O1115" s="584"/>
      <c r="P1115" s="584"/>
    </row>
    <row r="1116" spans="1:17">
      <c r="B1116" s="940" t="s">
        <v>2120</v>
      </c>
      <c r="C1116" s="584" t="s">
        <v>3267</v>
      </c>
      <c r="D1116" s="584"/>
      <c r="E1116" s="584"/>
      <c r="F1116" s="584"/>
      <c r="G1116" s="584"/>
      <c r="H1116" s="584"/>
      <c r="I1116" s="583"/>
      <c r="J1116" s="583"/>
      <c r="K1116" s="583"/>
      <c r="L1116" s="946"/>
      <c r="M1116" s="946"/>
      <c r="O1116" s="958" t="s">
        <v>2120</v>
      </c>
      <c r="P1116" s="960" t="str">
        <f>'Part VIII-Threshold Criteria'!P207</f>
        <v>Yes</v>
      </c>
      <c r="Q1116" s="960">
        <f>'Part VIII-Threshold Criteria'!Q207</f>
        <v>0</v>
      </c>
    </row>
    <row r="1117" spans="1:17">
      <c r="B1117" s="940" t="s">
        <v>798</v>
      </c>
      <c r="C1117" s="584" t="s">
        <v>3268</v>
      </c>
      <c r="D1117" s="584"/>
      <c r="E1117" s="584"/>
      <c r="F1117" s="584"/>
      <c r="G1117" s="584"/>
      <c r="H1117" s="584"/>
      <c r="I1117" s="583"/>
      <c r="J1117" s="583"/>
      <c r="K1117" s="583"/>
      <c r="L1117" s="946"/>
      <c r="M1117" s="946"/>
      <c r="O1117" s="958" t="s">
        <v>798</v>
      </c>
      <c r="P1117" s="960" t="str">
        <f>'Part VIII-Threshold Criteria'!P208</f>
        <v>Yes</v>
      </c>
      <c r="Q1117" s="960">
        <f>'Part VIII-Threshold Criteria'!Q208</f>
        <v>0</v>
      </c>
    </row>
    <row r="1118" spans="1:17">
      <c r="B1118" s="940" t="s">
        <v>2252</v>
      </c>
      <c r="C1118" s="584" t="s">
        <v>3574</v>
      </c>
      <c r="D1118" s="584"/>
      <c r="E1118" s="584"/>
      <c r="F1118" s="584"/>
      <c r="G1118" s="584"/>
      <c r="H1118" s="584"/>
      <c r="I1118" s="583"/>
      <c r="J1118" s="583"/>
      <c r="K1118" s="583"/>
      <c r="L1118" s="951"/>
      <c r="M1118" s="951"/>
      <c r="O1118" s="939" t="s">
        <v>2252</v>
      </c>
      <c r="P1118" s="960" t="str">
        <f>'Part VIII-Threshold Criteria'!P209</f>
        <v>No</v>
      </c>
      <c r="Q1118" s="960">
        <f>'Part VIII-Threshold Criteria'!Q209</f>
        <v>0</v>
      </c>
    </row>
    <row r="1119" spans="1:17">
      <c r="B1119" s="940" t="s">
        <v>1856</v>
      </c>
      <c r="C1119" s="584" t="s">
        <v>151</v>
      </c>
      <c r="D1119" s="584"/>
      <c r="E1119" s="584"/>
      <c r="F1119" s="584"/>
      <c r="G1119" s="584"/>
      <c r="H1119" s="584"/>
      <c r="I1119" s="583"/>
      <c r="J1119" s="583"/>
      <c r="K1119" s="583"/>
      <c r="L1119" s="583"/>
      <c r="M1119" s="583"/>
      <c r="O1119" s="939" t="s">
        <v>1856</v>
      </c>
      <c r="P1119" s="960" t="str">
        <f>'Part VIII-Threshold Criteria'!P210</f>
        <v>No</v>
      </c>
      <c r="Q1119" s="960">
        <f>'Part VIII-Threshold Criteria'!Q210</f>
        <v>0</v>
      </c>
    </row>
    <row r="1120" spans="1:17">
      <c r="B1120" s="953" t="s">
        <v>1994</v>
      </c>
      <c r="D1120" s="953"/>
      <c r="E1120" s="953"/>
      <c r="F1120" s="953"/>
      <c r="G1120" s="953"/>
      <c r="H1120" s="938"/>
      <c r="I1120" s="935"/>
      <c r="J1120" s="935"/>
      <c r="K1120" s="935"/>
      <c r="L1120" s="890"/>
      <c r="M1120" s="890"/>
      <c r="N1120" s="890"/>
      <c r="O1120" s="890"/>
      <c r="P1120" s="890"/>
      <c r="Q1120" s="890"/>
    </row>
    <row r="1121" spans="1:17">
      <c r="A1121" s="2319" t="str">
        <f>'Part VIII-Threshold Criteria'!A212</f>
        <v xml:space="preserve">Documentation regarding local government and community engagement is located in Tab 13. </v>
      </c>
      <c r="B1121" s="2319"/>
      <c r="C1121" s="2319"/>
      <c r="D1121" s="2319"/>
      <c r="E1121" s="2319"/>
      <c r="F1121" s="2319"/>
      <c r="G1121" s="2319"/>
      <c r="H1121" s="2319"/>
      <c r="I1121" s="2319"/>
      <c r="J1121" s="2319"/>
      <c r="K1121" s="2319"/>
      <c r="L1121" s="2319"/>
      <c r="M1121" s="2319"/>
      <c r="N1121" s="2319"/>
      <c r="O1121" s="2319"/>
      <c r="P1121" s="2319"/>
      <c r="Q1121" s="2319"/>
    </row>
    <row r="1123" spans="1:17">
      <c r="B1123" s="942" t="s">
        <v>1995</v>
      </c>
      <c r="C1123" s="943"/>
      <c r="D1123" s="944"/>
      <c r="E1123" s="944"/>
      <c r="F1123" s="944"/>
      <c r="G1123" s="944"/>
      <c r="H1123" s="944"/>
      <c r="I1123" s="944"/>
      <c r="J1123" s="944"/>
      <c r="K1123" s="944"/>
      <c r="L1123" s="944"/>
      <c r="M1123" s="944"/>
      <c r="N1123" s="944"/>
      <c r="O1123" s="944"/>
      <c r="P1123" s="944"/>
      <c r="Q1123" s="944"/>
    </row>
    <row r="1124" spans="1:17">
      <c r="A1124" s="2333">
        <f>'Part VIII-Threshold Criteria'!A215</f>
        <v>0</v>
      </c>
      <c r="B1124" s="2333"/>
      <c r="C1124" s="2333"/>
      <c r="D1124" s="2333"/>
      <c r="E1124" s="2333"/>
      <c r="F1124" s="2333"/>
      <c r="G1124" s="2333"/>
      <c r="H1124" s="2333"/>
      <c r="I1124" s="2333"/>
      <c r="J1124" s="2333"/>
      <c r="K1124" s="2333"/>
      <c r="L1124" s="2333"/>
      <c r="M1124" s="2333"/>
      <c r="N1124" s="2333"/>
      <c r="O1124" s="2333"/>
      <c r="P1124" s="2333"/>
      <c r="Q1124" s="2333"/>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2858</v>
      </c>
      <c r="C1126" s="954"/>
      <c r="D1126" s="944"/>
      <c r="E1126" s="944"/>
      <c r="F1126" s="944"/>
      <c r="G1126" s="944"/>
      <c r="H1126" s="944"/>
      <c r="I1126" s="944"/>
      <c r="J1126" s="944"/>
      <c r="K1126" s="944"/>
      <c r="L1126" s="944"/>
      <c r="M1126" s="944"/>
      <c r="O1126" s="936" t="s">
        <v>1996</v>
      </c>
      <c r="P1126" s="2327">
        <f>'Part VIII-Threshold Criteria'!P217</f>
        <v>0</v>
      </c>
      <c r="Q1126" s="2327"/>
    </row>
    <row r="1127" spans="1:17">
      <c r="B1127" s="566" t="s">
        <v>1263</v>
      </c>
      <c r="N1127" s="784"/>
      <c r="P1127" s="960" t="str">
        <f>'Part VIII-Threshold Criteria'!P218</f>
        <v>No</v>
      </c>
      <c r="Q1127" s="960">
        <f>'Part VIII-Threshold Criteria'!Q218</f>
        <v>0</v>
      </c>
    </row>
    <row r="1128" spans="1:17">
      <c r="B1128" s="940" t="s">
        <v>2117</v>
      </c>
      <c r="C1128" s="934" t="s">
        <v>1467</v>
      </c>
      <c r="D1128" s="583"/>
      <c r="E1128" s="583"/>
      <c r="F1128" s="583"/>
      <c r="G1128" s="583"/>
      <c r="H1128" s="583"/>
      <c r="I1128" s="583"/>
      <c r="J1128" s="583"/>
      <c r="K1128" s="583"/>
      <c r="L1128" s="583"/>
      <c r="M1128" s="583"/>
    </row>
    <row r="1129" spans="1:17">
      <c r="B1129" s="940"/>
      <c r="C1129" s="939" t="s">
        <v>1858</v>
      </c>
      <c r="D1129" s="584" t="s">
        <v>2064</v>
      </c>
      <c r="E1129" s="584"/>
      <c r="F1129" s="584"/>
      <c r="G1129" s="584"/>
      <c r="H1129" s="584"/>
      <c r="I1129" s="583"/>
      <c r="K1129" s="939" t="s">
        <v>1587</v>
      </c>
      <c r="L1129" s="2354" t="str">
        <f>'Part VIII-Threshold Criteria'!L220</f>
        <v>Building</v>
      </c>
      <c r="M1129" s="2354"/>
      <c r="Q1129" s="960">
        <f>'Part VIII-Threshold Criteria'!Q220</f>
        <v>0</v>
      </c>
    </row>
    <row r="1130" spans="1:17" ht="13.5">
      <c r="B1130" s="940"/>
      <c r="C1130" s="939" t="s">
        <v>1859</v>
      </c>
      <c r="D1130" s="938" t="s">
        <v>2977</v>
      </c>
      <c r="E1130" s="938"/>
      <c r="F1130" s="938"/>
      <c r="G1130" s="938"/>
      <c r="H1130" s="938"/>
      <c r="I1130" s="583"/>
      <c r="K1130" s="939" t="s">
        <v>1588</v>
      </c>
      <c r="L1130" s="2354" t="str">
        <f>'Part VIII-Threshold Criteria'!L221</f>
        <v>Gazebo</v>
      </c>
      <c r="M1130" s="2354"/>
      <c r="N1130" s="2469" t="str">
        <f>'Part VIII-Threshold Criteria'!N221</f>
        <v>If "Other", explain here</v>
      </c>
      <c r="O1130" s="2469"/>
      <c r="P1130" s="2469"/>
      <c r="Q1130" s="960">
        <f>'Part VIII-Threshold Criteria'!Q221</f>
        <v>0</v>
      </c>
    </row>
    <row r="1131" spans="1:17">
      <c r="B1131" s="940"/>
      <c r="C1131" s="939" t="s">
        <v>1860</v>
      </c>
      <c r="D1131" s="938" t="s">
        <v>590</v>
      </c>
      <c r="E1131" s="938"/>
      <c r="F1131" s="938"/>
      <c r="G1131" s="938"/>
      <c r="H1131" s="938"/>
      <c r="I1131" s="583"/>
      <c r="K1131" s="939" t="s">
        <v>1589</v>
      </c>
      <c r="L1131" s="2354" t="str">
        <f>'Part VIII-Threshold Criteria'!L222</f>
        <v>On-site laundry</v>
      </c>
      <c r="M1131" s="2354"/>
      <c r="N1131" s="2354"/>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2120</v>
      </c>
      <c r="C1133" s="934" t="s">
        <v>2679</v>
      </c>
      <c r="D1133" s="584"/>
      <c r="E1133" s="584"/>
      <c r="F1133" s="584"/>
      <c r="G1133" s="584"/>
      <c r="H1133" s="584"/>
      <c r="I1133" s="584"/>
      <c r="J1133" s="584"/>
      <c r="K1133" s="583"/>
      <c r="L1133" s="583"/>
      <c r="M1133" s="583"/>
      <c r="N1133" s="583"/>
      <c r="O1133" s="939" t="s">
        <v>2120</v>
      </c>
      <c r="P1133" s="960" t="str">
        <f>'Part VIII-Threshold Criteria'!P224</f>
        <v>Agree</v>
      </c>
      <c r="Q1133" s="960">
        <f>'Part VIII-Threshold Criteria'!Q224</f>
        <v>0</v>
      </c>
    </row>
    <row r="1134" spans="1:17">
      <c r="B1134" s="940"/>
      <c r="C1134" s="584" t="s">
        <v>3679</v>
      </c>
      <c r="D1134" s="584"/>
      <c r="E1134" s="584"/>
      <c r="F1134" s="584"/>
      <c r="G1134" s="584"/>
      <c r="H1134" s="584"/>
      <c r="I1134" s="584"/>
      <c r="J1134" s="584"/>
      <c r="K1134" s="583"/>
      <c r="L1134" s="583"/>
      <c r="M1134" s="583"/>
      <c r="N1134" s="583"/>
      <c r="O1134" s="583"/>
      <c r="P1134" s="2314" t="s">
        <v>3</v>
      </c>
      <c r="Q1134" s="2314"/>
    </row>
    <row r="1135" spans="1:17">
      <c r="B1135" s="940"/>
      <c r="D1135" s="584" t="s">
        <v>2</v>
      </c>
      <c r="E1135" s="584"/>
      <c r="F1135" s="584"/>
      <c r="G1135" s="584"/>
      <c r="I1135" s="964" t="s">
        <v>824</v>
      </c>
      <c r="J1135" s="807" t="s">
        <v>825</v>
      </c>
      <c r="L1135" s="584" t="s">
        <v>2979</v>
      </c>
      <c r="M1135" s="583"/>
      <c r="N1135" s="583"/>
      <c r="O1135" s="964"/>
      <c r="P1135" s="965" t="s">
        <v>824</v>
      </c>
      <c r="Q1135" s="807" t="s">
        <v>825</v>
      </c>
    </row>
    <row r="1136" spans="1:17">
      <c r="A1136" s="583"/>
      <c r="B1136" s="960"/>
      <c r="C1136" s="939" t="s">
        <v>1858</v>
      </c>
      <c r="D1136" s="2319" t="str">
        <f>'Part VIII-Threshold Criteria'!D227</f>
        <v>Equipped Playground</v>
      </c>
      <c r="E1136" s="2319"/>
      <c r="F1136" s="2319"/>
      <c r="G1136" s="2319"/>
      <c r="H1136" s="2319"/>
      <c r="I1136" s="960">
        <f>'Part VIII-Threshold Criteria'!I227</f>
        <v>0</v>
      </c>
      <c r="J1136" s="960">
        <f>'Part VIII-Threshold Criteria'!J227</f>
        <v>0</v>
      </c>
      <c r="K1136" s="939" t="s">
        <v>1860</v>
      </c>
      <c r="L1136" s="2319" t="str">
        <f>'Part VIII-Threshold Criteria'!L227</f>
        <v>Equipped Computer Center</v>
      </c>
      <c r="M1136" s="2319"/>
      <c r="N1136" s="2319"/>
      <c r="O1136" s="2319"/>
      <c r="P1136" s="960">
        <f>'Part VIII-Threshold Criteria'!P227</f>
        <v>0</v>
      </c>
      <c r="Q1136" s="960">
        <f>'Part VIII-Threshold Criteria'!Q227</f>
        <v>0</v>
      </c>
    </row>
    <row r="1137" spans="1:17">
      <c r="A1137" s="583"/>
      <c r="B1137" s="960"/>
      <c r="C1137" s="939" t="s">
        <v>1859</v>
      </c>
      <c r="D1137" s="2319" t="str">
        <f>'Part VIII-Threshold Criteria'!D228</f>
        <v>Furnished Exercise / Fitness Center</v>
      </c>
      <c r="E1137" s="2319"/>
      <c r="F1137" s="2319"/>
      <c r="G1137" s="2319"/>
      <c r="H1137" s="2319"/>
      <c r="I1137" s="960">
        <f>'Part VIII-Threshold Criteria'!I228</f>
        <v>0</v>
      </c>
      <c r="J1137" s="960">
        <f>'Part VIII-Threshold Criteria'!J228</f>
        <v>0</v>
      </c>
      <c r="K1137" s="939" t="s">
        <v>2518</v>
      </c>
      <c r="L1137" s="2319" t="str">
        <f>'Part VIII-Threshold Criteria'!L228</f>
        <v>Covered Pavillion with Picnic/Barbeque</v>
      </c>
      <c r="M1137" s="2319"/>
      <c r="N1137" s="2319"/>
      <c r="O1137" s="2319"/>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798</v>
      </c>
      <c r="C1139" s="934" t="s">
        <v>1468</v>
      </c>
      <c r="D1139" s="584"/>
      <c r="E1139" s="584"/>
      <c r="F1139" s="584"/>
      <c r="G1139" s="584"/>
      <c r="H1139" s="584"/>
      <c r="I1139" s="584"/>
      <c r="J1139" s="584"/>
      <c r="K1139" s="583"/>
      <c r="L1139" s="584"/>
      <c r="M1139" s="584"/>
      <c r="O1139" s="939" t="s">
        <v>798</v>
      </c>
      <c r="P1139" s="960" t="str">
        <f>'Part VIII-Threshold Criteria'!P230</f>
        <v>Agree</v>
      </c>
      <c r="Q1139" s="960">
        <f>'Part VIII-Threshold Criteria'!Q230</f>
        <v>0</v>
      </c>
    </row>
    <row r="1140" spans="1:17">
      <c r="B1140" s="940"/>
      <c r="C1140" s="939" t="s">
        <v>1858</v>
      </c>
      <c r="D1140" s="584" t="s">
        <v>159</v>
      </c>
      <c r="E1140" s="584"/>
      <c r="F1140" s="584"/>
      <c r="G1140" s="584"/>
      <c r="H1140" s="584"/>
      <c r="I1140" s="583"/>
      <c r="J1140" s="583"/>
      <c r="K1140" s="583"/>
      <c r="L1140" s="583"/>
      <c r="M1140" s="583"/>
      <c r="O1140" s="939" t="s">
        <v>1858</v>
      </c>
      <c r="P1140" s="960" t="str">
        <f>'Part VIII-Threshold Criteria'!P231</f>
        <v>Yes</v>
      </c>
      <c r="Q1140" s="960">
        <f>'Part VIII-Threshold Criteria'!Q231</f>
        <v>0</v>
      </c>
    </row>
    <row r="1141" spans="1:17">
      <c r="C1141" s="939" t="s">
        <v>1859</v>
      </c>
      <c r="D1141" s="938" t="s">
        <v>3269</v>
      </c>
      <c r="E1141" s="938"/>
      <c r="F1141" s="938"/>
      <c r="G1141" s="938"/>
      <c r="H1141" s="938"/>
      <c r="I1141" s="583"/>
      <c r="J1141" s="583"/>
      <c r="K1141" s="583"/>
      <c r="L1141" s="583"/>
      <c r="M1141" s="583"/>
      <c r="O1141" s="939" t="s">
        <v>1859</v>
      </c>
      <c r="P1141" s="960" t="str">
        <f>'Part VIII-Threshold Criteria'!P232</f>
        <v>Yes</v>
      </c>
      <c r="Q1141" s="960">
        <f>'Part VIII-Threshold Criteria'!Q232</f>
        <v>0</v>
      </c>
    </row>
    <row r="1142" spans="1:17">
      <c r="C1142" s="939" t="s">
        <v>1860</v>
      </c>
      <c r="D1142" s="938" t="s">
        <v>3270</v>
      </c>
      <c r="E1142" s="938"/>
      <c r="F1142" s="938"/>
      <c r="G1142" s="938"/>
      <c r="H1142" s="938"/>
      <c r="I1142" s="583"/>
      <c r="J1142" s="583"/>
      <c r="K1142" s="583"/>
      <c r="L1142" s="583"/>
      <c r="M1142" s="583"/>
      <c r="O1142" s="939" t="s">
        <v>1860</v>
      </c>
      <c r="P1142" s="960" t="str">
        <f>'Part VIII-Threshold Criteria'!P233</f>
        <v>Yes</v>
      </c>
      <c r="Q1142" s="960">
        <f>'Part VIII-Threshold Criteria'!Q233</f>
        <v>0</v>
      </c>
    </row>
    <row r="1143" spans="1:17">
      <c r="B1143" s="940"/>
      <c r="C1143" s="939" t="s">
        <v>2518</v>
      </c>
      <c r="D1143" s="938" t="s">
        <v>3271</v>
      </c>
      <c r="E1143" s="938"/>
      <c r="F1143" s="938"/>
      <c r="G1143" s="938"/>
      <c r="H1143" s="938"/>
      <c r="I1143" s="583"/>
      <c r="J1143" s="583"/>
      <c r="K1143" s="583"/>
      <c r="L1143" s="583"/>
      <c r="M1143" s="583"/>
      <c r="O1143" s="939" t="s">
        <v>2518</v>
      </c>
      <c r="P1143" s="960" t="str">
        <f>'Part VIII-Threshold Criteria'!P234</f>
        <v>Yes</v>
      </c>
      <c r="Q1143" s="960">
        <f>'Part VIII-Threshold Criteria'!Q234</f>
        <v>0</v>
      </c>
    </row>
    <row r="1144" spans="1:17">
      <c r="B1144" s="940"/>
      <c r="C1144" s="939" t="s">
        <v>1656</v>
      </c>
      <c r="D1144" s="938" t="s">
        <v>3272</v>
      </c>
      <c r="E1144" s="938"/>
      <c r="F1144" s="938"/>
      <c r="G1144" s="938"/>
      <c r="H1144" s="938"/>
      <c r="I1144" s="583"/>
      <c r="J1144" s="583"/>
      <c r="K1144" s="583"/>
      <c r="L1144" s="583"/>
      <c r="M1144" s="583"/>
      <c r="O1144" s="939" t="s">
        <v>1656</v>
      </c>
      <c r="P1144" s="960" t="str">
        <f>'Part VIII-Threshold Criteria'!P235</f>
        <v>Yes</v>
      </c>
      <c r="Q1144" s="960">
        <f>'Part VIII-Threshold Criteria'!Q235</f>
        <v>0</v>
      </c>
    </row>
    <row r="1145" spans="1:17">
      <c r="B1145" s="940"/>
      <c r="C1145" s="939" t="s">
        <v>1657</v>
      </c>
      <c r="D1145" s="584" t="s">
        <v>826</v>
      </c>
      <c r="E1145" s="584"/>
      <c r="F1145" s="584"/>
      <c r="G1145" s="584"/>
      <c r="H1145" s="584"/>
      <c r="I1145" s="583"/>
      <c r="J1145" s="583"/>
      <c r="K1145" s="583"/>
      <c r="L1145" s="583"/>
      <c r="M1145" s="583"/>
      <c r="O1145" s="939" t="s">
        <v>3255</v>
      </c>
      <c r="P1145" s="960" t="str">
        <f>'Part VIII-Threshold Criteria'!P236</f>
        <v>Yes</v>
      </c>
      <c r="Q1145" s="960">
        <f>'Part VIII-Threshold Criteria'!Q236</f>
        <v>0</v>
      </c>
    </row>
    <row r="1146" spans="1:17">
      <c r="B1146" s="940"/>
      <c r="C1146" s="939"/>
      <c r="D1146" s="584" t="s">
        <v>1590</v>
      </c>
      <c r="E1146" s="584"/>
      <c r="F1146" s="584"/>
      <c r="G1146" s="584"/>
      <c r="H1146" s="584"/>
      <c r="I1146" s="583"/>
      <c r="J1146" s="583"/>
      <c r="K1146" s="583"/>
      <c r="L1146" s="583"/>
      <c r="M1146" s="583"/>
      <c r="O1146" s="939" t="s">
        <v>3256</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2252</v>
      </c>
      <c r="C1148" s="934" t="s">
        <v>2892</v>
      </c>
      <c r="D1148" s="584"/>
      <c r="E1148" s="584"/>
      <c r="F1148" s="584"/>
      <c r="G1148" s="584"/>
      <c r="H1148" s="584"/>
      <c r="I1148" s="584"/>
      <c r="J1148" s="584"/>
      <c r="K1148" s="583"/>
      <c r="L1148" s="584"/>
      <c r="M1148" s="584"/>
      <c r="O1148" s="939" t="s">
        <v>2252</v>
      </c>
      <c r="P1148" s="960">
        <f>'Part VIII-Threshold Criteria'!P239</f>
        <v>0</v>
      </c>
      <c r="Q1148" s="960">
        <f>'Part VIII-Threshold Criteria'!Q239</f>
        <v>0</v>
      </c>
    </row>
    <row r="1149" spans="1:17">
      <c r="B1149" s="940"/>
      <c r="C1149" s="939" t="s">
        <v>1858</v>
      </c>
      <c r="D1149" s="584" t="s">
        <v>1332</v>
      </c>
      <c r="E1149" s="583"/>
      <c r="F1149" s="583"/>
      <c r="G1149" s="584"/>
      <c r="H1149" s="938"/>
      <c r="I1149" s="583"/>
      <c r="J1149" s="938"/>
      <c r="K1149" s="583"/>
      <c r="L1149" s="938"/>
      <c r="M1149" s="938"/>
      <c r="O1149" s="939" t="s">
        <v>1858</v>
      </c>
      <c r="P1149" s="960">
        <f>'Part VIII-Threshold Criteria'!P240</f>
        <v>0</v>
      </c>
      <c r="Q1149" s="960">
        <f>'Part VIII-Threshold Criteria'!Q240</f>
        <v>0</v>
      </c>
    </row>
    <row r="1150" spans="1:17">
      <c r="B1150" s="940"/>
      <c r="C1150" s="939" t="s">
        <v>1859</v>
      </c>
      <c r="D1150" s="584" t="s">
        <v>152</v>
      </c>
      <c r="E1150" s="583"/>
      <c r="F1150" s="583"/>
      <c r="G1150" s="938"/>
      <c r="H1150" s="938"/>
      <c r="I1150" s="583"/>
      <c r="J1150" s="938"/>
      <c r="K1150" s="583"/>
      <c r="L1150" s="938"/>
      <c r="M1150" s="938"/>
      <c r="O1150" s="939" t="s">
        <v>1859</v>
      </c>
      <c r="P1150" s="960">
        <f>'Part VIII-Threshold Criteria'!P241</f>
        <v>0</v>
      </c>
      <c r="Q1150" s="960">
        <f>'Part VIII-Threshold Criteria'!Q241</f>
        <v>0</v>
      </c>
    </row>
    <row r="1151" spans="1:17">
      <c r="B1151" s="940"/>
      <c r="C1151" s="939" t="s">
        <v>1860</v>
      </c>
      <c r="D1151" s="938" t="s">
        <v>1752</v>
      </c>
      <c r="E1151" s="583"/>
      <c r="F1151" s="583"/>
      <c r="G1151" s="938"/>
      <c r="H1151" s="938"/>
      <c r="I1151" s="583"/>
      <c r="J1151" s="938"/>
      <c r="K1151" s="583"/>
      <c r="L1151" s="938"/>
      <c r="M1151" s="938"/>
      <c r="O1151" s="939" t="s">
        <v>2524</v>
      </c>
      <c r="P1151" s="960">
        <f>'Part VIII-Threshold Criteria'!P242</f>
        <v>0</v>
      </c>
      <c r="Q1151" s="960">
        <f>'Part VIII-Threshold Criteria'!Q242</f>
        <v>0</v>
      </c>
    </row>
    <row r="1152" spans="1:17">
      <c r="B1152" s="584"/>
      <c r="C1152" s="583"/>
      <c r="D1152" s="938" t="s">
        <v>1370</v>
      </c>
      <c r="E1152" s="583"/>
      <c r="F1152" s="583"/>
      <c r="G1152" s="938"/>
      <c r="H1152" s="938"/>
      <c r="I1152" s="583"/>
      <c r="J1152" s="938"/>
      <c r="K1152" s="583"/>
      <c r="L1152" s="938"/>
      <c r="M1152" s="938"/>
      <c r="O1152" s="939" t="s">
        <v>2525</v>
      </c>
      <c r="P1152" s="960">
        <f>'Part VIII-Threshold Criteria'!P243</f>
        <v>0</v>
      </c>
      <c r="Q1152" s="960">
        <f>'Part VIII-Threshold Criteria'!Q243</f>
        <v>0</v>
      </c>
    </row>
    <row r="1153" spans="1:17">
      <c r="B1153" s="953" t="s">
        <v>1994</v>
      </c>
      <c r="D1153" s="953"/>
      <c r="E1153" s="953"/>
      <c r="F1153" s="953"/>
      <c r="G1153" s="953"/>
      <c r="H1153" s="938"/>
      <c r="I1153" s="935"/>
      <c r="J1153" s="935"/>
      <c r="K1153" s="935"/>
      <c r="L1153" s="890"/>
      <c r="M1153" s="890"/>
      <c r="N1153" s="890"/>
      <c r="O1153" s="890"/>
      <c r="P1153" s="890"/>
      <c r="Q1153" s="890"/>
    </row>
    <row r="1154" spans="1:17">
      <c r="A1154" s="2319">
        <f>'Part VIII-Threshold Criteria'!A245</f>
        <v>0</v>
      </c>
      <c r="B1154" s="2319"/>
      <c r="C1154" s="2319"/>
      <c r="D1154" s="2319"/>
      <c r="E1154" s="2319"/>
      <c r="F1154" s="2319"/>
      <c r="G1154" s="2319"/>
      <c r="H1154" s="2319"/>
      <c r="I1154" s="2319"/>
      <c r="J1154" s="2319"/>
      <c r="K1154" s="2319"/>
      <c r="L1154" s="2319"/>
      <c r="M1154" s="2319"/>
      <c r="N1154" s="2319"/>
      <c r="O1154" s="2319"/>
      <c r="P1154" s="2319"/>
      <c r="Q1154" s="2319"/>
    </row>
    <row r="1155" spans="1:17">
      <c r="B1155" s="942" t="s">
        <v>1995</v>
      </c>
      <c r="C1155" s="943"/>
      <c r="D1155" s="944"/>
      <c r="E1155" s="944"/>
      <c r="F1155" s="944"/>
      <c r="G1155" s="944"/>
      <c r="H1155" s="944"/>
      <c r="I1155" s="944"/>
      <c r="J1155" s="944"/>
      <c r="K1155" s="944"/>
      <c r="L1155" s="944"/>
      <c r="M1155" s="944"/>
      <c r="N1155" s="944"/>
      <c r="O1155" s="944"/>
      <c r="P1155" s="944"/>
      <c r="Q1155" s="944"/>
    </row>
    <row r="1156" spans="1:17">
      <c r="A1156" s="2333">
        <f>'Part VIII-Threshold Criteria'!A247</f>
        <v>0</v>
      </c>
      <c r="B1156" s="2333"/>
      <c r="C1156" s="2333"/>
      <c r="D1156" s="2333"/>
      <c r="E1156" s="2333"/>
      <c r="F1156" s="2333"/>
      <c r="G1156" s="2333"/>
      <c r="H1156" s="2333"/>
      <c r="I1156" s="2333"/>
      <c r="J1156" s="2333"/>
      <c r="K1156" s="2333"/>
      <c r="L1156" s="2333"/>
      <c r="M1156" s="2333"/>
      <c r="N1156" s="2333"/>
      <c r="O1156" s="2333"/>
      <c r="P1156" s="2333"/>
      <c r="Q1156" s="2333"/>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2859</v>
      </c>
      <c r="C1158" s="586"/>
      <c r="D1158" s="934"/>
      <c r="E1158" s="934"/>
      <c r="F1158" s="934"/>
      <c r="G1158" s="934"/>
      <c r="H1158" s="944"/>
      <c r="I1158" s="944"/>
      <c r="J1158" s="944"/>
      <c r="K1158" s="944"/>
      <c r="L1158" s="944"/>
      <c r="M1158" s="944"/>
      <c r="O1158" s="936" t="s">
        <v>1996</v>
      </c>
      <c r="P1158" s="2327">
        <f>'Part VIII-Threshold Criteria'!P249</f>
        <v>0</v>
      </c>
      <c r="Q1158" s="2327"/>
    </row>
    <row r="1160" spans="1:17">
      <c r="B1160" s="940" t="s">
        <v>2117</v>
      </c>
      <c r="C1160" s="584" t="s">
        <v>1347</v>
      </c>
      <c r="D1160" s="583"/>
      <c r="E1160" s="584"/>
      <c r="F1160" s="584"/>
      <c r="G1160" s="584"/>
      <c r="H1160" s="584"/>
      <c r="I1160" s="583"/>
      <c r="J1160" s="583"/>
      <c r="K1160" s="583"/>
      <c r="L1160" s="939" t="s">
        <v>2117</v>
      </c>
      <c r="M1160" s="2354" t="str">
        <f>'Part VIII-Threshold Criteria'!M251</f>
        <v>Substantial Gut Rehab</v>
      </c>
      <c r="N1160" s="2354"/>
      <c r="O1160" s="2354"/>
      <c r="P1160" s="2354" t="str">
        <f>'Part VIII-Threshold Criteria'!P251</f>
        <v>&lt;&lt;Select&gt;&gt;</v>
      </c>
      <c r="Q1160" s="2354"/>
    </row>
    <row r="1161" spans="1:17">
      <c r="B1161" s="940" t="s">
        <v>2120</v>
      </c>
      <c r="C1161" s="584" t="s">
        <v>3273</v>
      </c>
      <c r="D1161" s="584"/>
      <c r="E1161" s="584"/>
      <c r="F1161" s="584"/>
      <c r="G1161" s="584"/>
      <c r="H1161" s="584"/>
      <c r="I1161" s="583"/>
      <c r="J1161" s="583"/>
      <c r="K1161" s="583"/>
      <c r="L1161" s="939" t="s">
        <v>2120</v>
      </c>
      <c r="M1161" s="2460">
        <f>'Part VIII-Threshold Criteria'!M252</f>
        <v>41794</v>
      </c>
      <c r="N1161" s="2460"/>
      <c r="O1161" s="2460"/>
      <c r="P1161" s="2460">
        <f>'Part VIII-Threshold Criteria'!P252</f>
        <v>0</v>
      </c>
      <c r="Q1161" s="2460"/>
    </row>
    <row r="1162" spans="1:17">
      <c r="B1162" s="940" t="s">
        <v>798</v>
      </c>
      <c r="C1162" s="584" t="s">
        <v>2078</v>
      </c>
      <c r="D1162" s="584"/>
      <c r="E1162" s="584"/>
      <c r="F1162" s="584"/>
      <c r="G1162" s="584"/>
      <c r="H1162" s="584"/>
      <c r="I1162" s="583"/>
      <c r="J1162" s="583"/>
      <c r="K1162" s="583"/>
      <c r="L1162" s="939" t="s">
        <v>798</v>
      </c>
      <c r="M1162" s="2354" t="str">
        <f>'Part VIII-Threshold Criteria'!M253</f>
        <v>Ray Engineering</v>
      </c>
      <c r="N1162" s="2354"/>
      <c r="O1162" s="2354"/>
      <c r="P1162" s="2354">
        <f>'Part VIII-Threshold Criteria'!P253</f>
        <v>0</v>
      </c>
      <c r="Q1162" s="2354"/>
    </row>
    <row r="1163" spans="1:17">
      <c r="B1163" s="940" t="s">
        <v>2252</v>
      </c>
      <c r="C1163" s="584" t="s">
        <v>2724</v>
      </c>
      <c r="D1163" s="584"/>
      <c r="E1163" s="584"/>
      <c r="F1163" s="584"/>
      <c r="G1163" s="584"/>
      <c r="H1163" s="584"/>
      <c r="I1163" s="583"/>
      <c r="J1163" s="583"/>
      <c r="K1163" s="583"/>
      <c r="L1163" s="583"/>
      <c r="M1163" s="583"/>
      <c r="O1163" s="939" t="s">
        <v>2252</v>
      </c>
      <c r="P1163" s="960" t="str">
        <f>'Part VIII-Threshold Criteria'!P254</f>
        <v>Yes</v>
      </c>
      <c r="Q1163" s="960">
        <f>'Part VIII-Threshold Criteria'!Q254</f>
        <v>0</v>
      </c>
    </row>
    <row r="1164" spans="1:17">
      <c r="B1164" s="937" t="s">
        <v>1856</v>
      </c>
      <c r="C1164" s="2319" t="s">
        <v>3680</v>
      </c>
      <c r="D1164" s="2319"/>
      <c r="E1164" s="2319"/>
      <c r="F1164" s="2319"/>
      <c r="G1164" s="2319"/>
      <c r="H1164" s="2319"/>
      <c r="I1164" s="2319"/>
      <c r="J1164" s="2319"/>
      <c r="K1164" s="2319"/>
      <c r="L1164" s="2319"/>
      <c r="M1164" s="2319"/>
      <c r="N1164" s="2319"/>
      <c r="O1164" s="958" t="s">
        <v>1856</v>
      </c>
      <c r="P1164" s="960" t="str">
        <f>'Part VIII-Threshold Criteria'!P255</f>
        <v>Agree</v>
      </c>
      <c r="Q1164" s="960">
        <f>'Part VIII-Threshold Criteria'!Q255</f>
        <v>0</v>
      </c>
    </row>
    <row r="1165" spans="1:17">
      <c r="B1165" s="953" t="s">
        <v>1994</v>
      </c>
      <c r="D1165" s="953"/>
      <c r="E1165" s="953"/>
      <c r="F1165" s="953"/>
      <c r="G1165" s="953"/>
      <c r="H1165" s="938"/>
      <c r="I1165" s="935"/>
      <c r="J1165" s="935"/>
      <c r="K1165" s="935"/>
      <c r="L1165" s="890"/>
      <c r="M1165" s="890"/>
      <c r="N1165" s="890"/>
      <c r="O1165" s="890"/>
      <c r="P1165" s="890"/>
      <c r="Q1165" s="890"/>
    </row>
    <row r="1166" spans="1:17">
      <c r="A1166" s="2319">
        <f>'Part VIII-Threshold Criteria'!A257</f>
        <v>0</v>
      </c>
      <c r="B1166" s="2319"/>
      <c r="C1166" s="2319"/>
      <c r="D1166" s="2319"/>
      <c r="E1166" s="2319"/>
      <c r="F1166" s="2319"/>
      <c r="G1166" s="2319"/>
      <c r="H1166" s="2319"/>
      <c r="I1166" s="2319"/>
      <c r="J1166" s="2319"/>
      <c r="K1166" s="2319"/>
      <c r="L1166" s="2319"/>
      <c r="M1166" s="2319"/>
      <c r="N1166" s="2319"/>
      <c r="O1166" s="2319"/>
      <c r="P1166" s="2319"/>
      <c r="Q1166" s="2319"/>
    </row>
    <row r="1167" spans="1:17">
      <c r="B1167" s="942" t="s">
        <v>1995</v>
      </c>
      <c r="C1167" s="943"/>
      <c r="D1167" s="944"/>
      <c r="E1167" s="944"/>
      <c r="F1167" s="944"/>
      <c r="G1167" s="944"/>
      <c r="H1167" s="944"/>
      <c r="I1167" s="944"/>
      <c r="J1167" s="944"/>
      <c r="K1167" s="944"/>
      <c r="L1167" s="944"/>
      <c r="M1167" s="944"/>
      <c r="N1167" s="944"/>
      <c r="O1167" s="944"/>
      <c r="P1167" s="944"/>
      <c r="Q1167" s="944"/>
    </row>
    <row r="1168" spans="1:17">
      <c r="A1168" s="2333">
        <f>'Part VIII-Threshold Criteria'!A259</f>
        <v>0</v>
      </c>
      <c r="B1168" s="2333"/>
      <c r="C1168" s="2333"/>
      <c r="D1168" s="2333"/>
      <c r="E1168" s="2333"/>
      <c r="F1168" s="2333"/>
      <c r="G1168" s="2333"/>
      <c r="H1168" s="2333"/>
      <c r="I1168" s="2333"/>
      <c r="J1168" s="2333"/>
      <c r="K1168" s="2333"/>
      <c r="L1168" s="2333"/>
      <c r="M1168" s="2333"/>
      <c r="N1168" s="2333"/>
      <c r="O1168" s="2333"/>
      <c r="P1168" s="2333"/>
      <c r="Q1168" s="2333"/>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2860</v>
      </c>
      <c r="C1170" s="586"/>
      <c r="D1170" s="934"/>
      <c r="E1170" s="934"/>
      <c r="F1170" s="934"/>
      <c r="G1170" s="934"/>
      <c r="H1170" s="944"/>
      <c r="I1170" s="944"/>
      <c r="J1170" s="944"/>
      <c r="K1170" s="944"/>
      <c r="L1170" s="944"/>
      <c r="M1170" s="944"/>
      <c r="O1170" s="936" t="s">
        <v>1996</v>
      </c>
      <c r="P1170" s="2327">
        <f>'Part VIII-Threshold Criteria'!P261</f>
        <v>0</v>
      </c>
      <c r="Q1170" s="2327"/>
    </row>
    <row r="1172" spans="1:17">
      <c r="A1172" s="957"/>
      <c r="B1172" s="937" t="s">
        <v>2117</v>
      </c>
      <c r="C1172" s="2319" t="s">
        <v>3274</v>
      </c>
      <c r="D1172" s="2319"/>
      <c r="E1172" s="2319"/>
      <c r="F1172" s="2319"/>
      <c r="G1172" s="2319"/>
      <c r="H1172" s="2319"/>
      <c r="I1172" s="2319"/>
      <c r="J1172" s="2319"/>
      <c r="K1172" s="2319"/>
      <c r="L1172" s="2319"/>
      <c r="M1172" s="2319"/>
      <c r="N1172" s="2319"/>
      <c r="O1172" s="958" t="s">
        <v>2117</v>
      </c>
      <c r="P1172" s="960" t="str">
        <f>'Part VIII-Threshold Criteria'!P263</f>
        <v>Yes</v>
      </c>
      <c r="Q1172" s="960">
        <f>'Part VIII-Threshold Criteria'!Q263</f>
        <v>0</v>
      </c>
    </row>
    <row r="1173" spans="1:17">
      <c r="B1173" s="940" t="s">
        <v>2120</v>
      </c>
      <c r="C1173" s="584" t="s">
        <v>1494</v>
      </c>
      <c r="D1173" s="584"/>
      <c r="E1173" s="584"/>
      <c r="F1173" s="584"/>
      <c r="G1173" s="584"/>
      <c r="H1173" s="584"/>
      <c r="I1173" s="584"/>
      <c r="J1173" s="584"/>
      <c r="K1173" s="584"/>
      <c r="L1173" s="584"/>
      <c r="M1173" s="584"/>
      <c r="O1173" s="939" t="s">
        <v>2120</v>
      </c>
      <c r="P1173" s="960" t="str">
        <f>'Part VIII-Threshold Criteria'!P264</f>
        <v>Yes</v>
      </c>
      <c r="Q1173" s="960">
        <f>'Part VIII-Threshold Criteria'!Q264</f>
        <v>0</v>
      </c>
    </row>
    <row r="1174" spans="1:17">
      <c r="B1174" s="953" t="s">
        <v>1994</v>
      </c>
      <c r="D1174" s="953"/>
      <c r="E1174" s="953"/>
      <c r="F1174" s="953"/>
      <c r="G1174" s="953"/>
      <c r="H1174" s="938"/>
      <c r="I1174" s="935"/>
      <c r="J1174" s="935"/>
      <c r="K1174" s="935"/>
      <c r="L1174" s="890"/>
      <c r="M1174" s="890"/>
      <c r="N1174" s="890"/>
      <c r="O1174" s="890"/>
      <c r="P1174" s="890"/>
      <c r="Q1174" s="890"/>
    </row>
    <row r="1175" spans="1:17">
      <c r="A1175" s="2319">
        <f>'Part VIII-Threshold Criteria'!A266</f>
        <v>0</v>
      </c>
      <c r="B1175" s="2319"/>
      <c r="C1175" s="2319"/>
      <c r="D1175" s="2319"/>
      <c r="E1175" s="2319"/>
      <c r="F1175" s="2319"/>
      <c r="G1175" s="2319"/>
      <c r="H1175" s="2319"/>
      <c r="I1175" s="2319"/>
      <c r="J1175" s="2319"/>
      <c r="K1175" s="2319"/>
      <c r="L1175" s="2319"/>
      <c r="M1175" s="2319"/>
      <c r="N1175" s="2319"/>
      <c r="O1175" s="2319"/>
      <c r="P1175" s="2319"/>
      <c r="Q1175" s="2319"/>
    </row>
    <row r="1176" spans="1:17">
      <c r="B1176" s="942" t="s">
        <v>1995</v>
      </c>
      <c r="C1176" s="943"/>
      <c r="D1176" s="944"/>
      <c r="E1176" s="944"/>
      <c r="F1176" s="944"/>
      <c r="G1176" s="944"/>
      <c r="H1176" s="944"/>
      <c r="I1176" s="944"/>
      <c r="J1176" s="944"/>
      <c r="K1176" s="944"/>
      <c r="L1176" s="944"/>
      <c r="M1176" s="944"/>
      <c r="N1176" s="944"/>
      <c r="O1176" s="944"/>
      <c r="P1176" s="944"/>
      <c r="Q1176" s="944"/>
    </row>
    <row r="1177" spans="1:17">
      <c r="A1177" s="2333">
        <f>'Part VIII-Threshold Criteria'!A268</f>
        <v>0</v>
      </c>
      <c r="B1177" s="2333"/>
      <c r="C1177" s="2333"/>
      <c r="D1177" s="2333"/>
      <c r="E1177" s="2333"/>
      <c r="F1177" s="2333"/>
      <c r="G1177" s="2333"/>
      <c r="H1177" s="2333"/>
      <c r="I1177" s="2333"/>
      <c r="J1177" s="2333"/>
      <c r="K1177" s="2333"/>
      <c r="L1177" s="2333"/>
      <c r="M1177" s="2333"/>
      <c r="N1177" s="2333"/>
      <c r="O1177" s="2333"/>
      <c r="P1177" s="2333"/>
      <c r="Q1177" s="2333"/>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2861</v>
      </c>
      <c r="C1179" s="885"/>
      <c r="D1179" s="944"/>
      <c r="E1179" s="944"/>
      <c r="F1179" s="944"/>
      <c r="G1179" s="944"/>
      <c r="H1179" s="944"/>
      <c r="I1179" s="944"/>
      <c r="J1179" s="944"/>
      <c r="K1179" s="944"/>
      <c r="L1179" s="944"/>
      <c r="M1179" s="944"/>
      <c r="O1179" s="936" t="s">
        <v>1996</v>
      </c>
      <c r="P1179" s="2327">
        <f>'Part VIII-Threshold Criteria'!P270</f>
        <v>0</v>
      </c>
      <c r="Q1179" s="2327"/>
    </row>
    <row r="1181" spans="1:17">
      <c r="A1181" s="957"/>
      <c r="B1181" s="937" t="s">
        <v>2117</v>
      </c>
      <c r="C1181" s="2323" t="s">
        <v>3275</v>
      </c>
      <c r="D1181" s="2342"/>
      <c r="E1181" s="2342"/>
      <c r="F1181" s="2342"/>
      <c r="G1181" s="2342"/>
      <c r="H1181" s="2342"/>
      <c r="I1181" s="2342"/>
      <c r="J1181" s="2342"/>
      <c r="K1181" s="2342"/>
      <c r="L1181" s="2342"/>
      <c r="M1181" s="2342"/>
      <c r="N1181" s="2342"/>
      <c r="O1181" s="958" t="s">
        <v>2117</v>
      </c>
      <c r="P1181" s="960" t="str">
        <f>'Part VIII-Threshold Criteria'!P272</f>
        <v>Agree</v>
      </c>
      <c r="Q1181" s="960">
        <f>'Part VIII-Threshold Criteria'!Q272</f>
        <v>0</v>
      </c>
    </row>
    <row r="1182" spans="1:17">
      <c r="A1182" s="957"/>
      <c r="B1182" s="937" t="s">
        <v>2120</v>
      </c>
      <c r="C1182" s="2323" t="s">
        <v>3276</v>
      </c>
      <c r="D1182" s="2342"/>
      <c r="E1182" s="2342"/>
      <c r="F1182" s="2342"/>
      <c r="G1182" s="2342"/>
      <c r="H1182" s="2342"/>
      <c r="I1182" s="2342"/>
      <c r="J1182" s="2342"/>
      <c r="K1182" s="2342"/>
      <c r="L1182" s="2342"/>
      <c r="M1182" s="2342"/>
      <c r="N1182" s="2342"/>
      <c r="O1182" s="958" t="s">
        <v>2120</v>
      </c>
      <c r="P1182" s="960" t="str">
        <f>'Part VIII-Threshold Criteria'!P273</f>
        <v>Agree</v>
      </c>
      <c r="Q1182" s="960">
        <f>'Part VIII-Threshold Criteria'!Q273</f>
        <v>0</v>
      </c>
    </row>
    <row r="1183" spans="1:17">
      <c r="B1183" s="953" t="s">
        <v>1994</v>
      </c>
      <c r="D1183" s="953"/>
      <c r="E1183" s="953"/>
      <c r="F1183" s="953"/>
      <c r="G1183" s="953"/>
      <c r="H1183" s="938"/>
      <c r="I1183" s="935"/>
      <c r="J1183" s="935"/>
      <c r="K1183" s="935"/>
      <c r="L1183" s="890"/>
      <c r="M1183" s="890"/>
      <c r="N1183" s="890"/>
      <c r="O1183" s="890"/>
      <c r="P1183" s="890"/>
      <c r="Q1183" s="890"/>
    </row>
    <row r="1184" spans="1:17">
      <c r="A1184" s="2319">
        <f>'Part VIII-Threshold Criteria'!A275</f>
        <v>0</v>
      </c>
      <c r="B1184" s="2319"/>
      <c r="C1184" s="2319"/>
      <c r="D1184" s="2319"/>
      <c r="E1184" s="2319"/>
      <c r="F1184" s="2319"/>
      <c r="G1184" s="2319"/>
      <c r="H1184" s="2319"/>
      <c r="I1184" s="2319"/>
      <c r="J1184" s="2319"/>
      <c r="K1184" s="2319"/>
      <c r="L1184" s="2319"/>
      <c r="M1184" s="2319"/>
      <c r="N1184" s="2319"/>
      <c r="O1184" s="2319"/>
      <c r="P1184" s="2319"/>
      <c r="Q1184" s="2319"/>
    </row>
    <row r="1185" spans="1:17">
      <c r="B1185" s="942" t="s">
        <v>1995</v>
      </c>
      <c r="C1185" s="943"/>
      <c r="D1185" s="944"/>
      <c r="E1185" s="944"/>
      <c r="F1185" s="944"/>
      <c r="G1185" s="944"/>
      <c r="H1185" s="944"/>
      <c r="I1185" s="944"/>
      <c r="J1185" s="944"/>
      <c r="K1185" s="944"/>
      <c r="L1185" s="944"/>
      <c r="M1185" s="944"/>
      <c r="N1185" s="944"/>
      <c r="O1185" s="944"/>
      <c r="P1185" s="944"/>
      <c r="Q1185" s="944"/>
    </row>
    <row r="1186" spans="1:17">
      <c r="A1186" s="2333">
        <f>'Part VIII-Threshold Criteria'!A277</f>
        <v>0</v>
      </c>
      <c r="B1186" s="2333"/>
      <c r="C1186" s="2333"/>
      <c r="D1186" s="2333"/>
      <c r="E1186" s="2333"/>
      <c r="F1186" s="2333"/>
      <c r="G1186" s="2333"/>
      <c r="H1186" s="2333"/>
      <c r="I1186" s="2333"/>
      <c r="J1186" s="2333"/>
      <c r="K1186" s="2333"/>
      <c r="L1186" s="2333"/>
      <c r="M1186" s="2333"/>
      <c r="N1186" s="2333"/>
      <c r="O1186" s="2333"/>
      <c r="P1186" s="2333"/>
      <c r="Q1186" s="2333"/>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2862</v>
      </c>
      <c r="C1188" s="966"/>
      <c r="D1188" s="967"/>
      <c r="E1188" s="944"/>
      <c r="F1188" s="944"/>
      <c r="G1188" s="944"/>
      <c r="H1188" s="944"/>
      <c r="I1188" s="944"/>
      <c r="J1188" s="944"/>
      <c r="K1188" s="944"/>
      <c r="L1188" s="944"/>
      <c r="M1188" s="944"/>
      <c r="O1188" s="936" t="s">
        <v>1996</v>
      </c>
      <c r="P1188" s="2327">
        <f>'Part VIII-Threshold Criteria'!P279</f>
        <v>0</v>
      </c>
      <c r="Q1188" s="2327"/>
    </row>
    <row r="1189" spans="1:17">
      <c r="B1189" s="937" t="s">
        <v>2117</v>
      </c>
      <c r="C1189" s="958" t="s">
        <v>1858</v>
      </c>
      <c r="D1189" s="2323" t="s">
        <v>3277</v>
      </c>
      <c r="E1189" s="2323"/>
      <c r="F1189" s="2323"/>
      <c r="G1189" s="2323"/>
      <c r="H1189" s="2323"/>
      <c r="I1189" s="2323"/>
      <c r="J1189" s="2323"/>
      <c r="K1189" s="2323"/>
      <c r="L1189" s="2323"/>
      <c r="M1189" s="2323"/>
      <c r="N1189" s="2323"/>
      <c r="O1189" s="958" t="s">
        <v>2982</v>
      </c>
      <c r="P1189" s="960" t="str">
        <f>'Part VIII-Threshold Criteria'!P280</f>
        <v>Yes</v>
      </c>
      <c r="Q1189" s="960">
        <f>'Part VIII-Threshold Criteria'!Q280</f>
        <v>0</v>
      </c>
    </row>
    <row r="1190" spans="1:17">
      <c r="A1190" s="583"/>
      <c r="B1190" s="940"/>
      <c r="C1190" s="939" t="s">
        <v>1859</v>
      </c>
      <c r="D1190" s="2461" t="s">
        <v>3278</v>
      </c>
      <c r="E1190" s="2461"/>
      <c r="F1190" s="2461"/>
      <c r="G1190" s="2461"/>
      <c r="H1190" s="2461"/>
      <c r="I1190" s="2461"/>
      <c r="J1190" s="2461"/>
      <c r="K1190" s="2461"/>
      <c r="L1190" s="2461"/>
      <c r="M1190" s="2461"/>
      <c r="N1190" s="2461"/>
      <c r="O1190" s="939" t="s">
        <v>1859</v>
      </c>
      <c r="P1190" s="960" t="str">
        <f>'Part VIII-Threshold Criteria'!P281</f>
        <v>Yes</v>
      </c>
      <c r="Q1190" s="960">
        <f>'Part VIII-Threshold Criteria'!Q281</f>
        <v>0</v>
      </c>
    </row>
    <row r="1191" spans="1:17">
      <c r="A1191" s="583"/>
      <c r="B1191" s="937" t="s">
        <v>2120</v>
      </c>
      <c r="C1191" s="958" t="s">
        <v>1858</v>
      </c>
      <c r="D1191" s="2323" t="s">
        <v>2980</v>
      </c>
      <c r="E1191" s="2323"/>
      <c r="F1191" s="2323"/>
      <c r="G1191" s="2323"/>
      <c r="H1191" s="2323"/>
      <c r="I1191" s="2323"/>
      <c r="J1191" s="2323"/>
      <c r="K1191" s="2323"/>
      <c r="L1191" s="2323"/>
      <c r="M1191" s="2323"/>
      <c r="N1191" s="2323"/>
      <c r="O1191" s="939" t="s">
        <v>2983</v>
      </c>
      <c r="P1191" s="960" t="str">
        <f>'Part VIII-Threshold Criteria'!P282</f>
        <v>Yes</v>
      </c>
      <c r="Q1191" s="960">
        <f>'Part VIII-Threshold Criteria'!Q282</f>
        <v>0</v>
      </c>
    </row>
    <row r="1192" spans="1:17">
      <c r="A1192" s="583"/>
      <c r="B1192" s="937"/>
      <c r="C1192" s="958" t="s">
        <v>1859</v>
      </c>
      <c r="D1192" s="2323" t="s">
        <v>2981</v>
      </c>
      <c r="E1192" s="2323"/>
      <c r="F1192" s="2323"/>
      <c r="G1192" s="2323"/>
      <c r="H1192" s="2323"/>
      <c r="I1192" s="2323"/>
      <c r="J1192" s="2323"/>
      <c r="K1192" s="2323"/>
      <c r="L1192" s="2323"/>
      <c r="M1192" s="2323"/>
      <c r="N1192" s="2323"/>
      <c r="O1192" s="939" t="s">
        <v>3279</v>
      </c>
      <c r="P1192" s="960" t="str">
        <f>'Part VIII-Threshold Criteria'!P283</f>
        <v>Yes</v>
      </c>
      <c r="Q1192" s="960">
        <f>'Part VIII-Threshold Criteria'!Q283</f>
        <v>0</v>
      </c>
    </row>
    <row r="1193" spans="1:17">
      <c r="A1193" s="957"/>
      <c r="B1193" s="937" t="s">
        <v>798</v>
      </c>
      <c r="C1193" s="958"/>
      <c r="D1193" s="2323" t="s">
        <v>3393</v>
      </c>
      <c r="E1193" s="2323"/>
      <c r="F1193" s="2323"/>
      <c r="G1193" s="2323"/>
      <c r="H1193" s="2323"/>
      <c r="I1193" s="2323"/>
      <c r="J1193" s="2323"/>
      <c r="K1193" s="2323"/>
      <c r="L1193" s="2323"/>
      <c r="M1193" s="2323"/>
      <c r="N1193" s="2323"/>
      <c r="O1193" s="958" t="s">
        <v>798</v>
      </c>
      <c r="P1193" s="960" t="str">
        <f>'Part VIII-Threshold Criteria'!P284</f>
        <v>Yes</v>
      </c>
      <c r="Q1193" s="960">
        <f>'Part VIII-Threshold Criteria'!Q284</f>
        <v>0</v>
      </c>
    </row>
    <row r="1194" spans="1:17">
      <c r="B1194" s="953" t="s">
        <v>1994</v>
      </c>
      <c r="D1194" s="953"/>
      <c r="E1194" s="953"/>
      <c r="F1194" s="953"/>
      <c r="G1194" s="953"/>
      <c r="H1194" s="938"/>
      <c r="I1194" s="935"/>
      <c r="J1194" s="935"/>
      <c r="K1194" s="935"/>
      <c r="L1194" s="890"/>
      <c r="M1194" s="890"/>
      <c r="N1194" s="890"/>
      <c r="O1194" s="890"/>
      <c r="P1194" s="890"/>
      <c r="Q1194" s="890"/>
    </row>
    <row r="1195" spans="1:17">
      <c r="A1195" s="2319">
        <f>'Part VIII-Threshold Criteria'!A286</f>
        <v>0</v>
      </c>
      <c r="B1195" s="2319"/>
      <c r="C1195" s="2319"/>
      <c r="D1195" s="2319"/>
      <c r="E1195" s="2319"/>
      <c r="F1195" s="2319"/>
      <c r="G1195" s="2319"/>
      <c r="H1195" s="2319"/>
      <c r="I1195" s="2319"/>
      <c r="J1195" s="2319"/>
      <c r="K1195" s="2319"/>
      <c r="L1195" s="2319"/>
      <c r="M1195" s="2319"/>
      <c r="N1195" s="2319"/>
      <c r="O1195" s="2319"/>
      <c r="P1195" s="2319"/>
      <c r="Q1195" s="2319"/>
    </row>
    <row r="1196" spans="1:17">
      <c r="B1196" s="942" t="s">
        <v>1995</v>
      </c>
      <c r="C1196" s="943"/>
      <c r="D1196" s="944"/>
      <c r="E1196" s="944"/>
      <c r="F1196" s="944"/>
      <c r="G1196" s="944"/>
      <c r="H1196" s="944"/>
      <c r="I1196" s="944"/>
      <c r="J1196" s="944"/>
      <c r="K1196" s="944"/>
      <c r="L1196" s="944"/>
      <c r="M1196" s="944"/>
      <c r="N1196" s="944"/>
      <c r="O1196" s="944"/>
      <c r="P1196" s="944"/>
      <c r="Q1196" s="944"/>
    </row>
    <row r="1197" spans="1:17">
      <c r="A1197" s="2333">
        <f>'Part VIII-Threshold Criteria'!A288</f>
        <v>0</v>
      </c>
      <c r="B1197" s="2333"/>
      <c r="C1197" s="2333"/>
      <c r="D1197" s="2333"/>
      <c r="E1197" s="2333"/>
      <c r="F1197" s="2333"/>
      <c r="G1197" s="2333"/>
      <c r="H1197" s="2333"/>
      <c r="I1197" s="2333"/>
      <c r="J1197" s="2333"/>
      <c r="K1197" s="2333"/>
      <c r="L1197" s="2333"/>
      <c r="M1197" s="2333"/>
      <c r="N1197" s="2333"/>
      <c r="O1197" s="2333"/>
      <c r="P1197" s="2333"/>
      <c r="Q1197" s="2333"/>
    </row>
    <row r="1198" spans="1:17">
      <c r="A1198" s="885">
        <v>19</v>
      </c>
      <c r="B1198" s="586" t="s">
        <v>2863</v>
      </c>
      <c r="C1198" s="586"/>
      <c r="D1198" s="586"/>
      <c r="E1198" s="586"/>
      <c r="F1198" s="586"/>
      <c r="G1198" s="586"/>
      <c r="H1198" s="944"/>
      <c r="I1198" s="944"/>
      <c r="J1198" s="944"/>
      <c r="K1198" s="944"/>
      <c r="L1198" s="944"/>
      <c r="M1198" s="944"/>
      <c r="O1198" s="936" t="s">
        <v>1996</v>
      </c>
      <c r="P1198" s="2327">
        <f>'Part VIII-Threshold Criteria'!P289</f>
        <v>0</v>
      </c>
      <c r="Q1198" s="2327"/>
    </row>
    <row r="1199" spans="1:17">
      <c r="B1199" s="566" t="s">
        <v>2399</v>
      </c>
      <c r="P1199" s="960" t="str">
        <f>'Part VIII-Threshold Criteria'!P290</f>
        <v>Yes</v>
      </c>
      <c r="Q1199" s="960">
        <f>'Part VIII-Threshold Criteria'!Q290</f>
        <v>0</v>
      </c>
    </row>
    <row r="1200" spans="1:17">
      <c r="B1200" s="951" t="s">
        <v>2353</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2117</v>
      </c>
      <c r="C1201" s="954" t="s">
        <v>3681</v>
      </c>
      <c r="D1201" s="938"/>
      <c r="E1201" s="938"/>
      <c r="F1201" s="938"/>
      <c r="G1201" s="938"/>
      <c r="H1201" s="938"/>
      <c r="I1201" s="938"/>
      <c r="J1201" s="938"/>
      <c r="K1201" s="938"/>
      <c r="L1201" s="938"/>
      <c r="M1201" s="938"/>
      <c r="N1201" s="958"/>
    </row>
    <row r="1202" spans="1:17">
      <c r="A1202" s="956"/>
      <c r="C1202" s="2323" t="s">
        <v>3523</v>
      </c>
      <c r="D1202" s="2323"/>
      <c r="E1202" s="2323"/>
      <c r="F1202" s="2323"/>
      <c r="G1202" s="2323"/>
      <c r="H1202" s="2323"/>
      <c r="I1202" s="2323"/>
      <c r="J1202" s="2323"/>
      <c r="K1202" s="2323"/>
      <c r="L1202" s="2323"/>
      <c r="M1202" s="2323"/>
      <c r="N1202" s="2323"/>
      <c r="O1202" s="958" t="s">
        <v>2117</v>
      </c>
      <c r="P1202" s="960" t="str">
        <f>'Part VIII-Threshold Criteria'!P293</f>
        <v>Yes</v>
      </c>
      <c r="Q1202" s="960">
        <f>'Part VIII-Threshold Criteria'!Q293</f>
        <v>0</v>
      </c>
    </row>
    <row r="1203" spans="1:17">
      <c r="B1203" s="937" t="s">
        <v>2120</v>
      </c>
      <c r="C1203" s="2475" t="s">
        <v>484</v>
      </c>
      <c r="D1203" s="2475"/>
      <c r="E1203" s="2475"/>
      <c r="F1203" s="2475"/>
      <c r="G1203" s="2475"/>
      <c r="H1203" s="2475"/>
      <c r="I1203" s="2475"/>
      <c r="J1203" s="2475"/>
      <c r="K1203" s="2475"/>
      <c r="L1203" s="2475"/>
      <c r="M1203" s="2475"/>
      <c r="O1203" s="958" t="s">
        <v>2120</v>
      </c>
      <c r="P1203" s="890"/>
      <c r="Q1203" s="890"/>
    </row>
    <row r="1204" spans="1:17">
      <c r="A1204" s="956"/>
      <c r="C1204" s="959" t="s">
        <v>1858</v>
      </c>
      <c r="D1204" s="946" t="s">
        <v>1196</v>
      </c>
      <c r="E1204" s="957"/>
      <c r="F1204" s="957"/>
      <c r="G1204" s="2472" t="str">
        <f>'Part VIII-Threshold Criteria'!G295</f>
        <v>Rehab of bldgs w/out existing brick/stone over 40% (&amp; ineligible for historic credits) will replace &amp; upgrade existing exterior finish surfaces on all wall faces w/brick or product w/40 yr warranty</v>
      </c>
      <c r="H1204" s="2473"/>
      <c r="I1204" s="2473"/>
      <c r="J1204" s="2473"/>
      <c r="K1204" s="2473"/>
      <c r="L1204" s="2473"/>
      <c r="M1204" s="2473"/>
      <c r="N1204" s="2473"/>
      <c r="O1204" s="958" t="s">
        <v>1858</v>
      </c>
      <c r="P1204" s="960" t="str">
        <f>'Part VIII-Threshold Criteria'!P295</f>
        <v>Yes</v>
      </c>
      <c r="Q1204" s="960">
        <f>'Part VIII-Threshold Criteria'!Q295</f>
        <v>0</v>
      </c>
    </row>
    <row r="1205" spans="1:17" ht="12.75" customHeight="1">
      <c r="A1205" s="956"/>
      <c r="C1205" s="959" t="s">
        <v>1859</v>
      </c>
      <c r="D1205" s="2319" t="s">
        <v>1197</v>
      </c>
      <c r="E1205" s="2341"/>
      <c r="F1205" s="2341"/>
      <c r="G1205" s="2472" t="str">
        <f>'Part VIII-Threshold Criteria'!G296</f>
        <v>Upgraded roofing shingles, or roofing materials  (warranty 30 years or greater)</v>
      </c>
      <c r="H1205" s="2473"/>
      <c r="I1205" s="2473"/>
      <c r="J1205" s="2473"/>
      <c r="K1205" s="2473"/>
      <c r="L1205" s="2473"/>
      <c r="M1205" s="2473"/>
      <c r="N1205" s="2473"/>
      <c r="O1205" s="958" t="s">
        <v>1859</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798</v>
      </c>
      <c r="C1207" s="2474" t="s">
        <v>3682</v>
      </c>
      <c r="D1207" s="2474"/>
      <c r="E1207" s="2474"/>
      <c r="F1207" s="2474"/>
      <c r="G1207" s="2474"/>
      <c r="H1207" s="2474"/>
      <c r="I1207" s="2474"/>
      <c r="J1207" s="2474"/>
      <c r="K1207" s="2474"/>
      <c r="L1207" s="2474"/>
      <c r="M1207" s="2474"/>
      <c r="N1207" s="2474"/>
      <c r="O1207" s="961" t="s">
        <v>798</v>
      </c>
      <c r="P1207" s="890"/>
      <c r="Q1207" s="890"/>
    </row>
    <row r="1208" spans="1:17">
      <c r="A1208" s="956"/>
      <c r="B1208" s="957"/>
      <c r="C1208" s="959" t="s">
        <v>1858</v>
      </c>
      <c r="D1208" s="2319" t="str">
        <f>'Part VIII-Threshold Criteria'!D299</f>
        <v>N/A</v>
      </c>
      <c r="E1208" s="2319"/>
      <c r="F1208" s="2319"/>
      <c r="G1208" s="2319"/>
      <c r="H1208" s="2319"/>
      <c r="I1208" s="2319"/>
      <c r="J1208" s="2319"/>
      <c r="K1208" s="2319"/>
      <c r="L1208" s="2319"/>
      <c r="M1208" s="2319"/>
      <c r="N1208" s="2319"/>
      <c r="O1208" s="958" t="s">
        <v>1858</v>
      </c>
      <c r="P1208" s="960">
        <f>'Part VIII-Threshold Criteria'!P299</f>
        <v>0</v>
      </c>
      <c r="Q1208" s="960">
        <f>'Part VIII-Threshold Criteria'!Q299</f>
        <v>0</v>
      </c>
    </row>
    <row r="1209" spans="1:17">
      <c r="A1209" s="956"/>
      <c r="B1209" s="957"/>
      <c r="C1209" s="959" t="s">
        <v>1859</v>
      </c>
      <c r="D1209" s="2319" t="str">
        <f>'Part VIII-Threshold Criteria'!D300</f>
        <v>N/A</v>
      </c>
      <c r="E1209" s="2319"/>
      <c r="F1209" s="2319"/>
      <c r="G1209" s="2319"/>
      <c r="H1209" s="2319"/>
      <c r="I1209" s="2319"/>
      <c r="J1209" s="2319"/>
      <c r="K1209" s="2319"/>
      <c r="L1209" s="2319"/>
      <c r="M1209" s="2319"/>
      <c r="N1209" s="2319"/>
      <c r="O1209" s="958" t="s">
        <v>1859</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1994</v>
      </c>
      <c r="D1211" s="953"/>
      <c r="E1211" s="953"/>
      <c r="F1211" s="953"/>
      <c r="G1211" s="953"/>
      <c r="H1211" s="938"/>
      <c r="I1211" s="935"/>
      <c r="J1211" s="935"/>
      <c r="K1211" s="935"/>
      <c r="L1211" s="890"/>
      <c r="M1211" s="890"/>
      <c r="N1211" s="890"/>
      <c r="O1211" s="890"/>
      <c r="P1211" s="890"/>
      <c r="Q1211" s="890"/>
    </row>
    <row r="1212" spans="1:17">
      <c r="A1212" s="2319" t="str">
        <f>'Part VIII-Threshold Criteria'!A303</f>
        <v>Approved Architectural Waiver is included in Tab 17</v>
      </c>
      <c r="B1212" s="2319"/>
      <c r="C1212" s="2319"/>
      <c r="D1212" s="2319"/>
      <c r="E1212" s="2319"/>
      <c r="F1212" s="2319"/>
      <c r="G1212" s="2319"/>
      <c r="H1212" s="2319"/>
      <c r="I1212" s="2319"/>
      <c r="J1212" s="2319"/>
      <c r="K1212" s="2319"/>
      <c r="L1212" s="2319"/>
      <c r="M1212" s="2319"/>
      <c r="N1212" s="2319"/>
      <c r="O1212" s="2319"/>
      <c r="P1212" s="2319"/>
      <c r="Q1212" s="2319"/>
    </row>
    <row r="1213" spans="1:17">
      <c r="B1213" s="942" t="s">
        <v>1995</v>
      </c>
      <c r="C1213" s="943"/>
      <c r="D1213" s="944"/>
      <c r="E1213" s="944"/>
      <c r="F1213" s="944"/>
      <c r="G1213" s="944"/>
      <c r="H1213" s="944"/>
      <c r="I1213" s="944"/>
      <c r="J1213" s="944"/>
      <c r="K1213" s="944"/>
      <c r="L1213" s="944"/>
      <c r="M1213" s="944"/>
      <c r="N1213" s="944"/>
      <c r="O1213" s="944"/>
      <c r="P1213" s="944"/>
      <c r="Q1213" s="944"/>
    </row>
    <row r="1214" spans="1:17">
      <c r="A1214" s="2333">
        <f>'Part VIII-Threshold Criteria'!A305</f>
        <v>0</v>
      </c>
      <c r="B1214" s="2333"/>
      <c r="C1214" s="2333"/>
      <c r="D1214" s="2333"/>
      <c r="E1214" s="2333"/>
      <c r="F1214" s="2333"/>
      <c r="G1214" s="2333"/>
      <c r="H1214" s="2333"/>
      <c r="I1214" s="2333"/>
      <c r="J1214" s="2333"/>
      <c r="K1214" s="2333"/>
      <c r="L1214" s="2333"/>
      <c r="M1214" s="2333"/>
      <c r="N1214" s="2333"/>
      <c r="O1214" s="2333"/>
      <c r="P1214" s="2333"/>
      <c r="Q1214" s="2333"/>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3544</v>
      </c>
      <c r="C1216" s="885"/>
      <c r="D1216" s="944"/>
      <c r="E1216" s="944"/>
      <c r="F1216" s="944"/>
      <c r="G1216" s="944"/>
      <c r="H1216" s="944"/>
      <c r="O1216" s="936" t="s">
        <v>1996</v>
      </c>
      <c r="P1216" s="2327">
        <f>'Part VIII-Threshold Criteria'!P307</f>
        <v>0</v>
      </c>
      <c r="Q1216" s="2327"/>
    </row>
    <row r="1217" spans="1:17">
      <c r="B1217" s="566" t="s">
        <v>3545</v>
      </c>
      <c r="P1217" s="960" t="str">
        <f>'Part VIII-Threshold Criteria'!P308</f>
        <v>Yes</v>
      </c>
      <c r="Q1217" s="960">
        <f>'Part VIII-Threshold Criteria'!Q308</f>
        <v>0</v>
      </c>
    </row>
    <row r="1218" spans="1:17">
      <c r="B1218" s="566" t="s">
        <v>2500</v>
      </c>
      <c r="P1218" s="960" t="str">
        <f>'Part VIII-Threshold Criteria'!P309</f>
        <v>No</v>
      </c>
      <c r="Q1218" s="960">
        <f>'Part VIII-Threshold Criteria'!Q309</f>
        <v>0</v>
      </c>
    </row>
    <row r="1219" spans="1:17">
      <c r="B1219" s="566" t="s">
        <v>3546</v>
      </c>
      <c r="M1219" s="2470" t="str">
        <f>'Part VIII-Threshold Criteria'!M310</f>
        <v>Qualified w/out Conditions</v>
      </c>
      <c r="N1219" s="2470"/>
      <c r="O1219" s="2470"/>
    </row>
    <row r="1220" spans="1:17">
      <c r="B1220" s="968" t="s">
        <v>2501</v>
      </c>
      <c r="M1220" s="2470" t="str">
        <f>'Part VIII-Threshold Criteria'!M311</f>
        <v>&lt;&lt; Select Designation &gt;&gt;</v>
      </c>
      <c r="N1220" s="2470"/>
      <c r="O1220" s="2470"/>
    </row>
    <row r="1221" spans="1:17">
      <c r="B1221" s="953" t="s">
        <v>1994</v>
      </c>
      <c r="D1221" s="953"/>
      <c r="E1221" s="953"/>
      <c r="F1221" s="953"/>
      <c r="G1221" s="953"/>
      <c r="H1221" s="938"/>
      <c r="I1221" s="935"/>
      <c r="J1221" s="935"/>
      <c r="K1221" s="935"/>
      <c r="L1221" s="890"/>
      <c r="M1221" s="890"/>
      <c r="N1221" s="890"/>
      <c r="O1221" s="890"/>
      <c r="P1221" s="890"/>
      <c r="Q1221" s="890"/>
    </row>
    <row r="1222" spans="1:17">
      <c r="A1222" s="2319" t="str">
        <f>'Part VIII-Threshold Criteria'!A313</f>
        <v xml:space="preserve">Applicant was deemed qualified without conditions on their pre-application qualification determination request. The required documentation showing this change is included in Tab 18. </v>
      </c>
      <c r="B1222" s="2319"/>
      <c r="C1222" s="2319"/>
      <c r="D1222" s="2319"/>
      <c r="E1222" s="2319"/>
      <c r="F1222" s="2319"/>
      <c r="G1222" s="2319"/>
      <c r="H1222" s="2319"/>
      <c r="I1222" s="2319"/>
      <c r="J1222" s="2319"/>
      <c r="K1222" s="2319"/>
      <c r="L1222" s="2319"/>
      <c r="M1222" s="2319"/>
      <c r="N1222" s="2319"/>
      <c r="O1222" s="2319"/>
      <c r="P1222" s="2319"/>
      <c r="Q1222" s="2319"/>
    </row>
    <row r="1223" spans="1:17">
      <c r="B1223" s="942" t="s">
        <v>1995</v>
      </c>
      <c r="C1223" s="943"/>
      <c r="D1223" s="944"/>
      <c r="E1223" s="944"/>
      <c r="F1223" s="944"/>
      <c r="G1223" s="944"/>
      <c r="H1223" s="944"/>
      <c r="I1223" s="944"/>
      <c r="J1223" s="944"/>
      <c r="K1223" s="944"/>
      <c r="L1223" s="944"/>
      <c r="M1223" s="944"/>
      <c r="N1223" s="944"/>
      <c r="O1223" s="944"/>
      <c r="P1223" s="944"/>
      <c r="Q1223" s="944"/>
    </row>
    <row r="1224" spans="1:17">
      <c r="A1224" s="2333">
        <f>'Part VIII-Threshold Criteria'!A315</f>
        <v>0</v>
      </c>
      <c r="B1224" s="2333"/>
      <c r="C1224" s="2333"/>
      <c r="D1224" s="2333"/>
      <c r="E1224" s="2333"/>
      <c r="F1224" s="2333"/>
      <c r="G1224" s="2333"/>
      <c r="H1224" s="2333"/>
      <c r="I1224" s="2333"/>
      <c r="J1224" s="2333"/>
      <c r="K1224" s="2333"/>
      <c r="L1224" s="2333"/>
      <c r="M1224" s="2333"/>
      <c r="N1224" s="2333"/>
      <c r="O1224" s="2333"/>
      <c r="P1224" s="2333"/>
      <c r="Q1224" s="2333"/>
    </row>
    <row r="1225" spans="1:17">
      <c r="B1225" s="935"/>
      <c r="C1225" s="944"/>
      <c r="D1225" s="944"/>
      <c r="E1225" s="944"/>
      <c r="F1225" s="944"/>
      <c r="G1225" s="944"/>
      <c r="H1225" s="944"/>
      <c r="I1225" s="944"/>
      <c r="J1225" s="944"/>
      <c r="K1225" s="944"/>
      <c r="L1225" s="944"/>
      <c r="M1225" s="944"/>
      <c r="Q1225" s="890"/>
    </row>
    <row r="1226" spans="1:17">
      <c r="A1226" s="885">
        <v>21</v>
      </c>
      <c r="B1226" s="586" t="s">
        <v>2864</v>
      </c>
      <c r="C1226" s="586"/>
      <c r="D1226" s="934"/>
      <c r="E1226" s="944"/>
      <c r="F1226" s="944"/>
      <c r="G1226" s="944"/>
      <c r="H1226" s="944"/>
      <c r="I1226" s="944"/>
      <c r="J1226" s="944"/>
      <c r="K1226" s="944"/>
      <c r="L1226" s="944"/>
      <c r="M1226" s="944"/>
      <c r="O1226" s="936" t="s">
        <v>1996</v>
      </c>
      <c r="P1226" s="2327">
        <f>'Part VIII-Threshold Criteria'!P317</f>
        <v>0</v>
      </c>
      <c r="Q1226" s="2327"/>
    </row>
    <row r="1227" spans="1:17">
      <c r="B1227" s="937" t="s">
        <v>2117</v>
      </c>
      <c r="C1227" s="2319" t="s">
        <v>3547</v>
      </c>
      <c r="D1227" s="2319"/>
      <c r="E1227" s="2319"/>
      <c r="F1227" s="2319"/>
      <c r="G1227" s="2319"/>
      <c r="H1227" s="2319"/>
      <c r="I1227" s="2319"/>
      <c r="J1227" s="2319"/>
      <c r="K1227" s="2319"/>
      <c r="L1227" s="2319"/>
      <c r="M1227" s="2319"/>
      <c r="N1227" s="2319"/>
      <c r="O1227" s="958" t="s">
        <v>2117</v>
      </c>
      <c r="P1227" s="960" t="str">
        <f>'Part VIII-Threshold Criteria'!P318</f>
        <v>No</v>
      </c>
      <c r="Q1227" s="960">
        <f>'Part VIII-Threshold Criteria'!Q318</f>
        <v>0</v>
      </c>
    </row>
    <row r="1228" spans="1:17">
      <c r="B1228" s="937" t="s">
        <v>2120</v>
      </c>
      <c r="C1228" s="2319" t="s">
        <v>3584</v>
      </c>
      <c r="D1228" s="2319"/>
      <c r="E1228" s="2319"/>
      <c r="F1228" s="2319"/>
      <c r="G1228" s="2319"/>
      <c r="H1228" s="2319"/>
      <c r="I1228" s="2319"/>
      <c r="J1228" s="2319"/>
      <c r="K1228" s="2319"/>
      <c r="L1228" s="2319"/>
      <c r="M1228" s="2319"/>
      <c r="N1228" s="2319"/>
      <c r="O1228" s="958" t="s">
        <v>2120</v>
      </c>
      <c r="P1228" s="960" t="str">
        <f>'Part VIII-Threshold Criteria'!P319</f>
        <v>No</v>
      </c>
      <c r="Q1228" s="960">
        <f>'Part VIII-Threshold Criteria'!Q319</f>
        <v>0</v>
      </c>
    </row>
    <row r="1229" spans="1:17">
      <c r="B1229" s="937" t="s">
        <v>798</v>
      </c>
      <c r="C1229" s="951" t="s">
        <v>3280</v>
      </c>
      <c r="D1229" s="951"/>
      <c r="E1229" s="951"/>
      <c r="F1229" s="951"/>
      <c r="G1229" s="951"/>
      <c r="H1229" s="951"/>
      <c r="I1229" s="951"/>
      <c r="J1229" s="951"/>
      <c r="K1229" s="951"/>
      <c r="L1229" s="951"/>
      <c r="M1229" s="951"/>
      <c r="O1229" s="958" t="s">
        <v>798</v>
      </c>
      <c r="P1229" s="960" t="str">
        <f>'Part VIII-Threshold Criteria'!P320</f>
        <v>Yes</v>
      </c>
      <c r="Q1229" s="960">
        <f>'Part VIII-Threshold Criteria'!Q320</f>
        <v>0</v>
      </c>
    </row>
    <row r="1230" spans="1:17">
      <c r="B1230" s="937" t="s">
        <v>2252</v>
      </c>
      <c r="C1230" s="2319" t="s">
        <v>3683</v>
      </c>
      <c r="D1230" s="2319"/>
      <c r="E1230" s="2319"/>
      <c r="F1230" s="2319"/>
      <c r="G1230" s="2319"/>
      <c r="H1230" s="2319"/>
      <c r="I1230" s="2319"/>
      <c r="J1230" s="2319"/>
      <c r="K1230" s="2319"/>
      <c r="L1230" s="2319"/>
      <c r="M1230" s="2319"/>
      <c r="N1230" s="2319"/>
      <c r="O1230" s="958" t="s">
        <v>2252</v>
      </c>
      <c r="P1230" s="960" t="str">
        <f>'Part VIII-Threshold Criteria'!P321</f>
        <v>No</v>
      </c>
      <c r="Q1230" s="960">
        <f>'Part VIII-Threshold Criteria'!Q321</f>
        <v>0</v>
      </c>
    </row>
    <row r="1231" spans="1:17">
      <c r="B1231" s="937" t="s">
        <v>1856</v>
      </c>
      <c r="C1231" s="2319" t="s">
        <v>3684</v>
      </c>
      <c r="D1231" s="2319"/>
      <c r="E1231" s="2319"/>
      <c r="F1231" s="2319"/>
      <c r="G1231" s="2319"/>
      <c r="H1231" s="2319"/>
      <c r="I1231" s="2319"/>
      <c r="J1231" s="2319"/>
      <c r="K1231" s="2319"/>
      <c r="L1231" s="2319"/>
      <c r="M1231" s="2319"/>
      <c r="N1231" s="2319"/>
      <c r="O1231" s="958" t="s">
        <v>1856</v>
      </c>
      <c r="P1231" s="960" t="str">
        <f>'Part VIII-Threshold Criteria'!P322</f>
        <v>No</v>
      </c>
      <c r="Q1231" s="960">
        <f>'Part VIII-Threshold Criteria'!Q322</f>
        <v>0</v>
      </c>
    </row>
    <row r="1232" spans="1:17">
      <c r="B1232" s="953" t="s">
        <v>1994</v>
      </c>
      <c r="D1232" s="953"/>
      <c r="E1232" s="953"/>
      <c r="F1232" s="953"/>
      <c r="G1232" s="953"/>
      <c r="H1232" s="938"/>
      <c r="I1232" s="935"/>
      <c r="J1232" s="935"/>
      <c r="K1232" s="935"/>
      <c r="L1232" s="890"/>
      <c r="M1232" s="890"/>
      <c r="N1232" s="890"/>
      <c r="O1232" s="890"/>
      <c r="P1232" s="890"/>
      <c r="Q1232" s="890"/>
    </row>
    <row r="1233" spans="1:17">
      <c r="A1233" s="2319" t="str">
        <f>'Part VIII-Threshold Criteria'!A324</f>
        <v xml:space="preserve">Applicant was deemed qualified without conditions on their pre-application qualification determination request. Applicant has changed the management company from Boyd to LEDIC since the pre-application was submitted. The required documentation showing this change is included in Tab 18. </v>
      </c>
      <c r="B1233" s="2319"/>
      <c r="C1233" s="2319"/>
      <c r="D1233" s="2319"/>
      <c r="E1233" s="2319"/>
      <c r="F1233" s="2319"/>
      <c r="G1233" s="2319"/>
      <c r="H1233" s="2319"/>
      <c r="I1233" s="2319"/>
      <c r="J1233" s="2319"/>
      <c r="K1233" s="2319"/>
      <c r="L1233" s="2319"/>
      <c r="M1233" s="2319"/>
      <c r="N1233" s="2319"/>
      <c r="O1233" s="2319"/>
      <c r="P1233" s="2319"/>
      <c r="Q1233" s="2319"/>
    </row>
    <row r="1234" spans="1:17">
      <c r="B1234" s="942" t="s">
        <v>1995</v>
      </c>
      <c r="C1234" s="943"/>
      <c r="D1234" s="944"/>
      <c r="E1234" s="944"/>
      <c r="F1234" s="944"/>
      <c r="G1234" s="944"/>
      <c r="H1234" s="944"/>
      <c r="I1234" s="944"/>
      <c r="J1234" s="944"/>
      <c r="K1234" s="944"/>
      <c r="L1234" s="944"/>
      <c r="M1234" s="944"/>
      <c r="N1234" s="944"/>
      <c r="O1234" s="944"/>
      <c r="P1234" s="944"/>
      <c r="Q1234" s="944"/>
    </row>
    <row r="1235" spans="1:17">
      <c r="A1235" s="2333">
        <f>'Part VIII-Threshold Criteria'!A326</f>
        <v>0</v>
      </c>
      <c r="B1235" s="2333"/>
      <c r="C1235" s="2333"/>
      <c r="D1235" s="2333"/>
      <c r="E1235" s="2333"/>
      <c r="F1235" s="2333"/>
      <c r="G1235" s="2333"/>
      <c r="H1235" s="2333"/>
      <c r="I1235" s="2333"/>
      <c r="J1235" s="2333"/>
      <c r="K1235" s="2333"/>
      <c r="L1235" s="2333"/>
      <c r="M1235" s="2333"/>
      <c r="N1235" s="2333"/>
      <c r="O1235" s="2333"/>
      <c r="P1235" s="2333"/>
      <c r="Q1235" s="2333"/>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2898</v>
      </c>
      <c r="C1237" s="586"/>
      <c r="D1237" s="586"/>
      <c r="E1237" s="586"/>
      <c r="F1237" s="586"/>
      <c r="G1237" s="586"/>
      <c r="H1237" s="944"/>
      <c r="I1237" s="944"/>
      <c r="J1237" s="944"/>
      <c r="K1237" s="944"/>
      <c r="L1237" s="944"/>
      <c r="M1237" s="944"/>
      <c r="O1237" s="936" t="s">
        <v>1996</v>
      </c>
      <c r="P1237" s="2327">
        <f>'Part VIII-Threshold Criteria'!P328</f>
        <v>0</v>
      </c>
      <c r="Q1237" s="2327"/>
    </row>
    <row r="1238" spans="1:17">
      <c r="B1238" s="940" t="s">
        <v>2117</v>
      </c>
      <c r="C1238" s="584" t="s">
        <v>2894</v>
      </c>
      <c r="D1238" s="604"/>
      <c r="E1238" s="604"/>
      <c r="F1238" s="604"/>
      <c r="G1238" s="604"/>
      <c r="H1238" s="604"/>
      <c r="I1238" s="583"/>
      <c r="J1238" s="939" t="s">
        <v>2117</v>
      </c>
      <c r="K1238" s="2354">
        <f>'Part VIII-Threshold Criteria'!K329</f>
        <v>0</v>
      </c>
      <c r="L1238" s="2354"/>
      <c r="M1238" s="2354"/>
      <c r="N1238" s="2354"/>
      <c r="O1238" s="2354"/>
      <c r="P1238" s="2354"/>
      <c r="Q1238" s="960">
        <f>'Part VIII-Threshold Criteria'!Q329</f>
        <v>0</v>
      </c>
    </row>
    <row r="1239" spans="1:17">
      <c r="B1239" s="937" t="s">
        <v>2120</v>
      </c>
      <c r="C1239" s="2316" t="s">
        <v>2893</v>
      </c>
      <c r="D1239" s="2316"/>
      <c r="E1239" s="2316"/>
      <c r="F1239" s="2316"/>
      <c r="G1239" s="2316"/>
      <c r="H1239" s="2316"/>
      <c r="I1239" s="2316"/>
      <c r="J1239" s="2316"/>
      <c r="K1239" s="2316"/>
      <c r="L1239" s="2316"/>
      <c r="M1239" s="2316"/>
      <c r="N1239" s="2316"/>
      <c r="O1239" s="958" t="s">
        <v>2120</v>
      </c>
      <c r="P1239" s="960">
        <f>'Part VIII-Threshold Criteria'!P330</f>
        <v>0</v>
      </c>
      <c r="Q1239" s="960">
        <f>'Part VIII-Threshold Criteria'!Q330</f>
        <v>0</v>
      </c>
    </row>
    <row r="1240" spans="1:17">
      <c r="B1240" s="940" t="s">
        <v>798</v>
      </c>
      <c r="C1240" s="584" t="s">
        <v>2895</v>
      </c>
      <c r="D1240" s="584"/>
      <c r="E1240" s="584"/>
      <c r="F1240" s="584"/>
      <c r="G1240" s="584"/>
      <c r="H1240" s="584"/>
      <c r="I1240" s="584"/>
      <c r="J1240" s="584"/>
      <c r="K1240" s="584"/>
      <c r="L1240" s="938"/>
      <c r="M1240" s="938"/>
      <c r="O1240" s="939" t="s">
        <v>798</v>
      </c>
      <c r="P1240" s="960">
        <f>'Part VIII-Threshold Criteria'!P331</f>
        <v>0</v>
      </c>
      <c r="Q1240" s="960">
        <f>'Part VIII-Threshold Criteria'!Q331</f>
        <v>0</v>
      </c>
    </row>
    <row r="1241" spans="1:17">
      <c r="B1241" s="940" t="s">
        <v>2252</v>
      </c>
      <c r="C1241" s="584" t="s">
        <v>2896</v>
      </c>
      <c r="D1241" s="584"/>
      <c r="E1241" s="584"/>
      <c r="F1241" s="584"/>
      <c r="G1241" s="584"/>
      <c r="H1241" s="584"/>
      <c r="I1241" s="584"/>
      <c r="J1241" s="584"/>
      <c r="K1241" s="584"/>
      <c r="L1241" s="584"/>
      <c r="M1241" s="584"/>
      <c r="O1241" s="939" t="s">
        <v>2252</v>
      </c>
      <c r="P1241" s="960">
        <f>'Part VIII-Threshold Criteria'!P332</f>
        <v>0</v>
      </c>
      <c r="Q1241" s="960">
        <f>'Part VIII-Threshold Criteria'!Q332</f>
        <v>0</v>
      </c>
    </row>
    <row r="1242" spans="1:17">
      <c r="A1242" s="957"/>
      <c r="B1242" s="937" t="s">
        <v>1856</v>
      </c>
      <c r="C1242" s="2319" t="s">
        <v>2900</v>
      </c>
      <c r="D1242" s="2319"/>
      <c r="E1242" s="2319"/>
      <c r="F1242" s="2319"/>
      <c r="G1242" s="2319"/>
      <c r="H1242" s="2319"/>
      <c r="I1242" s="2319"/>
      <c r="J1242" s="2319"/>
      <c r="K1242" s="2319"/>
      <c r="L1242" s="2319"/>
      <c r="M1242" s="2319"/>
      <c r="N1242" s="2319"/>
      <c r="O1242" s="958" t="s">
        <v>1856</v>
      </c>
      <c r="P1242" s="960">
        <f>'Part VIII-Threshold Criteria'!P333</f>
        <v>0</v>
      </c>
      <c r="Q1242" s="960">
        <f>'Part VIII-Threshold Criteria'!Q333</f>
        <v>0</v>
      </c>
    </row>
    <row r="1243" spans="1:17">
      <c r="A1243" s="957"/>
      <c r="B1243" s="937" t="s">
        <v>1857</v>
      </c>
      <c r="C1243" s="2319" t="s">
        <v>2903</v>
      </c>
      <c r="D1243" s="2319"/>
      <c r="E1243" s="2319"/>
      <c r="F1243" s="2319"/>
      <c r="G1243" s="2319"/>
      <c r="H1243" s="2319"/>
      <c r="I1243" s="2319"/>
      <c r="J1243" s="2319"/>
      <c r="K1243" s="2319"/>
      <c r="L1243" s="2319"/>
      <c r="M1243" s="2319"/>
      <c r="N1243" s="2319"/>
      <c r="O1243" s="958" t="s">
        <v>1857</v>
      </c>
      <c r="P1243" s="960">
        <f>'Part VIII-Threshold Criteria'!P334</f>
        <v>0</v>
      </c>
      <c r="Q1243" s="960">
        <f>'Part VIII-Threshold Criteria'!Q334</f>
        <v>0</v>
      </c>
    </row>
    <row r="1244" spans="1:17">
      <c r="B1244" s="940" t="s">
        <v>2080</v>
      </c>
      <c r="C1244" s="584" t="s">
        <v>2897</v>
      </c>
      <c r="D1244" s="584"/>
      <c r="E1244" s="584"/>
      <c r="F1244" s="584"/>
      <c r="G1244" s="584"/>
      <c r="H1244" s="584"/>
      <c r="I1244" s="584"/>
      <c r="J1244" s="584"/>
      <c r="K1244" s="584"/>
      <c r="L1244" s="584"/>
      <c r="M1244" s="584"/>
      <c r="O1244" s="939" t="s">
        <v>2080</v>
      </c>
      <c r="P1244" s="960">
        <f>'Part VIII-Threshold Criteria'!P335</f>
        <v>0</v>
      </c>
      <c r="Q1244" s="960">
        <f>'Part VIII-Threshold Criteria'!Q335</f>
        <v>0</v>
      </c>
    </row>
    <row r="1245" spans="1:17">
      <c r="B1245" s="953" t="s">
        <v>1994</v>
      </c>
      <c r="D1245" s="953"/>
      <c r="E1245" s="953"/>
      <c r="F1245" s="953"/>
      <c r="G1245" s="953"/>
      <c r="H1245" s="938"/>
      <c r="I1245" s="935"/>
      <c r="J1245" s="935"/>
      <c r="K1245" s="935"/>
      <c r="L1245" s="890"/>
      <c r="M1245" s="890"/>
      <c r="N1245" s="890"/>
      <c r="O1245" s="890"/>
      <c r="P1245" s="890"/>
      <c r="Q1245" s="890"/>
    </row>
    <row r="1246" spans="1:17">
      <c r="A1246" s="2319" t="str">
        <f>'Part VIII-Threshold Criteria'!A337</f>
        <v>N/A to this application</v>
      </c>
      <c r="B1246" s="2319"/>
      <c r="C1246" s="2319"/>
      <c r="D1246" s="2319"/>
      <c r="E1246" s="2319"/>
      <c r="F1246" s="2319"/>
      <c r="G1246" s="2319"/>
      <c r="H1246" s="2319"/>
      <c r="I1246" s="2319"/>
      <c r="J1246" s="2319"/>
      <c r="K1246" s="2319"/>
      <c r="L1246" s="2319"/>
      <c r="M1246" s="2319"/>
      <c r="N1246" s="2319"/>
      <c r="O1246" s="2319"/>
      <c r="P1246" s="2319"/>
      <c r="Q1246" s="2319"/>
    </row>
    <row r="1247" spans="1:17">
      <c r="B1247" s="942" t="s">
        <v>1995</v>
      </c>
      <c r="C1247" s="943"/>
      <c r="D1247" s="944"/>
      <c r="E1247" s="944"/>
      <c r="F1247" s="944"/>
      <c r="G1247" s="944"/>
      <c r="H1247" s="944"/>
      <c r="I1247" s="944"/>
      <c r="J1247" s="944"/>
      <c r="K1247" s="944"/>
      <c r="L1247" s="944"/>
      <c r="M1247" s="944"/>
      <c r="N1247" s="944"/>
      <c r="O1247" s="944"/>
      <c r="P1247" s="944"/>
      <c r="Q1247" s="944"/>
    </row>
    <row r="1248" spans="1:17">
      <c r="A1248" s="2333">
        <f>'Part VIII-Threshold Criteria'!A339</f>
        <v>0</v>
      </c>
      <c r="B1248" s="2333"/>
      <c r="C1248" s="2333"/>
      <c r="D1248" s="2333"/>
      <c r="E1248" s="2333"/>
      <c r="F1248" s="2333"/>
      <c r="G1248" s="2333"/>
      <c r="H1248" s="2333"/>
      <c r="I1248" s="2333"/>
      <c r="J1248" s="2333"/>
      <c r="K1248" s="2333"/>
      <c r="L1248" s="2333"/>
      <c r="M1248" s="2333"/>
      <c r="N1248" s="2333"/>
      <c r="O1248" s="2333"/>
      <c r="P1248" s="2333"/>
      <c r="Q1248" s="2333"/>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2904</v>
      </c>
      <c r="C1250" s="586"/>
      <c r="D1250" s="586"/>
      <c r="E1250" s="586"/>
      <c r="F1250" s="586"/>
      <c r="G1250" s="586"/>
      <c r="H1250" s="944"/>
      <c r="I1250" s="944"/>
      <c r="J1250" s="944"/>
      <c r="O1250" s="936" t="s">
        <v>1996</v>
      </c>
      <c r="P1250" s="2327">
        <f>'Part VIII-Threshold Criteria'!P341</f>
        <v>0</v>
      </c>
      <c r="Q1250" s="2327"/>
    </row>
    <row r="1251" spans="1:17">
      <c r="B1251" s="940" t="s">
        <v>2117</v>
      </c>
      <c r="C1251" s="584" t="s">
        <v>1095</v>
      </c>
      <c r="E1251" s="2354">
        <f>'Part VIII-Threshold Criteria'!E342</f>
        <v>0</v>
      </c>
      <c r="F1251" s="2354"/>
      <c r="G1251" s="2354"/>
      <c r="H1251" s="2354"/>
      <c r="I1251" s="2354"/>
      <c r="J1251" s="2312" t="s">
        <v>2870</v>
      </c>
      <c r="K1251" s="2312"/>
      <c r="L1251" s="2312"/>
      <c r="M1251" s="2354">
        <f>'Part VIII-Threshold Criteria'!M342</f>
        <v>0</v>
      </c>
      <c r="N1251" s="2354"/>
      <c r="O1251" s="2354"/>
      <c r="P1251" s="2354"/>
      <c r="Q1251" s="2354"/>
    </row>
    <row r="1252" spans="1:17">
      <c r="B1252" s="940" t="s">
        <v>2120</v>
      </c>
      <c r="C1252" s="584" t="s">
        <v>1861</v>
      </c>
      <c r="D1252" s="584"/>
      <c r="E1252" s="584"/>
      <c r="F1252" s="584"/>
      <c r="G1252" s="584"/>
      <c r="H1252" s="584"/>
      <c r="I1252" s="584"/>
      <c r="J1252" s="584"/>
      <c r="K1252" s="584"/>
      <c r="L1252" s="938"/>
      <c r="M1252" s="938"/>
      <c r="O1252" s="939" t="s">
        <v>2120</v>
      </c>
      <c r="P1252" s="960">
        <f>'Part VIII-Threshold Criteria'!P343</f>
        <v>0</v>
      </c>
      <c r="Q1252" s="960">
        <f>'Part VIII-Threshold Criteria'!Q343</f>
        <v>0</v>
      </c>
    </row>
    <row r="1253" spans="1:17">
      <c r="B1253" s="937" t="s">
        <v>798</v>
      </c>
      <c r="C1253" s="2316" t="s">
        <v>2986</v>
      </c>
      <c r="D1253" s="2316"/>
      <c r="E1253" s="2316"/>
      <c r="F1253" s="2316"/>
      <c r="G1253" s="2316"/>
      <c r="H1253" s="2316"/>
      <c r="I1253" s="2316"/>
      <c r="J1253" s="2316"/>
      <c r="K1253" s="2316"/>
      <c r="L1253" s="2316"/>
      <c r="M1253" s="2316"/>
      <c r="N1253" s="2316"/>
      <c r="O1253" s="939" t="s">
        <v>798</v>
      </c>
      <c r="P1253" s="960">
        <f>'Part VIII-Threshold Criteria'!P344</f>
        <v>0</v>
      </c>
      <c r="Q1253" s="960">
        <f>'Part VIII-Threshold Criteria'!Q344</f>
        <v>0</v>
      </c>
    </row>
    <row r="1254" spans="1:17">
      <c r="B1254" s="953" t="s">
        <v>1994</v>
      </c>
      <c r="D1254" s="953"/>
      <c r="E1254" s="953"/>
      <c r="F1254" s="953"/>
      <c r="G1254" s="953"/>
      <c r="H1254" s="938"/>
      <c r="I1254" s="935"/>
      <c r="J1254" s="935"/>
      <c r="K1254" s="935"/>
      <c r="L1254" s="890"/>
      <c r="M1254" s="890"/>
      <c r="N1254" s="890"/>
      <c r="O1254" s="890"/>
      <c r="P1254" s="890"/>
      <c r="Q1254" s="890"/>
    </row>
    <row r="1255" spans="1:17">
      <c r="A1255" s="2319" t="str">
        <f>'Part VIII-Threshold Criteria'!A346</f>
        <v>N/A to this application</v>
      </c>
      <c r="B1255" s="2319"/>
      <c r="C1255" s="2319"/>
      <c r="D1255" s="2319"/>
      <c r="E1255" s="2319"/>
      <c r="F1255" s="2319"/>
      <c r="G1255" s="2319"/>
      <c r="H1255" s="2319"/>
      <c r="I1255" s="2319"/>
      <c r="J1255" s="2319"/>
      <c r="K1255" s="2319"/>
      <c r="L1255" s="2319"/>
      <c r="M1255" s="2319"/>
      <c r="N1255" s="2319"/>
      <c r="O1255" s="2319"/>
      <c r="P1255" s="2319"/>
      <c r="Q1255" s="2319"/>
    </row>
    <row r="1256" spans="1:17">
      <c r="B1256" s="942" t="s">
        <v>1995</v>
      </c>
      <c r="C1256" s="943"/>
      <c r="D1256" s="944"/>
      <c r="E1256" s="944"/>
      <c r="F1256" s="944"/>
      <c r="G1256" s="944"/>
      <c r="H1256" s="944"/>
      <c r="I1256" s="944"/>
      <c r="J1256" s="944"/>
      <c r="K1256" s="944"/>
      <c r="L1256" s="944"/>
      <c r="M1256" s="944"/>
      <c r="N1256" s="944"/>
      <c r="O1256" s="944"/>
      <c r="P1256" s="944"/>
      <c r="Q1256" s="944"/>
    </row>
    <row r="1257" spans="1:17">
      <c r="A1257" s="2333">
        <f>'Part VIII-Threshold Criteria'!A348</f>
        <v>0</v>
      </c>
      <c r="B1257" s="2333"/>
      <c r="C1257" s="2333"/>
      <c r="D1257" s="2333"/>
      <c r="E1257" s="2333"/>
      <c r="F1257" s="2333"/>
      <c r="G1257" s="2333"/>
      <c r="H1257" s="2333"/>
      <c r="I1257" s="2333"/>
      <c r="J1257" s="2333"/>
      <c r="K1257" s="2333"/>
      <c r="L1257" s="2333"/>
      <c r="M1257" s="2333"/>
      <c r="N1257" s="2333"/>
      <c r="O1257" s="2333"/>
      <c r="P1257" s="2333"/>
      <c r="Q1257" s="2333"/>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2868</v>
      </c>
      <c r="C1259" s="586"/>
      <c r="D1259" s="934"/>
      <c r="E1259" s="944"/>
      <c r="F1259" s="944"/>
      <c r="G1259" s="944"/>
      <c r="H1259" s="944"/>
      <c r="I1259" s="944"/>
      <c r="J1259" s="944"/>
      <c r="K1259" s="944"/>
      <c r="L1259" s="944"/>
      <c r="M1259" s="944"/>
      <c r="O1259" s="936" t="s">
        <v>1996</v>
      </c>
      <c r="P1259" s="2327">
        <f>'Part VIII-Threshold Criteria'!P350</f>
        <v>0</v>
      </c>
      <c r="Q1259" s="2327"/>
    </row>
    <row r="1260" spans="1:17">
      <c r="A1260" s="583"/>
      <c r="B1260" s="937" t="s">
        <v>2117</v>
      </c>
      <c r="C1260" s="2319" t="s">
        <v>3685</v>
      </c>
      <c r="D1260" s="2319"/>
      <c r="E1260" s="2319"/>
      <c r="F1260" s="2319"/>
      <c r="G1260" s="2319"/>
      <c r="H1260" s="2319"/>
      <c r="I1260" s="2319"/>
      <c r="J1260" s="2319"/>
      <c r="K1260" s="2319"/>
      <c r="L1260" s="2319"/>
      <c r="M1260" s="958" t="s">
        <v>2117</v>
      </c>
      <c r="N1260" s="2451" t="str">
        <f>'Part VIII-Threshold Criteria'!N351</f>
        <v>Racially mixed</v>
      </c>
      <c r="O1260" s="2451"/>
      <c r="P1260" s="2451" t="str">
        <f>'Part VIII-Threshold Criteria'!P351</f>
        <v>&lt;&lt;Select&gt;&gt;</v>
      </c>
      <c r="Q1260" s="2451"/>
    </row>
    <row r="1261" spans="1:17">
      <c r="A1261" s="583"/>
      <c r="B1261" s="940" t="s">
        <v>2120</v>
      </c>
      <c r="C1261" s="938" t="s">
        <v>1</v>
      </c>
      <c r="D1261" s="969"/>
      <c r="E1261" s="969"/>
      <c r="F1261" s="583"/>
      <c r="G1261" s="939" t="s">
        <v>2120</v>
      </c>
      <c r="H1261" s="2316" t="str">
        <f>'Part VIII-Threshold Criteria'!H352</f>
        <v>301 (subject tract), 1303, 1403, 1404, 1405, 302, 1, 19</v>
      </c>
      <c r="I1261" s="2316"/>
      <c r="J1261" s="2316"/>
      <c r="K1261" s="2316"/>
      <c r="L1261" s="2316"/>
      <c r="M1261" s="2316"/>
      <c r="N1261" s="2316"/>
      <c r="O1261" s="2316"/>
      <c r="P1261" s="2316"/>
      <c r="Q1261" s="960">
        <f>'Part VIII-Threshold Criteria'!Q352</f>
        <v>0</v>
      </c>
    </row>
    <row r="1262" spans="1:17">
      <c r="A1262" s="583"/>
      <c r="B1262" s="940" t="s">
        <v>798</v>
      </c>
      <c r="C1262" s="938" t="s">
        <v>1506</v>
      </c>
      <c r="D1262" s="970"/>
      <c r="E1262" s="970"/>
      <c r="F1262" s="970"/>
      <c r="G1262" s="780"/>
      <c r="H1262" s="780"/>
      <c r="I1262" s="938"/>
      <c r="J1262" s="583"/>
      <c r="K1262" s="780"/>
      <c r="L1262" s="780"/>
      <c r="M1262" s="780"/>
      <c r="N1262" s="583"/>
      <c r="O1262" s="939" t="s">
        <v>798</v>
      </c>
      <c r="P1262" s="960" t="str">
        <f>'Part VIII-Threshold Criteria'!P353</f>
        <v>Yes</v>
      </c>
      <c r="Q1262" s="960">
        <f>'Part VIII-Threshold Criteria'!Q353</f>
        <v>0</v>
      </c>
    </row>
    <row r="1263" spans="1:17">
      <c r="B1263" s="953" t="s">
        <v>1994</v>
      </c>
      <c r="D1263" s="953"/>
      <c r="E1263" s="953"/>
      <c r="F1263" s="953"/>
      <c r="G1263" s="953"/>
      <c r="H1263" s="938"/>
      <c r="I1263" s="935"/>
      <c r="J1263" s="935"/>
      <c r="K1263" s="935"/>
      <c r="L1263" s="890"/>
      <c r="M1263" s="890"/>
      <c r="N1263" s="890"/>
      <c r="O1263" s="890"/>
      <c r="P1263" s="890"/>
      <c r="Q1263" s="890"/>
    </row>
    <row r="1264" spans="1:17">
      <c r="A1264" s="2319" t="str">
        <f>'Part VIII-Threshold Criteria'!A355</f>
        <v xml:space="preserve">HOME Contract Addendum is located in Tab 8. </v>
      </c>
      <c r="B1264" s="2319"/>
      <c r="C1264" s="2319"/>
      <c r="D1264" s="2319"/>
      <c r="E1264" s="2319"/>
      <c r="F1264" s="2319"/>
      <c r="G1264" s="2319"/>
      <c r="H1264" s="2319"/>
      <c r="I1264" s="2319"/>
      <c r="J1264" s="2319"/>
      <c r="K1264" s="2319"/>
      <c r="L1264" s="2319"/>
      <c r="M1264" s="2319"/>
      <c r="N1264" s="2319"/>
      <c r="O1264" s="2319"/>
      <c r="P1264" s="2319"/>
      <c r="Q1264" s="2319"/>
    </row>
    <row r="1266" spans="1:17">
      <c r="B1266" s="942" t="s">
        <v>1995</v>
      </c>
      <c r="C1266" s="943"/>
      <c r="D1266" s="944"/>
      <c r="E1266" s="944"/>
      <c r="F1266" s="944"/>
      <c r="G1266" s="944"/>
      <c r="H1266" s="944"/>
      <c r="I1266" s="944"/>
      <c r="J1266" s="944"/>
      <c r="K1266" s="944"/>
      <c r="L1266" s="944"/>
      <c r="M1266" s="944"/>
      <c r="N1266" s="944"/>
      <c r="O1266" s="944"/>
      <c r="P1266" s="944"/>
      <c r="Q1266" s="944"/>
    </row>
    <row r="1267" spans="1:17">
      <c r="A1267" s="2333">
        <f>'Part VIII-Threshold Criteria'!A358</f>
        <v>0</v>
      </c>
      <c r="B1267" s="2333"/>
      <c r="C1267" s="2333"/>
      <c r="D1267" s="2333"/>
      <c r="E1267" s="2333"/>
      <c r="F1267" s="2333"/>
      <c r="G1267" s="2333"/>
      <c r="H1267" s="2333"/>
      <c r="I1267" s="2333"/>
      <c r="J1267" s="2333"/>
      <c r="K1267" s="2333"/>
      <c r="L1267" s="2333"/>
      <c r="M1267" s="2333"/>
      <c r="N1267" s="2333"/>
      <c r="O1267" s="2333"/>
      <c r="P1267" s="2333"/>
      <c r="Q1267" s="2333"/>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2865</v>
      </c>
      <c r="C1269" s="586"/>
      <c r="D1269" s="586"/>
      <c r="E1269" s="944"/>
      <c r="G1269" s="946" t="s">
        <v>748</v>
      </c>
      <c r="H1269" s="944"/>
      <c r="I1269" s="944"/>
      <c r="J1269" s="944"/>
      <c r="K1269" s="944"/>
      <c r="L1269" s="944"/>
      <c r="M1269" s="944"/>
      <c r="O1269" s="936" t="s">
        <v>1996</v>
      </c>
      <c r="P1269" s="2327">
        <f>'Part VIII-Threshold Criteria'!P360</f>
        <v>0</v>
      </c>
      <c r="Q1269" s="2327"/>
    </row>
    <row r="1270" spans="1:17">
      <c r="A1270" s="956"/>
      <c r="B1270" s="940" t="s">
        <v>2117</v>
      </c>
      <c r="C1270" s="584" t="s">
        <v>2872</v>
      </c>
      <c r="D1270" s="955"/>
      <c r="E1270" s="955"/>
      <c r="H1270" s="946"/>
      <c r="O1270" s="939" t="s">
        <v>2117</v>
      </c>
      <c r="P1270" s="960" t="str">
        <f>'Part VIII-Threshold Criteria'!P361</f>
        <v>Yes</v>
      </c>
      <c r="Q1270" s="960">
        <f>'Part VIII-Threshold Criteria'!Q361</f>
        <v>0</v>
      </c>
    </row>
    <row r="1271" spans="1:17">
      <c r="A1271" s="956"/>
      <c r="B1271" s="940" t="s">
        <v>2120</v>
      </c>
      <c r="C1271" s="584" t="s">
        <v>2873</v>
      </c>
      <c r="D1271" s="955"/>
      <c r="E1271" s="955"/>
      <c r="O1271" s="939" t="s">
        <v>2120</v>
      </c>
      <c r="P1271" s="960" t="str">
        <f>'Part VIII-Threshold Criteria'!P362</f>
        <v>No</v>
      </c>
      <c r="Q1271" s="960">
        <f>'Part VIII-Threshold Criteria'!Q362</f>
        <v>0</v>
      </c>
    </row>
    <row r="1272" spans="1:17">
      <c r="A1272" s="956"/>
      <c r="B1272" s="940" t="s">
        <v>798</v>
      </c>
      <c r="C1272" s="584" t="s">
        <v>2905</v>
      </c>
      <c r="D1272" s="955"/>
      <c r="E1272" s="955"/>
      <c r="O1272" s="939" t="s">
        <v>798</v>
      </c>
      <c r="P1272" s="960" t="str">
        <f>'Part VIII-Threshold Criteria'!P363</f>
        <v>No</v>
      </c>
      <c r="Q1272" s="960">
        <f>'Part VIII-Threshold Criteria'!Q363</f>
        <v>0</v>
      </c>
    </row>
    <row r="1273" spans="1:17">
      <c r="A1273" s="956"/>
      <c r="B1273" s="940" t="s">
        <v>2252</v>
      </c>
      <c r="C1273" s="584" t="s">
        <v>2869</v>
      </c>
      <c r="E1273" s="946"/>
      <c r="O1273" s="939" t="s">
        <v>2252</v>
      </c>
      <c r="P1273" s="960" t="str">
        <f>'Part VIII-Threshold Criteria'!P364</f>
        <v>No</v>
      </c>
      <c r="Q1273" s="960">
        <f>'Part VIII-Threshold Criteria'!Q364</f>
        <v>0</v>
      </c>
    </row>
    <row r="1274" spans="1:17">
      <c r="B1274" s="940" t="s">
        <v>1856</v>
      </c>
      <c r="C1274" s="584" t="s">
        <v>2216</v>
      </c>
      <c r="E1274" s="946"/>
      <c r="G1274" s="939" t="s">
        <v>1856</v>
      </c>
      <c r="H1274" s="2316">
        <f>'Part VIII-Threshold Criteria'!H365</f>
        <v>0</v>
      </c>
      <c r="I1274" s="2316"/>
      <c r="J1274" s="2316"/>
      <c r="K1274" s="2316"/>
      <c r="L1274" s="2316"/>
      <c r="M1274" s="2316"/>
      <c r="N1274" s="2316"/>
      <c r="O1274" s="2316"/>
      <c r="P1274" s="960">
        <f>'Part VIII-Threshold Criteria'!P365</f>
        <v>0</v>
      </c>
      <c r="Q1274" s="960">
        <f>'Part VIII-Threshold Criteria'!Q365</f>
        <v>0</v>
      </c>
    </row>
    <row r="1275" spans="1:17">
      <c r="B1275" s="953" t="s">
        <v>1994</v>
      </c>
      <c r="D1275" s="953"/>
      <c r="E1275" s="953"/>
      <c r="F1275" s="953"/>
      <c r="G1275" s="953"/>
      <c r="H1275" s="938"/>
      <c r="I1275" s="935"/>
      <c r="J1275" s="935"/>
      <c r="K1275" s="935"/>
      <c r="L1275" s="890"/>
      <c r="M1275" s="890"/>
      <c r="N1275" s="890"/>
      <c r="O1275" s="890"/>
      <c r="P1275" s="890"/>
      <c r="Q1275" s="890"/>
    </row>
    <row r="1276" spans="1:17">
      <c r="A1276" s="2319" t="str">
        <f>'Part VIII-Threshold Criteria'!A367</f>
        <v>A copy of the LIHTC Acquisition and Rehabilitation Legal Opinion is located in tab 22</v>
      </c>
      <c r="B1276" s="2319"/>
      <c r="C1276" s="2319"/>
      <c r="D1276" s="2319"/>
      <c r="E1276" s="2319"/>
      <c r="F1276" s="2319"/>
      <c r="G1276" s="2319"/>
      <c r="H1276" s="2319"/>
      <c r="I1276" s="2319"/>
      <c r="J1276" s="2319"/>
      <c r="K1276" s="2319"/>
      <c r="L1276" s="2319"/>
      <c r="M1276" s="2319"/>
      <c r="N1276" s="2319"/>
      <c r="O1276" s="2319"/>
      <c r="P1276" s="2319"/>
      <c r="Q1276" s="2319"/>
    </row>
    <row r="1277" spans="1:17">
      <c r="B1277" s="942" t="s">
        <v>1995</v>
      </c>
      <c r="C1277" s="943"/>
      <c r="D1277" s="944"/>
      <c r="E1277" s="944"/>
      <c r="F1277" s="944"/>
      <c r="G1277" s="944"/>
      <c r="H1277" s="944"/>
      <c r="I1277" s="944"/>
      <c r="J1277" s="944"/>
      <c r="K1277" s="944"/>
      <c r="L1277" s="944"/>
      <c r="M1277" s="944"/>
      <c r="N1277" s="944"/>
      <c r="O1277" s="944"/>
      <c r="P1277" s="944"/>
      <c r="Q1277" s="944"/>
    </row>
    <row r="1278" spans="1:17">
      <c r="A1278" s="2333">
        <f>'Part VIII-Threshold Criteria'!A369</f>
        <v>0</v>
      </c>
      <c r="B1278" s="2333"/>
      <c r="C1278" s="2333"/>
      <c r="D1278" s="2333"/>
      <c r="E1278" s="2333"/>
      <c r="F1278" s="2333"/>
      <c r="G1278" s="2333"/>
      <c r="H1278" s="2333"/>
      <c r="I1278" s="2333"/>
      <c r="J1278" s="2333"/>
      <c r="K1278" s="2333"/>
      <c r="L1278" s="2333"/>
      <c r="M1278" s="2333"/>
      <c r="N1278" s="2333"/>
      <c r="O1278" s="2333"/>
      <c r="P1278" s="2333"/>
      <c r="Q1278" s="2333"/>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2866</v>
      </c>
      <c r="C1280" s="586"/>
      <c r="D1280" s="586"/>
      <c r="E1280" s="586"/>
      <c r="F1280" s="586"/>
      <c r="G1280" s="586"/>
      <c r="H1280" s="944"/>
      <c r="I1280" s="944"/>
      <c r="J1280" s="944"/>
      <c r="K1280" s="944"/>
      <c r="L1280" s="944"/>
      <c r="M1280" s="944"/>
      <c r="O1280" s="936" t="s">
        <v>1996</v>
      </c>
      <c r="P1280" s="2327">
        <f>'Part VIII-Threshold Criteria'!P371</f>
        <v>0</v>
      </c>
      <c r="Q1280" s="2327"/>
    </row>
    <row r="1281" spans="1:17">
      <c r="A1281" s="583"/>
      <c r="B1281" s="940" t="s">
        <v>2117</v>
      </c>
      <c r="C1281" s="584" t="s">
        <v>801</v>
      </c>
      <c r="D1281" s="583"/>
      <c r="E1281" s="583"/>
      <c r="F1281" s="583"/>
      <c r="G1281" s="583"/>
      <c r="H1281" s="583"/>
      <c r="I1281" s="583"/>
      <c r="J1281" s="583"/>
      <c r="K1281" s="583"/>
      <c r="L1281" s="583"/>
      <c r="M1281" s="583"/>
      <c r="N1281" s="583"/>
      <c r="O1281" s="939" t="s">
        <v>2117</v>
      </c>
      <c r="P1281" s="960" t="str">
        <f>'Part VIII-Threshold Criteria'!P372</f>
        <v>Yes</v>
      </c>
      <c r="Q1281" s="960">
        <f>'Part VIII-Threshold Criteria'!Q372</f>
        <v>0</v>
      </c>
    </row>
    <row r="1282" spans="1:17">
      <c r="A1282" s="583"/>
      <c r="B1282" s="940" t="s">
        <v>2120</v>
      </c>
      <c r="C1282" s="584" t="s">
        <v>2342</v>
      </c>
      <c r="D1282" s="583"/>
      <c r="E1282" s="583"/>
      <c r="F1282" s="583"/>
      <c r="G1282" s="583"/>
      <c r="H1282" s="583"/>
      <c r="I1282" s="583"/>
      <c r="J1282" s="583"/>
      <c r="K1282" s="583"/>
      <c r="L1282" s="583"/>
      <c r="M1282" s="583"/>
      <c r="N1282" s="583"/>
      <c r="O1282" s="939" t="s">
        <v>1541</v>
      </c>
      <c r="P1282" s="960" t="str">
        <f>'Part VIII-Threshold Criteria'!P373</f>
        <v>No</v>
      </c>
      <c r="Q1282" s="960">
        <f>'Part VIII-Threshold Criteria'!Q373</f>
        <v>0</v>
      </c>
    </row>
    <row r="1283" spans="1:17">
      <c r="A1283" s="583"/>
      <c r="B1283" s="940"/>
      <c r="C1283" s="584" t="s">
        <v>1584</v>
      </c>
      <c r="D1283" s="584"/>
      <c r="E1283" s="584"/>
      <c r="F1283" s="584"/>
      <c r="G1283" s="584"/>
      <c r="H1283" s="584"/>
      <c r="I1283" s="584"/>
      <c r="J1283" s="584"/>
      <c r="K1283" s="584"/>
      <c r="L1283" s="584"/>
      <c r="M1283" s="584"/>
      <c r="N1283" s="583"/>
    </row>
    <row r="1284" spans="1:17">
      <c r="A1284" s="583"/>
      <c r="B1284" s="940"/>
      <c r="C1284" s="584" t="s">
        <v>2343</v>
      </c>
      <c r="D1284" s="584"/>
      <c r="E1284" s="584"/>
      <c r="F1284" s="584"/>
      <c r="G1284" s="584"/>
      <c r="H1284" s="584"/>
      <c r="I1284" s="584"/>
      <c r="J1284" s="584"/>
      <c r="K1284" s="584"/>
      <c r="L1284" s="584"/>
      <c r="M1284" s="584"/>
      <c r="N1284" s="583"/>
      <c r="O1284" s="939" t="s">
        <v>1859</v>
      </c>
      <c r="P1284" s="960" t="str">
        <f>'Part VIII-Threshold Criteria'!P375</f>
        <v>No</v>
      </c>
      <c r="Q1284" s="960">
        <f>'Part VIII-Threshold Criteria'!Q375</f>
        <v>0</v>
      </c>
    </row>
    <row r="1285" spans="1:17">
      <c r="A1285" s="583"/>
      <c r="B1285" s="940" t="s">
        <v>798</v>
      </c>
      <c r="C1285" s="2316" t="s">
        <v>2341</v>
      </c>
      <c r="D1285" s="2316"/>
      <c r="E1285" s="2316"/>
      <c r="F1285" s="2316"/>
      <c r="G1285" s="2316"/>
      <c r="H1285" s="2316"/>
      <c r="I1285" s="2316"/>
      <c r="J1285" s="2316"/>
      <c r="K1285" s="2316"/>
      <c r="L1285" s="2316"/>
      <c r="M1285" s="2316"/>
      <c r="N1285" s="2316"/>
      <c r="O1285" s="939" t="s">
        <v>798</v>
      </c>
      <c r="P1285" s="960" t="str">
        <f>'Part VIII-Threshold Criteria'!P376</f>
        <v>Yes</v>
      </c>
      <c r="Q1285" s="960">
        <f>'Part VIII-Threshold Criteria'!Q376</f>
        <v>0</v>
      </c>
    </row>
    <row r="1286" spans="1:17">
      <c r="A1286" s="583"/>
      <c r="B1286" s="940" t="s">
        <v>2252</v>
      </c>
      <c r="C1286" s="938" t="s">
        <v>3282</v>
      </c>
      <c r="D1286" s="938"/>
      <c r="E1286" s="938"/>
      <c r="F1286" s="938"/>
      <c r="G1286" s="938"/>
      <c r="H1286" s="938"/>
      <c r="I1286" s="938"/>
      <c r="J1286" s="938"/>
      <c r="K1286" s="938"/>
      <c r="L1286" s="938"/>
      <c r="M1286" s="938"/>
      <c r="N1286" s="583"/>
      <c r="O1286" s="939"/>
      <c r="P1286" s="583"/>
      <c r="Q1286" s="583"/>
    </row>
    <row r="1287" spans="1:17">
      <c r="A1287" s="583"/>
      <c r="B1287" s="940"/>
      <c r="C1287" s="584" t="s">
        <v>2344</v>
      </c>
      <c r="D1287" s="584"/>
      <c r="E1287" s="583"/>
      <c r="F1287" s="938"/>
      <c r="G1287" s="783">
        <f>'Part VIII-Threshold Criteria'!G378</f>
        <v>12</v>
      </c>
      <c r="H1287" s="783" t="str">
        <f>'Part VIII-Threshold Criteria'!H378</f>
        <v xml:space="preserve"> </v>
      </c>
      <c r="J1287" s="584" t="s">
        <v>2347</v>
      </c>
      <c r="K1287" s="938"/>
      <c r="N1287" s="783">
        <f>'Part VIII-Threshold Criteria'!N378</f>
        <v>0</v>
      </c>
      <c r="O1287" s="783" t="str">
        <f>'Part VIII-Threshold Criteria'!O378</f>
        <v xml:space="preserve"> </v>
      </c>
    </row>
    <row r="1288" spans="1:17">
      <c r="A1288" s="583"/>
      <c r="B1288" s="940"/>
      <c r="C1288" s="584" t="s">
        <v>2345</v>
      </c>
      <c r="D1288" s="584"/>
      <c r="E1288" s="583"/>
      <c r="F1288" s="938"/>
      <c r="G1288" s="783">
        <f>'Part VIII-Threshold Criteria'!G379</f>
        <v>63</v>
      </c>
      <c r="H1288" s="783">
        <f>'Part VIII-Threshold Criteria'!H379</f>
        <v>0</v>
      </c>
      <c r="J1288" s="584" t="s">
        <v>2348</v>
      </c>
      <c r="K1288" s="938"/>
      <c r="N1288" s="783">
        <f>'Part VIII-Threshold Criteria'!N379</f>
        <v>12</v>
      </c>
      <c r="O1288" s="783">
        <f>'Part VIII-Threshold Criteria'!O379</f>
        <v>0</v>
      </c>
    </row>
    <row r="1289" spans="1:17">
      <c r="A1289" s="583"/>
      <c r="B1289" s="940"/>
      <c r="C1289" s="584" t="s">
        <v>2346</v>
      </c>
      <c r="D1289" s="584"/>
      <c r="E1289" s="583"/>
      <c r="F1289" s="938"/>
      <c r="G1289" s="783">
        <f>'Part VIII-Threshold Criteria'!G380</f>
        <v>15</v>
      </c>
      <c r="H1289" s="783" t="str">
        <f>'Part VIII-Threshold Criteria'!H380</f>
        <v xml:space="preserve"> </v>
      </c>
      <c r="K1289" s="938"/>
      <c r="L1289" s="938"/>
      <c r="M1289" s="938"/>
      <c r="N1289" s="583"/>
      <c r="O1289" s="939"/>
    </row>
    <row r="1290" spans="1:17">
      <c r="A1290" s="583"/>
      <c r="B1290" s="940" t="s">
        <v>1856</v>
      </c>
      <c r="C1290" s="938" t="s">
        <v>2540</v>
      </c>
      <c r="D1290" s="938"/>
      <c r="E1290" s="938"/>
      <c r="F1290" s="938"/>
      <c r="G1290" s="938"/>
      <c r="J1290" s="583"/>
      <c r="K1290" s="938"/>
      <c r="L1290" s="938"/>
      <c r="M1290" s="938"/>
      <c r="N1290" s="583"/>
      <c r="O1290" s="939"/>
      <c r="P1290" s="939"/>
      <c r="Q1290" s="939"/>
    </row>
    <row r="1291" spans="1:17">
      <c r="A1291" s="583"/>
      <c r="B1291" s="940"/>
      <c r="C1291" s="566" t="s">
        <v>2349</v>
      </c>
      <c r="D1291" s="938"/>
      <c r="E1291" s="938"/>
      <c r="F1291" s="938"/>
      <c r="G1291" s="783" t="str">
        <f>'Part VIII-Threshold Criteria'!G382</f>
        <v>Yes</v>
      </c>
      <c r="H1291" s="783">
        <f>'Part VIII-Threshold Criteria'!H382</f>
        <v>0</v>
      </c>
      <c r="J1291" s="566" t="s">
        <v>1252</v>
      </c>
      <c r="K1291" s="938"/>
      <c r="N1291" s="783" t="str">
        <f>'Part VIII-Threshold Criteria'!N382</f>
        <v>Yes</v>
      </c>
      <c r="O1291" s="783">
        <f>'Part VIII-Threshold Criteria'!O382</f>
        <v>0</v>
      </c>
    </row>
    <row r="1292" spans="1:17">
      <c r="A1292" s="583"/>
      <c r="B1292" s="940"/>
      <c r="C1292" s="566" t="s">
        <v>1251</v>
      </c>
      <c r="D1292" s="938"/>
      <c r="E1292" s="938"/>
      <c r="F1292" s="938"/>
      <c r="G1292" s="783" t="str">
        <f>'Part VIII-Threshold Criteria'!G383</f>
        <v>Yes</v>
      </c>
      <c r="H1292" s="783">
        <f>'Part VIII-Threshold Criteria'!H383</f>
        <v>0</v>
      </c>
      <c r="J1292" s="566" t="s">
        <v>2400</v>
      </c>
      <c r="N1292" s="2454">
        <f>'Part VIII-Threshold Criteria'!N383</f>
        <v>0</v>
      </c>
      <c r="O1292" s="2454"/>
      <c r="P1292" s="2454"/>
      <c r="Q1292" s="2454"/>
    </row>
    <row r="1293" spans="1:17">
      <c r="B1293" s="953" t="s">
        <v>1994</v>
      </c>
      <c r="D1293" s="953"/>
      <c r="E1293" s="953"/>
      <c r="F1293" s="953"/>
      <c r="G1293" s="953"/>
      <c r="H1293" s="938"/>
      <c r="I1293" s="935"/>
      <c r="J1293" s="935"/>
      <c r="K1293" s="935"/>
      <c r="P1293" s="890"/>
      <c r="Q1293" s="890"/>
    </row>
    <row r="1294" spans="1:17">
      <c r="A1294" s="2319" t="str">
        <f>'Part VIII-Threshold Criteria'!A385</f>
        <v>26.D(4). The number is zero however (0) will not show in the cell.  26.E. This information is included in the Advisory / Counseling Services and Proposed Notifications document which is attached to the back of the Relocation Plan that is included in Tab 23</v>
      </c>
      <c r="B1294" s="2319"/>
      <c r="C1294" s="2319"/>
      <c r="D1294" s="2319"/>
      <c r="E1294" s="2319"/>
      <c r="F1294" s="2319"/>
      <c r="G1294" s="2319"/>
      <c r="H1294" s="2319"/>
      <c r="I1294" s="2319"/>
      <c r="J1294" s="2319"/>
      <c r="K1294" s="2319"/>
      <c r="L1294" s="2319"/>
      <c r="M1294" s="2319"/>
      <c r="N1294" s="2319"/>
      <c r="O1294" s="2319"/>
      <c r="P1294" s="2319"/>
      <c r="Q1294" s="2319"/>
    </row>
    <row r="1295" spans="1:17">
      <c r="B1295" s="942" t="s">
        <v>1995</v>
      </c>
      <c r="C1295" s="943"/>
      <c r="D1295" s="944"/>
      <c r="E1295" s="944"/>
      <c r="F1295" s="944"/>
      <c r="G1295" s="944"/>
      <c r="H1295" s="944"/>
      <c r="I1295" s="944"/>
      <c r="J1295" s="944"/>
      <c r="K1295" s="944"/>
      <c r="L1295" s="944"/>
      <c r="M1295" s="944"/>
      <c r="N1295" s="944"/>
      <c r="O1295" s="944"/>
      <c r="P1295" s="944"/>
      <c r="Q1295" s="944"/>
    </row>
    <row r="1296" spans="1:17">
      <c r="A1296" s="2333">
        <f>'Part VIII-Threshold Criteria'!A387</f>
        <v>0</v>
      </c>
      <c r="B1296" s="2333"/>
      <c r="C1296" s="2333"/>
      <c r="D1296" s="2333"/>
      <c r="E1296" s="2333"/>
      <c r="F1296" s="2333"/>
      <c r="G1296" s="2333"/>
      <c r="H1296" s="2333"/>
      <c r="I1296" s="2333"/>
      <c r="J1296" s="2333"/>
      <c r="K1296" s="2333"/>
      <c r="L1296" s="2333"/>
      <c r="M1296" s="2333"/>
      <c r="N1296" s="2333"/>
      <c r="O1296" s="2333"/>
      <c r="P1296" s="2333"/>
      <c r="Q1296" s="2333"/>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3283</v>
      </c>
      <c r="C1298" s="586"/>
      <c r="D1298" s="934"/>
      <c r="E1298" s="944"/>
      <c r="F1298" s="944"/>
      <c r="G1298" s="944"/>
      <c r="H1298" s="944"/>
      <c r="O1298" s="936" t="s">
        <v>1996</v>
      </c>
      <c r="P1298" s="2327">
        <f>'Part VIII-Threshold Criteria'!P389</f>
        <v>0</v>
      </c>
      <c r="Q1298" s="2327"/>
    </row>
    <row r="1299" spans="1:17">
      <c r="A1299" s="957"/>
      <c r="B1299" s="937" t="s">
        <v>2117</v>
      </c>
      <c r="C1299" s="2323" t="s">
        <v>3284</v>
      </c>
      <c r="D1299" s="2323"/>
      <c r="E1299" s="2323"/>
      <c r="F1299" s="2323"/>
      <c r="G1299" s="2323"/>
      <c r="H1299" s="2323"/>
      <c r="I1299" s="2323"/>
      <c r="J1299" s="2323"/>
      <c r="K1299" s="2323"/>
      <c r="L1299" s="2323"/>
      <c r="M1299" s="2323"/>
      <c r="N1299" s="2323"/>
      <c r="O1299" s="958" t="s">
        <v>2117</v>
      </c>
      <c r="P1299" s="960" t="str">
        <f>'Part VIII-Threshold Criteria'!P390</f>
        <v>Agree</v>
      </c>
      <c r="Q1299" s="960">
        <f>'Part VIII-Threshold Criteria'!Q390</f>
        <v>0</v>
      </c>
    </row>
    <row r="1300" spans="1:17">
      <c r="A1300" s="957"/>
      <c r="B1300" s="937" t="s">
        <v>2120</v>
      </c>
      <c r="C1300" s="2323" t="s">
        <v>3285</v>
      </c>
      <c r="D1300" s="2323"/>
      <c r="E1300" s="2323"/>
      <c r="F1300" s="2323"/>
      <c r="G1300" s="2323"/>
      <c r="H1300" s="2323"/>
      <c r="I1300" s="2323"/>
      <c r="J1300" s="2323"/>
      <c r="K1300" s="2323"/>
      <c r="L1300" s="2323"/>
      <c r="M1300" s="2323"/>
      <c r="N1300" s="2323"/>
      <c r="O1300" s="958" t="s">
        <v>2120</v>
      </c>
      <c r="P1300" s="960" t="str">
        <f>'Part VIII-Threshold Criteria'!P391</f>
        <v>Agree</v>
      </c>
      <c r="Q1300" s="960">
        <f>'Part VIII-Threshold Criteria'!Q391</f>
        <v>0</v>
      </c>
    </row>
    <row r="1301" spans="1:17">
      <c r="A1301" s="957"/>
      <c r="B1301" s="937" t="s">
        <v>798</v>
      </c>
      <c r="C1301" s="2323" t="s">
        <v>3286</v>
      </c>
      <c r="D1301" s="2323"/>
      <c r="E1301" s="2323"/>
      <c r="F1301" s="2323"/>
      <c r="G1301" s="2323"/>
      <c r="H1301" s="2323"/>
      <c r="I1301" s="2323"/>
      <c r="J1301" s="2323"/>
      <c r="K1301" s="2323"/>
      <c r="L1301" s="2323"/>
      <c r="M1301" s="2323"/>
      <c r="N1301" s="2323"/>
      <c r="O1301" s="958" t="s">
        <v>798</v>
      </c>
      <c r="P1301" s="960" t="str">
        <f>'Part VIII-Threshold Criteria'!P392</f>
        <v>Agree</v>
      </c>
      <c r="Q1301" s="960">
        <f>'Part VIII-Threshold Criteria'!Q392</f>
        <v>0</v>
      </c>
    </row>
    <row r="1302" spans="1:17">
      <c r="A1302" s="957"/>
      <c r="B1302" s="937" t="s">
        <v>2252</v>
      </c>
      <c r="C1302" s="2323" t="s">
        <v>3287</v>
      </c>
      <c r="D1302" s="2323"/>
      <c r="E1302" s="2323"/>
      <c r="F1302" s="2323"/>
      <c r="G1302" s="2323"/>
      <c r="H1302" s="2323"/>
      <c r="I1302" s="2323"/>
      <c r="J1302" s="2323"/>
      <c r="K1302" s="2323"/>
      <c r="L1302" s="2323"/>
      <c r="M1302" s="2323"/>
      <c r="N1302" s="2323"/>
      <c r="O1302" s="958" t="s">
        <v>2252</v>
      </c>
      <c r="P1302" s="960" t="str">
        <f>'Part VIII-Threshold Criteria'!P393</f>
        <v>Agree</v>
      </c>
      <c r="Q1302" s="960">
        <f>'Part VIII-Threshold Criteria'!Q393</f>
        <v>0</v>
      </c>
    </row>
    <row r="1303" spans="1:17">
      <c r="A1303" s="957"/>
      <c r="B1303" s="937" t="s">
        <v>1856</v>
      </c>
      <c r="C1303" s="2323" t="s">
        <v>3288</v>
      </c>
      <c r="D1303" s="2323"/>
      <c r="E1303" s="2323"/>
      <c r="F1303" s="2323"/>
      <c r="G1303" s="2323"/>
      <c r="H1303" s="2323"/>
      <c r="I1303" s="2323"/>
      <c r="J1303" s="2323"/>
      <c r="K1303" s="2323"/>
      <c r="L1303" s="2323"/>
      <c r="M1303" s="2323"/>
      <c r="N1303" s="2323"/>
      <c r="O1303" s="958" t="s">
        <v>1856</v>
      </c>
      <c r="P1303" s="960" t="str">
        <f>'Part VIII-Threshold Criteria'!P394</f>
        <v>Agree</v>
      </c>
      <c r="Q1303" s="960">
        <f>'Part VIII-Threshold Criteria'!Q394</f>
        <v>0</v>
      </c>
    </row>
    <row r="1304" spans="1:17">
      <c r="A1304" s="957"/>
      <c r="B1304" s="937" t="s">
        <v>1857</v>
      </c>
      <c r="C1304" s="2323" t="s">
        <v>3289</v>
      </c>
      <c r="D1304" s="2323"/>
      <c r="E1304" s="2323"/>
      <c r="F1304" s="2323"/>
      <c r="G1304" s="2323"/>
      <c r="H1304" s="2323"/>
      <c r="I1304" s="2323"/>
      <c r="J1304" s="2323"/>
      <c r="K1304" s="2323"/>
      <c r="L1304" s="2323"/>
      <c r="M1304" s="2323"/>
      <c r="N1304" s="2323"/>
      <c r="O1304" s="958" t="s">
        <v>1857</v>
      </c>
      <c r="P1304" s="960" t="str">
        <f>'Part VIII-Threshold Criteria'!P395</f>
        <v>Agree</v>
      </c>
      <c r="Q1304" s="960">
        <f>'Part VIII-Threshold Criteria'!Q395</f>
        <v>0</v>
      </c>
    </row>
    <row r="1305" spans="1:17">
      <c r="A1305" s="957"/>
      <c r="B1305" s="937" t="s">
        <v>2080</v>
      </c>
      <c r="C1305" s="2323" t="s">
        <v>2901</v>
      </c>
      <c r="D1305" s="2323"/>
      <c r="E1305" s="2323"/>
      <c r="F1305" s="2323"/>
      <c r="G1305" s="2323"/>
      <c r="H1305" s="2323"/>
      <c r="I1305" s="2323"/>
      <c r="J1305" s="2323"/>
      <c r="K1305" s="2323"/>
      <c r="L1305" s="2323"/>
      <c r="M1305" s="2323"/>
      <c r="N1305" s="2323"/>
      <c r="O1305" s="958" t="s">
        <v>2080</v>
      </c>
      <c r="P1305" s="960" t="str">
        <f>'Part VIII-Threshold Criteria'!P396</f>
        <v>Agree</v>
      </c>
      <c r="Q1305" s="960">
        <f>'Part VIII-Threshold Criteria'!Q396</f>
        <v>0</v>
      </c>
    </row>
    <row r="1306" spans="1:17">
      <c r="B1306" s="953" t="s">
        <v>1994</v>
      </c>
      <c r="D1306" s="953"/>
      <c r="E1306" s="953"/>
      <c r="F1306" s="953"/>
      <c r="G1306" s="953"/>
      <c r="H1306" s="938"/>
      <c r="I1306" s="935"/>
      <c r="J1306" s="935"/>
      <c r="K1306" s="935"/>
      <c r="L1306" s="890"/>
      <c r="M1306" s="890"/>
      <c r="N1306" s="890"/>
      <c r="O1306" s="890"/>
      <c r="P1306" s="890"/>
      <c r="Q1306" s="890"/>
    </row>
    <row r="1307" spans="1:17">
      <c r="A1307" s="2319">
        <f>'Part VIII-Threshold Criteria'!A398</f>
        <v>0</v>
      </c>
      <c r="B1307" s="2319"/>
      <c r="C1307" s="2319"/>
      <c r="D1307" s="2319"/>
      <c r="E1307" s="2319"/>
      <c r="F1307" s="2319"/>
      <c r="G1307" s="2319"/>
      <c r="H1307" s="2319"/>
      <c r="I1307" s="2319"/>
      <c r="J1307" s="2319"/>
      <c r="K1307" s="2319"/>
      <c r="L1307" s="2319"/>
      <c r="M1307" s="2319"/>
      <c r="N1307" s="2319"/>
      <c r="O1307" s="2319"/>
      <c r="P1307" s="2319"/>
      <c r="Q1307" s="2319"/>
    </row>
    <row r="1308" spans="1:17">
      <c r="B1308" s="942" t="s">
        <v>1995</v>
      </c>
      <c r="C1308" s="943"/>
      <c r="D1308" s="944"/>
      <c r="E1308" s="944"/>
      <c r="F1308" s="944"/>
      <c r="G1308" s="944"/>
      <c r="H1308" s="944"/>
      <c r="I1308" s="944"/>
      <c r="J1308" s="944"/>
      <c r="K1308" s="944"/>
      <c r="L1308" s="944"/>
      <c r="M1308" s="944"/>
      <c r="N1308" s="944"/>
      <c r="O1308" s="944"/>
      <c r="P1308" s="944"/>
      <c r="Q1308" s="944"/>
    </row>
    <row r="1309" spans="1:17">
      <c r="A1309" s="2333">
        <f>'Part VIII-Threshold Criteria'!A400</f>
        <v>0</v>
      </c>
      <c r="B1309" s="2333"/>
      <c r="C1309" s="2333"/>
      <c r="D1309" s="2333"/>
      <c r="E1309" s="2333"/>
      <c r="F1309" s="2333"/>
      <c r="G1309" s="2333"/>
      <c r="H1309" s="2333"/>
      <c r="I1309" s="2333"/>
      <c r="J1309" s="2333"/>
      <c r="K1309" s="2333"/>
      <c r="L1309" s="2333"/>
      <c r="M1309" s="2333"/>
      <c r="N1309" s="2333"/>
      <c r="O1309" s="2333"/>
      <c r="P1309" s="2333"/>
      <c r="Q1309" s="2333"/>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2867</v>
      </c>
      <c r="C1311" s="586"/>
      <c r="D1311" s="934"/>
      <c r="E1311" s="944"/>
      <c r="F1311" s="944"/>
      <c r="G1311" s="944"/>
      <c r="H1311" s="944"/>
      <c r="I1311" s="944"/>
      <c r="J1311" s="944"/>
      <c r="K1311" s="944"/>
      <c r="L1311" s="944"/>
      <c r="M1311" s="944"/>
      <c r="O1311" s="936" t="s">
        <v>1996</v>
      </c>
      <c r="P1311" s="2327">
        <f>'Part VIII-Threshold Criteria'!P402</f>
        <v>0</v>
      </c>
      <c r="Q1311" s="2327"/>
    </row>
    <row r="1312" spans="1:17">
      <c r="A1312" s="885"/>
      <c r="B1312" s="953" t="s">
        <v>1994</v>
      </c>
      <c r="D1312" s="953"/>
      <c r="E1312" s="953"/>
      <c r="F1312" s="953"/>
      <c r="G1312" s="953"/>
      <c r="H1312" s="938"/>
      <c r="I1312" s="935"/>
      <c r="J1312" s="935"/>
      <c r="K1312" s="935"/>
      <c r="L1312" s="890"/>
      <c r="M1312" s="890"/>
      <c r="N1312" s="890"/>
      <c r="O1312" s="890"/>
      <c r="P1312" s="890"/>
      <c r="Q1312" s="890"/>
    </row>
    <row r="1313" spans="1:21">
      <c r="A1313" s="2319">
        <f>'Part VIII-Threshold Criteria'!A404</f>
        <v>0</v>
      </c>
      <c r="B1313" s="2319"/>
      <c r="C1313" s="2319"/>
      <c r="D1313" s="2319"/>
      <c r="E1313" s="2319"/>
      <c r="F1313" s="2319"/>
      <c r="G1313" s="2319"/>
      <c r="H1313" s="2319"/>
      <c r="I1313" s="2319"/>
      <c r="J1313" s="2319"/>
      <c r="K1313" s="2319"/>
      <c r="L1313" s="2319"/>
      <c r="M1313" s="2319"/>
      <c r="N1313" s="2319"/>
      <c r="O1313" s="2319"/>
      <c r="P1313" s="2319"/>
      <c r="Q1313" s="2319"/>
    </row>
    <row r="1314" spans="1:21">
      <c r="B1314" s="942" t="s">
        <v>1995</v>
      </c>
      <c r="C1314" s="943"/>
      <c r="D1314" s="944"/>
      <c r="E1314" s="944"/>
      <c r="F1314" s="944"/>
      <c r="G1314" s="944"/>
      <c r="H1314" s="944"/>
      <c r="I1314" s="944"/>
      <c r="J1314" s="944"/>
      <c r="K1314" s="944"/>
      <c r="L1314" s="944"/>
      <c r="M1314" s="944"/>
      <c r="N1314" s="944"/>
      <c r="O1314" s="944"/>
      <c r="P1314" s="944"/>
      <c r="Q1314" s="944"/>
    </row>
    <row r="1315" spans="1:21">
      <c r="A1315" s="2333">
        <f>'Part VIII-Threshold Criteria'!A406</f>
        <v>0</v>
      </c>
      <c r="B1315" s="2333"/>
      <c r="C1315" s="2333"/>
      <c r="D1315" s="2333"/>
      <c r="E1315" s="2333"/>
      <c r="F1315" s="2333"/>
      <c r="G1315" s="2333"/>
      <c r="H1315" s="2333"/>
      <c r="I1315" s="2333"/>
      <c r="J1315" s="2333"/>
      <c r="K1315" s="2333"/>
      <c r="L1315" s="2333"/>
      <c r="M1315" s="2333"/>
      <c r="N1315" s="2333"/>
      <c r="O1315" s="2333"/>
      <c r="P1315" s="2333"/>
      <c r="Q1315" s="2333"/>
    </row>
    <row r="1319" spans="1:21">
      <c r="A1319" s="2353" t="str">
        <f>CONCATENATE("PART NINE - SCORING CRITERIA","  -  ",'Part I-Project Information'!$O$4," ",'Part I-Project Information'!$F$23,", ",'Part I-Project Information'!F1345,", ",'Part I-Project Information'!J1346," County")</f>
        <v>PART NINE - SCORING CRITERIA  -  2014-006 North Grove Apartments, ,  County</v>
      </c>
      <c r="B1319" s="2353"/>
      <c r="C1319" s="2353"/>
      <c r="D1319" s="2353"/>
      <c r="E1319" s="2353"/>
      <c r="F1319" s="2353"/>
      <c r="G1319" s="2353"/>
      <c r="H1319" s="2353"/>
      <c r="I1319" s="2353"/>
      <c r="J1319" s="2353"/>
      <c r="K1319" s="2353"/>
      <c r="L1319" s="2353"/>
      <c r="M1319" s="2353"/>
      <c r="N1319" s="2353"/>
      <c r="O1319" s="2353"/>
      <c r="P1319" s="2353"/>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2362</v>
      </c>
      <c r="N1321" s="780"/>
      <c r="O1321" s="888" t="s">
        <v>2361</v>
      </c>
      <c r="P1321" s="786" t="s">
        <v>270</v>
      </c>
      <c r="U1321" s="888" t="s">
        <v>2361</v>
      </c>
    </row>
    <row r="1322" spans="1:21" ht="14.25">
      <c r="A1322" s="583"/>
      <c r="B1322" s="583"/>
      <c r="C1322" s="583"/>
      <c r="D1322" s="583"/>
      <c r="E1322" s="583"/>
      <c r="F1322" s="583"/>
      <c r="G1322" s="583"/>
      <c r="H1322" s="583"/>
      <c r="I1322" s="583"/>
      <c r="J1322" s="583"/>
      <c r="K1322" s="583"/>
      <c r="L1322" s="973"/>
      <c r="M1322" s="972" t="s">
        <v>96</v>
      </c>
      <c r="N1322" s="586"/>
      <c r="O1322" s="888" t="s">
        <v>2362</v>
      </c>
      <c r="P1322" s="786" t="s">
        <v>2362</v>
      </c>
      <c r="Q1322" s="973"/>
      <c r="U1322" s="888" t="s">
        <v>2362</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3599</v>
      </c>
    </row>
    <row r="1324" spans="1:21" ht="15.75">
      <c r="A1324" s="583"/>
      <c r="B1324" s="583"/>
      <c r="C1324" s="583"/>
      <c r="D1324" s="583"/>
      <c r="E1324" s="583"/>
      <c r="F1324" s="583"/>
      <c r="G1324" s="583"/>
      <c r="H1324" s="973"/>
      <c r="I1324" s="583"/>
      <c r="J1324" s="583"/>
      <c r="K1324" s="973"/>
      <c r="L1324" s="974" t="s">
        <v>1302</v>
      </c>
      <c r="M1324" s="975">
        <f>M1670</f>
        <v>87</v>
      </c>
      <c r="N1324" s="916"/>
      <c r="O1324" s="975">
        <f>O1670</f>
        <v>52</v>
      </c>
      <c r="P1324" s="975">
        <f>P1670</f>
        <v>10</v>
      </c>
      <c r="Q1324" s="973"/>
      <c r="U1324" s="975">
        <f>U1670</f>
        <v>52</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2121</v>
      </c>
      <c r="B1326" s="977" t="s">
        <v>3236</v>
      </c>
      <c r="C1326" s="586"/>
      <c r="D1326" s="586"/>
      <c r="E1326" s="586"/>
      <c r="F1326" s="586"/>
      <c r="G1326" s="583"/>
      <c r="H1326" s="941" t="s">
        <v>1730</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2117</v>
      </c>
      <c r="B1328" s="887" t="s">
        <v>1997</v>
      </c>
      <c r="C1328" s="583"/>
      <c r="D1328" s="587"/>
      <c r="E1328" s="587"/>
      <c r="F1328" s="935" t="s">
        <v>2764</v>
      </c>
      <c r="G1328" s="938">
        <f>F1334</f>
        <v>0</v>
      </c>
      <c r="H1328" s="807" t="s">
        <v>3524</v>
      </c>
      <c r="I1328" s="583"/>
      <c r="J1328" s="583"/>
      <c r="K1328" s="583"/>
      <c r="L1328" s="583"/>
      <c r="M1328" s="780"/>
      <c r="N1328" s="939" t="s">
        <v>2117</v>
      </c>
      <c r="O1328" s="975">
        <f>'Part IX A-Scoring Criteria'!O10</f>
        <v>0</v>
      </c>
      <c r="P1328" s="975">
        <f>'Part IX A-Scoring Criteria'!P10</f>
        <v>0</v>
      </c>
      <c r="Q1328" s="583"/>
    </row>
    <row r="1329" spans="1:17" ht="15">
      <c r="A1329" s="947"/>
      <c r="B1329" s="587" t="s">
        <v>2250</v>
      </c>
      <c r="C1329" s="979"/>
      <c r="D1329" s="587"/>
      <c r="E1329" s="587"/>
      <c r="F1329" s="935" t="s">
        <v>2764</v>
      </c>
      <c r="G1329" s="938">
        <f>P1334</f>
        <v>0</v>
      </c>
      <c r="H1329" s="807" t="s">
        <v>3156</v>
      </c>
      <c r="I1329" s="979"/>
      <c r="J1329" s="941"/>
      <c r="K1329" s="979"/>
      <c r="L1329" s="979"/>
      <c r="M1329" s="780">
        <v>1</v>
      </c>
      <c r="N1329" s="939"/>
      <c r="O1329" s="975">
        <f>'Part IX A-Scoring Criteria'!O11</f>
        <v>0</v>
      </c>
      <c r="P1329" s="975">
        <f>'Part IX A-Scoring Criteria'!P11</f>
        <v>0</v>
      </c>
      <c r="Q1329" s="979"/>
    </row>
    <row r="1330" spans="1:17">
      <c r="A1330" s="947" t="s">
        <v>2120</v>
      </c>
      <c r="B1330" s="887" t="s">
        <v>775</v>
      </c>
      <c r="C1330" s="583"/>
      <c r="D1330" s="587"/>
      <c r="E1330" s="587"/>
      <c r="F1330" s="935" t="s">
        <v>2764</v>
      </c>
      <c r="G1330" s="938">
        <f>K1334</f>
        <v>0</v>
      </c>
      <c r="H1330" s="807" t="s">
        <v>3686</v>
      </c>
      <c r="I1330" s="583"/>
      <c r="J1330" s="941"/>
      <c r="K1330" s="583"/>
      <c r="L1330" s="583"/>
      <c r="M1330" s="780"/>
      <c r="N1330" s="939" t="s">
        <v>2120</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319">
        <f>'Part IX A-Scoring Criteria'!A14</f>
        <v>0</v>
      </c>
      <c r="B1332" s="2319"/>
      <c r="C1332" s="2319"/>
      <c r="D1332" s="2319"/>
      <c r="E1332" s="2319"/>
      <c r="F1332" s="2319"/>
      <c r="G1332" s="2319"/>
      <c r="H1332" s="2319"/>
      <c r="I1332" s="2319"/>
      <c r="J1332" s="2319"/>
      <c r="K1332" s="2319"/>
      <c r="L1332" s="2319"/>
      <c r="M1332" s="2319"/>
      <c r="N1332" s="2319"/>
      <c r="O1332" s="2319"/>
      <c r="P1332" s="2319"/>
      <c r="Q1332" s="980" t="s">
        <v>1331</v>
      </c>
    </row>
    <row r="1333" spans="1:17">
      <c r="A1333" s="941" t="s">
        <v>1995</v>
      </c>
      <c r="B1333" s="583"/>
      <c r="C1333" s="583"/>
      <c r="D1333" s="583"/>
      <c r="E1333" s="583"/>
      <c r="F1333" s="935" t="s">
        <v>1834</v>
      </c>
      <c r="G1333" s="583"/>
      <c r="H1333" s="583"/>
      <c r="I1333" s="583"/>
      <c r="J1333" s="583"/>
      <c r="K1333" s="935" t="s">
        <v>1834</v>
      </c>
      <c r="L1333" s="583"/>
      <c r="M1333" s="583"/>
      <c r="N1333" s="583"/>
      <c r="O1333" s="583"/>
      <c r="P1333" s="939" t="s">
        <v>1834</v>
      </c>
      <c r="Q1333" s="583"/>
    </row>
    <row r="1334" spans="1:17">
      <c r="A1334" s="2354" t="s">
        <v>2562</v>
      </c>
      <c r="B1334" s="2354"/>
      <c r="C1334" s="2354"/>
      <c r="D1334" s="2354"/>
      <c r="E1334" s="939" t="s">
        <v>540</v>
      </c>
      <c r="F1334" s="888">
        <f>SUM(F1335:F1346)</f>
        <v>0</v>
      </c>
      <c r="G1334" s="2354" t="s">
        <v>2563</v>
      </c>
      <c r="H1334" s="2354"/>
      <c r="I1334" s="2354"/>
      <c r="J1334" s="939" t="s">
        <v>540</v>
      </c>
      <c r="K1334" s="888">
        <f>SUM(K1335:K1346)</f>
        <v>0</v>
      </c>
      <c r="L1334" s="954" t="s">
        <v>3687</v>
      </c>
      <c r="M1334" s="583"/>
      <c r="N1334" s="981"/>
      <c r="O1334" s="939"/>
      <c r="P1334" s="888">
        <f>SUM(P1335:P1346)</f>
        <v>0</v>
      </c>
      <c r="Q1334" s="583"/>
    </row>
    <row r="1335" spans="1:17" ht="15.75">
      <c r="A1335" s="2340">
        <v>1</v>
      </c>
      <c r="B1335" s="2330"/>
      <c r="C1335" s="2330"/>
      <c r="D1335" s="2330"/>
      <c r="E1335" s="2330"/>
      <c r="F1335" s="606"/>
      <c r="G1335" s="2340">
        <v>1</v>
      </c>
      <c r="H1335" s="2340"/>
      <c r="I1335" s="2340"/>
      <c r="J1335" s="2340"/>
      <c r="K1335" s="606" t="s">
        <v>1854</v>
      </c>
      <c r="L1335" s="2340">
        <v>1</v>
      </c>
      <c r="M1335" s="2340"/>
      <c r="N1335" s="2340"/>
      <c r="O1335" s="2340"/>
      <c r="P1335" s="606"/>
      <c r="Q1335" s="980" t="s">
        <v>1331</v>
      </c>
    </row>
    <row r="1336" spans="1:17" ht="15.75">
      <c r="A1336" s="2340">
        <v>2</v>
      </c>
      <c r="B1336" s="2330"/>
      <c r="C1336" s="2330"/>
      <c r="D1336" s="2330"/>
      <c r="E1336" s="2330"/>
      <c r="F1336" s="606"/>
      <c r="G1336" s="2340">
        <v>2</v>
      </c>
      <c r="H1336" s="2340"/>
      <c r="I1336" s="2340"/>
      <c r="J1336" s="2340"/>
      <c r="K1336" s="606"/>
      <c r="L1336" s="2340">
        <v>2</v>
      </c>
      <c r="M1336" s="2340"/>
      <c r="N1336" s="2340"/>
      <c r="O1336" s="2340"/>
      <c r="P1336" s="606"/>
      <c r="Q1336" s="980"/>
    </row>
    <row r="1337" spans="1:17" ht="15.75">
      <c r="A1337" s="2340">
        <v>3</v>
      </c>
      <c r="B1337" s="2330"/>
      <c r="C1337" s="2330"/>
      <c r="D1337" s="2330"/>
      <c r="E1337" s="2330"/>
      <c r="F1337" s="606"/>
      <c r="G1337" s="2340">
        <v>3</v>
      </c>
      <c r="H1337" s="2340"/>
      <c r="I1337" s="2340"/>
      <c r="J1337" s="2340"/>
      <c r="K1337" s="606" t="s">
        <v>3297</v>
      </c>
      <c r="L1337" s="2340">
        <v>3</v>
      </c>
      <c r="M1337" s="2340"/>
      <c r="N1337" s="2340"/>
      <c r="O1337" s="2340"/>
      <c r="P1337" s="606"/>
      <c r="Q1337" s="980"/>
    </row>
    <row r="1338" spans="1:17" ht="15.75">
      <c r="A1338" s="2340">
        <v>4</v>
      </c>
      <c r="B1338" s="2330"/>
      <c r="C1338" s="2330"/>
      <c r="D1338" s="2330"/>
      <c r="E1338" s="2330"/>
      <c r="F1338" s="606"/>
      <c r="G1338" s="2340">
        <v>4</v>
      </c>
      <c r="H1338" s="2340"/>
      <c r="I1338" s="2340"/>
      <c r="J1338" s="2340"/>
      <c r="K1338" s="606" t="s">
        <v>3297</v>
      </c>
      <c r="L1338" s="2340">
        <v>4</v>
      </c>
      <c r="M1338" s="2340"/>
      <c r="N1338" s="2340"/>
      <c r="O1338" s="2340"/>
      <c r="P1338" s="606"/>
      <c r="Q1338" s="980"/>
    </row>
    <row r="1339" spans="1:17">
      <c r="A1339" s="2340">
        <v>5</v>
      </c>
      <c r="B1339" s="2330"/>
      <c r="C1339" s="2330"/>
      <c r="D1339" s="2330"/>
      <c r="E1339" s="2330"/>
      <c r="F1339" s="606"/>
      <c r="G1339" s="2340">
        <v>5</v>
      </c>
      <c r="H1339" s="2340"/>
      <c r="I1339" s="2340"/>
      <c r="J1339" s="2340"/>
      <c r="K1339" s="606"/>
      <c r="L1339" s="2340">
        <v>5</v>
      </c>
      <c r="M1339" s="2340"/>
      <c r="N1339" s="2340"/>
      <c r="O1339" s="2340"/>
      <c r="P1339" s="606"/>
      <c r="Q1339" s="583"/>
    </row>
    <row r="1340" spans="1:17">
      <c r="A1340" s="2340">
        <v>6</v>
      </c>
      <c r="B1340" s="2330"/>
      <c r="C1340" s="2330"/>
      <c r="D1340" s="2330"/>
      <c r="E1340" s="2330"/>
      <c r="F1340" s="606"/>
      <c r="G1340" s="2340">
        <v>6</v>
      </c>
      <c r="H1340" s="2340"/>
      <c r="I1340" s="2340"/>
      <c r="J1340" s="2340"/>
      <c r="K1340" s="606"/>
      <c r="L1340" s="2340">
        <v>6</v>
      </c>
      <c r="M1340" s="2340"/>
      <c r="N1340" s="2340"/>
      <c r="O1340" s="2340"/>
      <c r="P1340" s="606"/>
      <c r="Q1340" s="583"/>
    </row>
    <row r="1341" spans="1:17">
      <c r="A1341" s="2340">
        <v>7</v>
      </c>
      <c r="B1341" s="2330"/>
      <c r="C1341" s="2330"/>
      <c r="D1341" s="2330"/>
      <c r="E1341" s="2330"/>
      <c r="F1341" s="606"/>
      <c r="G1341" s="2340">
        <v>7</v>
      </c>
      <c r="H1341" s="2340"/>
      <c r="I1341" s="2340"/>
      <c r="J1341" s="2340"/>
      <c r="K1341" s="606"/>
      <c r="L1341" s="2340">
        <v>7</v>
      </c>
      <c r="M1341" s="2340"/>
      <c r="N1341" s="2340"/>
      <c r="O1341" s="2340"/>
      <c r="P1341" s="606"/>
      <c r="Q1341" s="583"/>
    </row>
    <row r="1342" spans="1:17">
      <c r="A1342" s="2340">
        <v>8</v>
      </c>
      <c r="B1342" s="2330"/>
      <c r="C1342" s="2330"/>
      <c r="D1342" s="2330"/>
      <c r="E1342" s="2330"/>
      <c r="F1342" s="606"/>
      <c r="G1342" s="2340">
        <v>8</v>
      </c>
      <c r="H1342" s="2340"/>
      <c r="I1342" s="2340"/>
      <c r="J1342" s="2340"/>
      <c r="K1342" s="606"/>
      <c r="L1342" s="2340">
        <v>8</v>
      </c>
      <c r="M1342" s="2340"/>
      <c r="N1342" s="2340"/>
      <c r="O1342" s="2340"/>
      <c r="P1342" s="606"/>
      <c r="Q1342" s="583"/>
    </row>
    <row r="1343" spans="1:17">
      <c r="A1343" s="2340">
        <v>9</v>
      </c>
      <c r="B1343" s="2330"/>
      <c r="C1343" s="2330"/>
      <c r="D1343" s="2330"/>
      <c r="E1343" s="2330"/>
      <c r="F1343" s="606"/>
      <c r="G1343" s="2340">
        <v>9</v>
      </c>
      <c r="H1343" s="2340"/>
      <c r="I1343" s="2340"/>
      <c r="J1343" s="2340"/>
      <c r="K1343" s="606"/>
      <c r="L1343" s="2340">
        <v>9</v>
      </c>
      <c r="M1343" s="2340"/>
      <c r="N1343" s="2340"/>
      <c r="O1343" s="2340"/>
      <c r="P1343" s="606"/>
      <c r="Q1343" s="583"/>
    </row>
    <row r="1344" spans="1:17">
      <c r="A1344" s="2340">
        <v>10</v>
      </c>
      <c r="B1344" s="2330"/>
      <c r="C1344" s="2330"/>
      <c r="D1344" s="2330"/>
      <c r="E1344" s="2330"/>
      <c r="F1344" s="606"/>
      <c r="G1344" s="2340">
        <v>10</v>
      </c>
      <c r="H1344" s="2340"/>
      <c r="I1344" s="2340"/>
      <c r="J1344" s="2340"/>
      <c r="K1344" s="606"/>
      <c r="L1344" s="2340">
        <v>10</v>
      </c>
      <c r="M1344" s="2340"/>
      <c r="N1344" s="2340"/>
      <c r="O1344" s="2340"/>
      <c r="P1344" s="606"/>
      <c r="Q1344" s="583"/>
    </row>
    <row r="1345" spans="1:21">
      <c r="A1345" s="2340">
        <v>11</v>
      </c>
      <c r="B1345" s="2330"/>
      <c r="C1345" s="2330"/>
      <c r="D1345" s="2330"/>
      <c r="E1345" s="2330"/>
      <c r="F1345" s="606"/>
      <c r="G1345" s="2340">
        <v>11</v>
      </c>
      <c r="H1345" s="2340"/>
      <c r="I1345" s="2340"/>
      <c r="J1345" s="2340"/>
      <c r="K1345" s="606"/>
      <c r="L1345" s="2340">
        <v>11</v>
      </c>
      <c r="M1345" s="2340"/>
      <c r="N1345" s="2340"/>
      <c r="O1345" s="2340"/>
      <c r="P1345" s="606"/>
      <c r="Q1345" s="583"/>
    </row>
    <row r="1346" spans="1:21">
      <c r="A1346" s="2340">
        <v>12</v>
      </c>
      <c r="B1346" s="2330"/>
      <c r="C1346" s="2330"/>
      <c r="D1346" s="2330"/>
      <c r="E1346" s="2330"/>
      <c r="F1346" s="606"/>
      <c r="G1346" s="2340">
        <v>12</v>
      </c>
      <c r="H1346" s="2340"/>
      <c r="I1346" s="2340"/>
      <c r="J1346" s="2340"/>
      <c r="K1346" s="606"/>
      <c r="L1346" s="2340">
        <v>12</v>
      </c>
      <c r="M1346" s="2340"/>
      <c r="N1346" s="2340"/>
      <c r="O1346" s="2340"/>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2123</v>
      </c>
      <c r="B1348" s="983" t="s">
        <v>1076</v>
      </c>
      <c r="C1348" s="979"/>
      <c r="D1348" s="979"/>
      <c r="E1348" s="584"/>
      <c r="F1348" s="979"/>
      <c r="G1348" s="984"/>
      <c r="H1348" s="584"/>
      <c r="I1348" s="979"/>
      <c r="J1348" s="985"/>
      <c r="K1348" s="2314" t="s">
        <v>2887</v>
      </c>
      <c r="L1348" s="2314"/>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2117</v>
      </c>
      <c r="B1349" s="987" t="s">
        <v>2807</v>
      </c>
      <c r="C1349" s="985"/>
      <c r="D1349" s="985"/>
      <c r="E1349" s="963"/>
      <c r="F1349" s="985"/>
      <c r="G1349" s="985"/>
      <c r="H1349" s="961" t="s">
        <v>2885</v>
      </c>
      <c r="I1349" s="988">
        <f>'Part IX A-Scoring Criteria'!I31</f>
        <v>20</v>
      </c>
      <c r="J1349" s="988"/>
      <c r="K1349" s="989">
        <f>IF(OR('Part VI-Revenues &amp; Expenses'!$M$60="", 'Part VI-Revenues &amp; Expenses'!$M$60=0),0,I1349/'Part VI-Revenues &amp; Expenses'!$M$60)</f>
        <v>0.15748031496062992</v>
      </c>
      <c r="L1349" s="989">
        <f>IF(OR('Part VI-Revenues &amp; Expenses'!$M$60="", 'Part VI-Revenues &amp; Expenses'!$M$60=0),0,J1349/'Part VI-Revenues &amp; Expenses'!$M$60)</f>
        <v>0</v>
      </c>
      <c r="M1349" s="780">
        <v>3</v>
      </c>
      <c r="N1349" s="906"/>
      <c r="O1349" s="2349" t="s">
        <v>2909</v>
      </c>
      <c r="P1349" s="990">
        <v>0.15</v>
      </c>
      <c r="Q1349" s="985"/>
    </row>
    <row r="1350" spans="1:21" ht="15">
      <c r="A1350" s="986" t="s">
        <v>2120</v>
      </c>
      <c r="B1350" s="987" t="s">
        <v>2808</v>
      </c>
      <c r="C1350" s="985"/>
      <c r="D1350" s="985"/>
      <c r="E1350" s="963"/>
      <c r="F1350" s="985"/>
      <c r="G1350" s="985"/>
      <c r="H1350" s="961" t="s">
        <v>2809</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49"/>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319" t="str">
        <f>'Part IX A-Scoring Criteria'!A34</f>
        <v>15.75% of our units are set-aside at the 50% Rent Level. This is evident in our rent schedule in Part VI of the Core Application</v>
      </c>
      <c r="B1352" s="2319"/>
      <c r="C1352" s="2319"/>
      <c r="D1352" s="2319"/>
      <c r="E1352" s="2319"/>
      <c r="F1352" s="2319"/>
      <c r="G1352" s="2319"/>
      <c r="H1352" s="2319"/>
      <c r="I1352" s="2319"/>
      <c r="J1352" s="2319"/>
      <c r="K1352" s="2319"/>
      <c r="L1352" s="2319"/>
      <c r="M1352" s="2319"/>
      <c r="N1352" s="2319"/>
      <c r="O1352" s="2319"/>
      <c r="P1352" s="2319"/>
      <c r="Q1352" s="980" t="s">
        <v>1331</v>
      </c>
    </row>
    <row r="1353" spans="1:21" ht="15">
      <c r="A1353" s="583"/>
      <c r="B1353" s="941" t="s">
        <v>1995</v>
      </c>
      <c r="C1353" s="583"/>
      <c r="D1353" s="942"/>
      <c r="E1353" s="944"/>
      <c r="F1353" s="944"/>
      <c r="G1353" s="944"/>
      <c r="H1353" s="944"/>
      <c r="I1353" s="944"/>
      <c r="J1353" s="944"/>
      <c r="K1353" s="944"/>
      <c r="L1353" s="944"/>
      <c r="M1353" s="944"/>
      <c r="N1353" s="991"/>
      <c r="O1353" s="992"/>
      <c r="P1353" s="888"/>
      <c r="Q1353" s="985"/>
    </row>
    <row r="1354" spans="1:21" ht="15.75">
      <c r="A1354" s="2319"/>
      <c r="B1354" s="2319"/>
      <c r="C1354" s="2319"/>
      <c r="D1354" s="2319"/>
      <c r="E1354" s="2319"/>
      <c r="F1354" s="2319"/>
      <c r="G1354" s="2319"/>
      <c r="H1354" s="2319"/>
      <c r="I1354" s="2319"/>
      <c r="J1354" s="2319"/>
      <c r="K1354" s="2319"/>
      <c r="L1354" s="2319"/>
      <c r="M1354" s="2319"/>
      <c r="N1354" s="2319"/>
      <c r="O1354" s="2319"/>
      <c r="P1354" s="2319"/>
      <c r="Q1354" s="980" t="s">
        <v>1331</v>
      </c>
    </row>
    <row r="1355" spans="1:21">
      <c r="N1355" s="784"/>
      <c r="O1355" s="786"/>
      <c r="P1355" s="786"/>
    </row>
    <row r="1356" spans="1:21" ht="15">
      <c r="A1356" s="976" t="s">
        <v>2706</v>
      </c>
      <c r="B1356" s="977" t="s">
        <v>2003</v>
      </c>
      <c r="C1356" s="979"/>
      <c r="D1356" s="993"/>
      <c r="E1356" s="979"/>
      <c r="F1356" s="979"/>
      <c r="G1356" s="979"/>
      <c r="H1356" s="2350" t="s">
        <v>635</v>
      </c>
      <c r="I1356" s="2350"/>
      <c r="J1356" s="2350"/>
      <c r="K1356" s="2350"/>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50"/>
      <c r="I1357" s="2350"/>
      <c r="J1357" s="2350"/>
      <c r="K1357" s="2350"/>
      <c r="L1357" s="938"/>
      <c r="M1357" s="935"/>
      <c r="N1357" s="888"/>
      <c r="O1357" s="786"/>
      <c r="P1357" s="975"/>
      <c r="Q1357" s="979"/>
    </row>
    <row r="1358" spans="1:21" ht="15">
      <c r="A1358" s="947" t="s">
        <v>2117</v>
      </c>
      <c r="B1358" s="887" t="s">
        <v>2004</v>
      </c>
      <c r="C1358" s="586"/>
      <c r="D1358" s="586"/>
      <c r="E1358" s="807" t="s">
        <v>2967</v>
      </c>
      <c r="F1358" s="793"/>
      <c r="G1358" s="793"/>
      <c r="H1358" s="2350"/>
      <c r="I1358" s="2350"/>
      <c r="J1358" s="2350"/>
      <c r="K1358" s="2350"/>
      <c r="L1358" s="979"/>
      <c r="M1358" s="780">
        <v>12</v>
      </c>
      <c r="N1358" s="994" t="s">
        <v>2117</v>
      </c>
      <c r="O1358" s="888">
        <f>'Part IX A-Scoring Criteria'!O40</f>
        <v>12</v>
      </c>
      <c r="P1358" s="888"/>
      <c r="Q1358" s="995" t="s">
        <v>2946</v>
      </c>
    </row>
    <row r="1359" spans="1:21" ht="16.5">
      <c r="A1359" s="947" t="s">
        <v>2120</v>
      </c>
      <c r="B1359" s="887" t="s">
        <v>2005</v>
      </c>
      <c r="C1359" s="979"/>
      <c r="D1359" s="993"/>
      <c r="E1359" s="807" t="s">
        <v>447</v>
      </c>
      <c r="F1359" s="996"/>
      <c r="G1359" s="996"/>
      <c r="H1359" s="996"/>
      <c r="I1359" s="979"/>
      <c r="J1359" s="979"/>
      <c r="K1359" s="979"/>
      <c r="L1359" s="979"/>
      <c r="M1359" s="935" t="s">
        <v>1315</v>
      </c>
      <c r="N1359" s="939" t="s">
        <v>2120</v>
      </c>
      <c r="O1359" s="888">
        <f>'Part IX A-Scoring Criteria'!O41</f>
        <v>0</v>
      </c>
      <c r="P1359" s="888"/>
      <c r="Q1359" s="995" t="s">
        <v>2946</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319" t="str">
        <f>'Part IX A-Scoring Criteria'!A43</f>
        <v xml:space="preserve">The site scores 12 points for desireable / undesireable activities. This is evident with the supplied certification in Tab 24. </v>
      </c>
      <c r="B1361" s="2319"/>
      <c r="C1361" s="2319"/>
      <c r="D1361" s="2319"/>
      <c r="E1361" s="2319"/>
      <c r="F1361" s="2319"/>
      <c r="G1361" s="2319"/>
      <c r="H1361" s="2319"/>
      <c r="I1361" s="2319"/>
      <c r="J1361" s="2319"/>
      <c r="K1361" s="2319"/>
      <c r="L1361" s="2319"/>
      <c r="M1361" s="2319"/>
      <c r="N1361" s="2319"/>
      <c r="O1361" s="2319"/>
      <c r="P1361" s="2319"/>
      <c r="Q1361" s="980" t="s">
        <v>1331</v>
      </c>
    </row>
    <row r="1362" spans="1:21" ht="15">
      <c r="A1362" s="583"/>
      <c r="B1362" s="941" t="s">
        <v>1995</v>
      </c>
      <c r="C1362" s="583"/>
      <c r="D1362" s="942"/>
      <c r="E1362" s="944"/>
      <c r="F1362" s="944"/>
      <c r="G1362" s="944"/>
      <c r="H1362" s="944"/>
      <c r="I1362" s="944"/>
      <c r="J1362" s="944"/>
      <c r="K1362" s="944"/>
      <c r="L1362" s="944"/>
      <c r="M1362" s="944"/>
      <c r="N1362" s="991"/>
      <c r="O1362" s="992"/>
      <c r="P1362" s="888"/>
      <c r="Q1362" s="985"/>
    </row>
    <row r="1363" spans="1:21" ht="15.75">
      <c r="A1363" s="2319"/>
      <c r="B1363" s="2319"/>
      <c r="C1363" s="2319"/>
      <c r="D1363" s="2319"/>
      <c r="E1363" s="2319"/>
      <c r="F1363" s="2319"/>
      <c r="G1363" s="2319"/>
      <c r="H1363" s="2319"/>
      <c r="I1363" s="2319"/>
      <c r="J1363" s="2319"/>
      <c r="K1363" s="2319"/>
      <c r="L1363" s="2319"/>
      <c r="M1363" s="2319"/>
      <c r="N1363" s="2319"/>
      <c r="O1363" s="2319"/>
      <c r="P1363" s="2319"/>
      <c r="Q1363" s="980" t="s">
        <v>1331</v>
      </c>
    </row>
    <row r="1364" spans="1:21">
      <c r="M1364" s="583"/>
      <c r="N1364" s="780"/>
      <c r="O1364" s="888"/>
      <c r="P1364" s="888"/>
    </row>
    <row r="1365" spans="1:21" ht="15">
      <c r="A1365" s="976" t="s">
        <v>1300</v>
      </c>
      <c r="B1365" s="977" t="s">
        <v>2824</v>
      </c>
      <c r="C1365" s="979"/>
      <c r="D1365" s="993"/>
      <c r="E1365" s="979"/>
      <c r="F1365" s="979"/>
      <c r="G1365" s="979"/>
      <c r="H1365" s="997" t="s">
        <v>2888</v>
      </c>
      <c r="I1365" s="941" t="s">
        <v>2011</v>
      </c>
      <c r="J1365" s="587"/>
      <c r="K1365" s="587"/>
      <c r="L1365" s="979"/>
      <c r="M1365" s="888">
        <v>4</v>
      </c>
      <c r="N1365" s="939"/>
      <c r="O1365" s="916">
        <f>MIN($M1365,(O1367+O1368+O1369+O1370))</f>
        <v>3</v>
      </c>
      <c r="P1365" s="916">
        <f>MIN($M1365,(P1367+P1368+P1369+P1370))</f>
        <v>0</v>
      </c>
      <c r="Q1365" s="888" t="s">
        <v>463</v>
      </c>
      <c r="U1365" s="975">
        <f>'Part IX A-Scoring Criteria'!O47</f>
        <v>3</v>
      </c>
    </row>
    <row r="1366" spans="1:21" ht="15">
      <c r="A1366" s="998" t="s">
        <v>3237</v>
      </c>
      <c r="B1366" s="977"/>
      <c r="C1366" s="979"/>
      <c r="D1366" s="993"/>
      <c r="E1366" s="979"/>
      <c r="F1366" s="979"/>
      <c r="G1366" s="979"/>
      <c r="H1366" s="887" t="s">
        <v>3247</v>
      </c>
      <c r="I1366" s="999"/>
      <c r="J1366" s="887" t="str">
        <f>'Part I-Project Information'!$H$85</f>
        <v>Flexible</v>
      </c>
      <c r="K1366" s="979"/>
      <c r="M1366" s="888"/>
      <c r="N1366" s="888"/>
      <c r="O1366" s="888"/>
      <c r="P1366" s="888"/>
      <c r="Q1366" s="888"/>
    </row>
    <row r="1367" spans="1:21">
      <c r="A1367" s="956" t="s">
        <v>2117</v>
      </c>
      <c r="B1367" s="2351" t="s">
        <v>3688</v>
      </c>
      <c r="C1367" s="2351"/>
      <c r="D1367" s="2351"/>
      <c r="E1367" s="2351"/>
      <c r="F1367" s="2351"/>
      <c r="G1367" s="2351"/>
      <c r="H1367" s="2351"/>
      <c r="I1367" s="2351"/>
      <c r="J1367" s="2351"/>
      <c r="K1367" s="2351"/>
      <c r="L1367" s="2351"/>
      <c r="M1367" s="1000">
        <v>4</v>
      </c>
      <c r="N1367" s="1001" t="s">
        <v>2117</v>
      </c>
      <c r="O1367" s="1002">
        <f>'Part IX A-Scoring Criteria'!O49</f>
        <v>0</v>
      </c>
      <c r="P1367" s="1002"/>
      <c r="Q1367" s="1003" t="str">
        <f>IF(OR($O1367=$M1367,$O1367=0,$O1367=""),"","* * Check Score! * *")</f>
        <v/>
      </c>
    </row>
    <row r="1368" spans="1:21">
      <c r="A1368" s="956" t="s">
        <v>2120</v>
      </c>
      <c r="B1368" s="2351" t="s">
        <v>3689</v>
      </c>
      <c r="C1368" s="2351"/>
      <c r="D1368" s="2351"/>
      <c r="E1368" s="2351"/>
      <c r="F1368" s="2351"/>
      <c r="G1368" s="2351"/>
      <c r="H1368" s="2351"/>
      <c r="I1368" s="2351"/>
      <c r="J1368" s="2351"/>
      <c r="K1368" s="2351"/>
      <c r="L1368" s="2351"/>
      <c r="M1368" s="1000">
        <v>3</v>
      </c>
      <c r="N1368" s="958" t="s">
        <v>2120</v>
      </c>
      <c r="O1368" s="1002">
        <f>'Part IX A-Scoring Criteria'!O50</f>
        <v>3</v>
      </c>
      <c r="P1368" s="1002"/>
      <c r="Q1368" s="1003" t="str">
        <f>IF(OR($O1368=$M1368,$O1368=0,$O1368=""),"","* * Check Score! * *")</f>
        <v/>
      </c>
    </row>
    <row r="1369" spans="1:21" ht="15">
      <c r="A1369" s="947" t="s">
        <v>798</v>
      </c>
      <c r="B1369" s="887" t="s">
        <v>3690</v>
      </c>
      <c r="C1369" s="979"/>
      <c r="D1369" s="979"/>
      <c r="E1369" s="993"/>
      <c r="F1369" s="979"/>
      <c r="G1369" s="979"/>
      <c r="H1369" s="979"/>
      <c r="I1369" s="979"/>
      <c r="J1369" s="979"/>
      <c r="K1369" s="587"/>
      <c r="L1369" s="979"/>
      <c r="M1369" s="780">
        <v>2</v>
      </c>
      <c r="N1369" s="994" t="s">
        <v>798</v>
      </c>
      <c r="O1369" s="1002">
        <f>'Part IX A-Scoring Criteria'!O51</f>
        <v>0</v>
      </c>
      <c r="P1369" s="888"/>
      <c r="Q1369" s="1004" t="str">
        <f>IF(OR($O1369=$M1369,$O1369=0,$O1369=""),"","* * Check Score! * *")</f>
        <v/>
      </c>
    </row>
    <row r="1370" spans="1:21" ht="15">
      <c r="A1370" s="947" t="s">
        <v>2252</v>
      </c>
      <c r="B1370" s="887" t="s">
        <v>3691</v>
      </c>
      <c r="C1370" s="979"/>
      <c r="D1370" s="979"/>
      <c r="E1370" s="993"/>
      <c r="F1370" s="979"/>
      <c r="G1370" s="979"/>
      <c r="H1370" s="979"/>
      <c r="I1370" s="979"/>
      <c r="J1370" s="979"/>
      <c r="K1370" s="587"/>
      <c r="L1370" s="979"/>
      <c r="M1370" s="780">
        <v>1</v>
      </c>
      <c r="N1370" s="994" t="s">
        <v>2252</v>
      </c>
      <c r="O1370" s="1002">
        <f>'Part IX A-Scoring Criteria'!O52</f>
        <v>0</v>
      </c>
      <c r="P1370" s="888"/>
      <c r="Q1370" s="1004"/>
    </row>
    <row r="1371" spans="1:21" ht="15">
      <c r="A1371" s="584" t="s">
        <v>3632</v>
      </c>
      <c r="B1371" s="887"/>
      <c r="C1371" s="979"/>
      <c r="D1371" s="979"/>
      <c r="E1371" s="993"/>
      <c r="F1371" s="979"/>
      <c r="G1371" s="979"/>
      <c r="H1371" s="979"/>
      <c r="I1371" s="979"/>
      <c r="J1371" s="979"/>
      <c r="K1371" s="587"/>
      <c r="L1371" s="979"/>
      <c r="M1371" s="780"/>
      <c r="N1371" s="780"/>
      <c r="O1371" s="780"/>
      <c r="P1371" s="780"/>
      <c r="Q1371" s="1004"/>
    </row>
    <row r="1372" spans="1:21" ht="15">
      <c r="A1372" s="998" t="s">
        <v>3240</v>
      </c>
      <c r="B1372" s="887"/>
      <c r="C1372" s="979"/>
      <c r="D1372" s="979"/>
      <c r="E1372" s="993"/>
      <c r="F1372" s="979"/>
      <c r="G1372" s="979"/>
      <c r="H1372" s="979"/>
      <c r="I1372" s="979"/>
      <c r="J1372" s="979"/>
      <c r="K1372" s="587"/>
      <c r="L1372" s="979"/>
      <c r="M1372" s="780"/>
      <c r="N1372" s="780"/>
      <c r="O1372" s="780"/>
      <c r="P1372" s="780"/>
      <c r="Q1372" s="1004"/>
    </row>
    <row r="1373" spans="1:21">
      <c r="A1373" s="947" t="s">
        <v>1856</v>
      </c>
      <c r="B1373" s="887" t="s">
        <v>3692</v>
      </c>
      <c r="C1373" s="887"/>
      <c r="D1373" s="887"/>
      <c r="E1373" s="887"/>
      <c r="F1373" s="887"/>
      <c r="G1373" s="887"/>
      <c r="H1373" s="887"/>
      <c r="I1373" s="887"/>
      <c r="J1373" s="887"/>
      <c r="K1373" s="887"/>
      <c r="L1373" s="887"/>
      <c r="M1373" s="780">
        <v>2</v>
      </c>
      <c r="N1373" s="994" t="s">
        <v>1856</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319" t="str">
        <f>'Part IX A-Scoring Criteria'!A57</f>
        <v>Athens Transit offers scheduled bus service and has a bus stop 800ft from the property entrance . This is evident with the supplied documentation in Tab 25</v>
      </c>
      <c r="B1375" s="2319"/>
      <c r="C1375" s="2319"/>
      <c r="D1375" s="2319"/>
      <c r="E1375" s="2319"/>
      <c r="F1375" s="2319"/>
      <c r="G1375" s="2319"/>
      <c r="H1375" s="2319"/>
      <c r="I1375" s="2319"/>
      <c r="J1375" s="2319"/>
      <c r="K1375" s="2319"/>
      <c r="L1375" s="2319"/>
      <c r="M1375" s="2319"/>
      <c r="N1375" s="2319"/>
      <c r="O1375" s="2319"/>
      <c r="P1375" s="2319"/>
      <c r="Q1375" s="980" t="s">
        <v>1331</v>
      </c>
    </row>
    <row r="1376" spans="1:21" ht="15">
      <c r="A1376" s="583"/>
      <c r="B1376" s="941" t="s">
        <v>1995</v>
      </c>
      <c r="C1376" s="583"/>
      <c r="D1376" s="941"/>
      <c r="E1376" s="901"/>
      <c r="F1376" s="901"/>
      <c r="G1376" s="901"/>
      <c r="H1376" s="901"/>
      <c r="I1376" s="901"/>
      <c r="J1376" s="901"/>
      <c r="K1376" s="901"/>
      <c r="L1376" s="901"/>
      <c r="M1376" s="901"/>
      <c r="N1376" s="981"/>
      <c r="O1376" s="606"/>
      <c r="P1376" s="888"/>
      <c r="Q1376" s="985"/>
    </row>
    <row r="1377" spans="1:21" ht="15.75">
      <c r="A1377" s="2319"/>
      <c r="B1377" s="2319"/>
      <c r="C1377" s="2319"/>
      <c r="D1377" s="2319"/>
      <c r="E1377" s="2319"/>
      <c r="F1377" s="2319"/>
      <c r="G1377" s="2319"/>
      <c r="H1377" s="2319"/>
      <c r="I1377" s="2319"/>
      <c r="J1377" s="2319"/>
      <c r="K1377" s="2319"/>
      <c r="L1377" s="2319"/>
      <c r="M1377" s="2319"/>
      <c r="N1377" s="2319"/>
      <c r="O1377" s="2319"/>
      <c r="P1377" s="2319"/>
      <c r="Q1377" s="980" t="s">
        <v>1331</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1301</v>
      </c>
      <c r="B1379" s="977" t="s">
        <v>2825</v>
      </c>
      <c r="C1379" s="979"/>
      <c r="D1379" s="993"/>
      <c r="E1379" s="584" t="s">
        <v>1471</v>
      </c>
      <c r="F1379" s="979"/>
      <c r="G1379" s="979"/>
      <c r="H1379" s="979"/>
      <c r="I1379" s="941" t="s">
        <v>2011</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2810</v>
      </c>
      <c r="C1380" s="979"/>
      <c r="D1380" s="993"/>
      <c r="E1380" s="584"/>
      <c r="F1380" s="979"/>
      <c r="G1380" s="979"/>
      <c r="H1380" s="979"/>
      <c r="I1380" s="979"/>
      <c r="J1380" s="979"/>
      <c r="K1380" s="979"/>
      <c r="L1380" s="2352">
        <f>'Part IX A-Scoring Criteria'!L62</f>
        <v>0</v>
      </c>
      <c r="M1380" s="2352"/>
      <c r="N1380" s="2352"/>
      <c r="O1380" s="2352"/>
      <c r="P1380" s="939"/>
      <c r="Q1380" s="888"/>
    </row>
    <row r="1381" spans="1:21" ht="15">
      <c r="A1381" s="976"/>
      <c r="B1381" s="640" t="s">
        <v>3238</v>
      </c>
      <c r="C1381" s="979"/>
      <c r="D1381" s="993"/>
      <c r="E1381" s="584"/>
      <c r="F1381" s="979"/>
      <c r="G1381" s="979"/>
      <c r="H1381" s="979"/>
      <c r="I1381" s="979"/>
      <c r="J1381" s="979"/>
      <c r="K1381" s="979"/>
      <c r="L1381" s="2352">
        <f>'Part IX A-Scoring Criteria'!L63</f>
        <v>0</v>
      </c>
      <c r="M1381" s="2352"/>
      <c r="N1381" s="2352"/>
      <c r="O1381" s="2352"/>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319" t="str">
        <f>'Part IX A-Scoring Criteria'!A65</f>
        <v>This section is not applicable to this application</v>
      </c>
      <c r="B1383" s="2319"/>
      <c r="C1383" s="2319"/>
      <c r="D1383" s="2319"/>
      <c r="E1383" s="2319"/>
      <c r="F1383" s="2319"/>
      <c r="G1383" s="2319"/>
      <c r="H1383" s="2319"/>
      <c r="I1383" s="2319"/>
      <c r="J1383" s="2319"/>
      <c r="K1383" s="2319"/>
      <c r="L1383" s="2319"/>
      <c r="M1383" s="2319"/>
      <c r="N1383" s="2319"/>
      <c r="O1383" s="2319"/>
      <c r="P1383" s="2319"/>
      <c r="Q1383" s="980" t="s">
        <v>1331</v>
      </c>
    </row>
    <row r="1384" spans="1:21" ht="15">
      <c r="A1384" s="583"/>
      <c r="B1384" s="941" t="s">
        <v>1995</v>
      </c>
      <c r="C1384" s="583"/>
      <c r="D1384" s="941"/>
      <c r="E1384" s="901"/>
      <c r="F1384" s="901"/>
      <c r="G1384" s="901"/>
      <c r="H1384" s="901"/>
      <c r="I1384" s="901"/>
      <c r="J1384" s="901"/>
      <c r="K1384" s="901"/>
      <c r="L1384" s="901"/>
      <c r="M1384" s="901"/>
      <c r="N1384" s="981"/>
      <c r="O1384" s="606"/>
      <c r="P1384" s="888"/>
      <c r="Q1384" s="985"/>
    </row>
    <row r="1385" spans="1:21" ht="15.75">
      <c r="A1385" s="2319"/>
      <c r="B1385" s="2319"/>
      <c r="C1385" s="2319"/>
      <c r="D1385" s="2319"/>
      <c r="E1385" s="2319"/>
      <c r="F1385" s="2319"/>
      <c r="G1385" s="2319"/>
      <c r="H1385" s="2319"/>
      <c r="I1385" s="2319"/>
      <c r="J1385" s="2319"/>
      <c r="K1385" s="2319"/>
      <c r="L1385" s="2319"/>
      <c r="M1385" s="2319"/>
      <c r="N1385" s="2319"/>
      <c r="O1385" s="2319"/>
      <c r="P1385" s="2319"/>
      <c r="Q1385" s="980" t="s">
        <v>1331</v>
      </c>
    </row>
    <row r="1386" spans="1:21">
      <c r="N1386" s="784"/>
      <c r="O1386" s="786"/>
      <c r="P1386" s="786"/>
    </row>
    <row r="1387" spans="1:21" ht="15">
      <c r="A1387" s="976" t="s">
        <v>2013</v>
      </c>
      <c r="B1387" s="977" t="s">
        <v>225</v>
      </c>
      <c r="C1387" s="979"/>
      <c r="D1387" s="584"/>
      <c r="E1387" s="584"/>
      <c r="F1387" s="979"/>
      <c r="G1387" s="979"/>
      <c r="H1387" s="979"/>
      <c r="I1387" s="965" t="s">
        <v>3693</v>
      </c>
      <c r="J1387" s="2343" t="str">
        <f>'Part IX A-Scoring Criteria'!J69</f>
        <v>Earth Craft House Renovation</v>
      </c>
      <c r="K1387" s="2343"/>
      <c r="L1387" s="2343"/>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2</v>
      </c>
    </row>
    <row r="1388" spans="1:21" ht="15">
      <c r="A1388" s="947" t="s">
        <v>2117</v>
      </c>
      <c r="B1388" s="887" t="s">
        <v>2476</v>
      </c>
      <c r="D1388" s="583"/>
      <c r="H1388" s="887" t="s">
        <v>3247</v>
      </c>
      <c r="I1388" s="999"/>
      <c r="J1388" s="887" t="str">
        <f>'Part I-Project Information'!$H$85</f>
        <v>Flexible</v>
      </c>
      <c r="K1388" s="979"/>
      <c r="M1388" s="780">
        <v>3</v>
      </c>
      <c r="O1388" s="948" t="s">
        <v>2680</v>
      </c>
      <c r="P1388" s="948" t="s">
        <v>2680</v>
      </c>
    </row>
    <row r="1389" spans="1:21" ht="15">
      <c r="A1389" s="979"/>
      <c r="B1389" s="949" t="s">
        <v>2916</v>
      </c>
      <c r="C1389" s="979"/>
      <c r="D1389" s="993"/>
      <c r="E1389" s="979"/>
      <c r="F1389" s="979"/>
      <c r="G1389" s="979"/>
      <c r="H1389" s="979"/>
      <c r="I1389" s="979"/>
      <c r="J1389" s="979"/>
      <c r="K1389" s="979"/>
      <c r="L1389" s="979"/>
      <c r="M1389" s="888"/>
      <c r="N1389" s="994" t="s">
        <v>2117</v>
      </c>
      <c r="O1389" s="960" t="str">
        <f>'Part IX A-Scoring Criteria'!O71</f>
        <v>Yes</v>
      </c>
      <c r="P1389" s="960"/>
      <c r="Q1389" s="888"/>
    </row>
    <row r="1390" spans="1:21">
      <c r="A1390" s="786" t="str">
        <f>IF(J1387="Earth Craft Communities", "X","")</f>
        <v/>
      </c>
      <c r="B1390" s="1008" t="s">
        <v>2121</v>
      </c>
      <c r="C1390" s="968" t="s">
        <v>2811</v>
      </c>
    </row>
    <row r="1391" spans="1:21">
      <c r="B1391" s="958"/>
      <c r="C1391" s="2319" t="s">
        <v>2813</v>
      </c>
      <c r="D1391" s="2319"/>
      <c r="E1391" s="2319"/>
      <c r="F1391" s="2319"/>
      <c r="G1391" s="2319"/>
      <c r="H1391" s="2319"/>
      <c r="I1391" s="2319"/>
      <c r="J1391" s="2319"/>
      <c r="K1391" s="2319"/>
      <c r="L1391" s="2319"/>
      <c r="M1391" s="896" t="str">
        <f>IF(AND($I$87="Stable Communities &lt; 10%",O1391=""), "X","")</f>
        <v/>
      </c>
      <c r="N1391" s="958" t="s">
        <v>2814</v>
      </c>
      <c r="O1391" s="960" t="str">
        <f>'Part IX A-Scoring Criteria'!O73</f>
        <v>N/a</v>
      </c>
      <c r="P1391" s="960"/>
    </row>
    <row r="1392" spans="1:21">
      <c r="A1392" s="786" t="str">
        <f>IF(J1387="LEED-ND", "X","")</f>
        <v/>
      </c>
      <c r="B1392" s="1008" t="s">
        <v>2123</v>
      </c>
      <c r="C1392" s="968" t="s">
        <v>2812</v>
      </c>
      <c r="M1392" s="897"/>
      <c r="O1392" s="948" t="s">
        <v>2680</v>
      </c>
      <c r="P1392" s="948" t="s">
        <v>2680</v>
      </c>
    </row>
    <row r="1393" spans="1:21">
      <c r="B1393" s="958"/>
      <c r="C1393" s="2319" t="s">
        <v>2988</v>
      </c>
      <c r="D1393" s="2319"/>
      <c r="E1393" s="2319"/>
      <c r="F1393" s="2319"/>
      <c r="G1393" s="2319"/>
      <c r="H1393" s="2319"/>
      <c r="I1393" s="2319"/>
      <c r="J1393" s="2319"/>
      <c r="K1393" s="2319"/>
      <c r="L1393" s="2319"/>
      <c r="M1393" s="896" t="str">
        <f>IF(AND($I$87="Stable Communities &lt; 10%",O1393=""), "X","")</f>
        <v/>
      </c>
      <c r="N1393" s="958" t="s">
        <v>2815</v>
      </c>
      <c r="O1393" s="960" t="str">
        <f>'Part IX A-Scoring Criteria'!O75</f>
        <v>N/a</v>
      </c>
      <c r="P1393" s="1009"/>
    </row>
    <row r="1394" spans="1:21">
      <c r="B1394" s="958"/>
      <c r="E1394" s="946"/>
      <c r="F1394" s="946"/>
      <c r="I1394" s="946"/>
      <c r="J1394" s="946"/>
      <c r="K1394" s="946"/>
      <c r="M1394" s="896"/>
      <c r="N1394" s="896"/>
      <c r="O1394" s="896"/>
      <c r="P1394" s="896"/>
    </row>
    <row r="1395" spans="1:21">
      <c r="A1395" s="947" t="s">
        <v>2120</v>
      </c>
      <c r="B1395" s="887" t="s">
        <v>328</v>
      </c>
      <c r="D1395" s="583"/>
      <c r="E1395" s="583"/>
      <c r="F1395" s="583"/>
      <c r="M1395" s="780">
        <v>2</v>
      </c>
      <c r="O1395" s="948" t="s">
        <v>2680</v>
      </c>
      <c r="P1395" s="948" t="s">
        <v>2680</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2121</v>
      </c>
      <c r="C1396" s="951" t="s">
        <v>2992</v>
      </c>
      <c r="D1396" s="993"/>
      <c r="E1396" s="979"/>
      <c r="F1396" s="979"/>
      <c r="G1396" s="979"/>
      <c r="H1396" s="979"/>
      <c r="I1396" s="979"/>
      <c r="J1396" s="979"/>
      <c r="K1396" s="979"/>
      <c r="L1396" s="979"/>
      <c r="M1396" s="888"/>
      <c r="N1396" s="1010" t="s">
        <v>2121</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2123</v>
      </c>
      <c r="C1397" s="951" t="s">
        <v>2989</v>
      </c>
      <c r="D1397" s="993"/>
      <c r="E1397" s="979"/>
      <c r="F1397" s="979"/>
      <c r="G1397" s="979"/>
      <c r="H1397" s="979"/>
      <c r="I1397" s="979"/>
      <c r="J1397" s="979"/>
      <c r="K1397" s="979"/>
      <c r="L1397" s="979"/>
      <c r="M1397" s="888"/>
      <c r="N1397" s="1010" t="s">
        <v>2123</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2706</v>
      </c>
      <c r="C1398" s="951" t="s">
        <v>2990</v>
      </c>
      <c r="D1398" s="993"/>
      <c r="E1398" s="979"/>
      <c r="F1398" s="979"/>
      <c r="G1398" s="979"/>
      <c r="H1398" s="979"/>
      <c r="I1398" s="979"/>
      <c r="J1398" s="979"/>
      <c r="K1398" s="979"/>
      <c r="L1398" s="979"/>
      <c r="M1398" s="888"/>
      <c r="N1398" s="1010" t="s">
        <v>2706</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1300</v>
      </c>
      <c r="C1399" s="951" t="s">
        <v>2991</v>
      </c>
      <c r="D1399" s="993"/>
      <c r="E1399" s="979"/>
      <c r="F1399" s="979"/>
      <c r="G1399" s="979"/>
      <c r="H1399" s="979"/>
      <c r="I1399" s="979"/>
      <c r="J1399" s="979"/>
      <c r="K1399" s="979"/>
      <c r="L1399" s="979"/>
      <c r="M1399" s="888"/>
      <c r="N1399" s="1010" t="s">
        <v>1300</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319" t="str">
        <f>'Part IX A-Scoring Criteria'!A83</f>
        <v>The project will be seeking the EarthCraft Multi-family certification. The applicable scoring sheet is located in Tab 27</v>
      </c>
      <c r="B1401" s="2319"/>
      <c r="C1401" s="2319"/>
      <c r="D1401" s="2319"/>
      <c r="E1401" s="2319"/>
      <c r="F1401" s="2319"/>
      <c r="G1401" s="2319"/>
      <c r="H1401" s="2319"/>
      <c r="I1401" s="2319"/>
      <c r="J1401" s="2319"/>
      <c r="K1401" s="2319"/>
      <c r="L1401" s="2319"/>
      <c r="M1401" s="2319"/>
      <c r="N1401" s="2319"/>
      <c r="O1401" s="2319"/>
      <c r="P1401" s="2319"/>
      <c r="Q1401" s="980" t="s">
        <v>1331</v>
      </c>
    </row>
    <row r="1402" spans="1:21" ht="15">
      <c r="A1402" s="979"/>
      <c r="B1402" s="941" t="s">
        <v>1995</v>
      </c>
      <c r="C1402" s="583"/>
      <c r="D1402" s="942"/>
      <c r="E1402" s="944"/>
      <c r="F1402" s="944"/>
      <c r="G1402" s="944"/>
      <c r="H1402" s="944"/>
      <c r="I1402" s="944"/>
      <c r="J1402" s="944"/>
      <c r="K1402" s="944"/>
      <c r="L1402" s="944"/>
      <c r="M1402" s="944"/>
      <c r="N1402" s="991"/>
      <c r="O1402" s="992"/>
      <c r="P1402" s="888"/>
      <c r="Q1402" s="985"/>
    </row>
    <row r="1403" spans="1:21" ht="15.75">
      <c r="A1403" s="2340"/>
      <c r="B1403" s="2340"/>
      <c r="C1403" s="2340"/>
      <c r="D1403" s="2340"/>
      <c r="E1403" s="2340"/>
      <c r="F1403" s="2340"/>
      <c r="G1403" s="2340"/>
      <c r="H1403" s="2340"/>
      <c r="I1403" s="2340"/>
      <c r="J1403" s="2340"/>
      <c r="K1403" s="2340"/>
      <c r="L1403" s="2340"/>
      <c r="M1403" s="2340"/>
      <c r="N1403" s="2340"/>
      <c r="O1403" s="2340"/>
      <c r="P1403" s="2340"/>
      <c r="Q1403" s="980" t="s">
        <v>1331</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534</v>
      </c>
      <c r="B1405" s="977" t="s">
        <v>3239</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3247</v>
      </c>
      <c r="C1406" s="781"/>
      <c r="D1406" s="781"/>
      <c r="E1406" s="887" t="str">
        <f>'Part I-Project Information'!$H$85</f>
        <v>Flexible</v>
      </c>
      <c r="M1406" s="780"/>
      <c r="O1406" s="948" t="s">
        <v>2680</v>
      </c>
      <c r="P1406" s="948" t="s">
        <v>2680</v>
      </c>
    </row>
    <row r="1407" spans="1:21">
      <c r="A1407" s="786" t="str">
        <f>IF($I$87="Stable Communities &lt; 5%", "*","")</f>
        <v/>
      </c>
      <c r="B1407" s="1008" t="s">
        <v>2121</v>
      </c>
      <c r="C1407" s="566" t="s">
        <v>2906</v>
      </c>
      <c r="M1407" s="784"/>
      <c r="O1407" s="960" t="str">
        <f>'Part IX A-Scoring Criteria'!O89</f>
        <v>N/a</v>
      </c>
      <c r="P1407" s="960"/>
    </row>
    <row r="1408" spans="1:21">
      <c r="B1408" s="1008" t="s">
        <v>2123</v>
      </c>
      <c r="C1408" s="566" t="s">
        <v>3009</v>
      </c>
      <c r="D1408" s="1072">
        <f>'Part IX A-Scoring Criteria'!D90</f>
        <v>0</v>
      </c>
      <c r="E1408" s="566" t="s">
        <v>3010</v>
      </c>
      <c r="H1408" s="566" t="s">
        <v>2547</v>
      </c>
      <c r="K1408" s="584" t="s">
        <v>3008</v>
      </c>
      <c r="L1408" s="1073">
        <f>'Part IX A-Scoring Criteria'!L90</f>
        <v>0</v>
      </c>
      <c r="M1408" s="888"/>
      <c r="N1408" s="961"/>
      <c r="O1408" s="786"/>
      <c r="P1408" s="786"/>
    </row>
    <row r="1409" spans="1:21">
      <c r="B1409" s="1008" t="s">
        <v>2706</v>
      </c>
      <c r="C1409" s="566" t="s">
        <v>2548</v>
      </c>
      <c r="H1409" s="566" t="s">
        <v>2549</v>
      </c>
      <c r="K1409" s="949" t="s">
        <v>2997</v>
      </c>
      <c r="L1409" s="566">
        <f>'Part IX A-Scoring Criteria'!L91</f>
        <v>0</v>
      </c>
      <c r="M1409" s="888"/>
      <c r="N1409" s="784"/>
      <c r="O1409" s="786"/>
      <c r="P1409" s="786"/>
    </row>
    <row r="1410" spans="1:21">
      <c r="B1410" s="1008" t="s">
        <v>1300</v>
      </c>
      <c r="C1410" s="566" t="s">
        <v>3396</v>
      </c>
      <c r="H1410" s="566"/>
      <c r="K1410" s="584" t="s">
        <v>3008</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319" t="str">
        <f>'Part IX A-Scoring Criteria'!A94</f>
        <v>This section is not applicable to this application</v>
      </c>
      <c r="B1412" s="2319"/>
      <c r="C1412" s="2319"/>
      <c r="D1412" s="2319"/>
      <c r="E1412" s="2319"/>
      <c r="F1412" s="2319"/>
      <c r="G1412" s="2319"/>
      <c r="H1412" s="2319"/>
      <c r="I1412" s="2319"/>
      <c r="J1412" s="2319"/>
      <c r="K1412" s="2319"/>
      <c r="L1412" s="2319"/>
      <c r="M1412" s="2319"/>
      <c r="N1412" s="2319"/>
      <c r="O1412" s="2319"/>
      <c r="P1412" s="2319"/>
      <c r="Q1412" s="980" t="s">
        <v>1331</v>
      </c>
    </row>
    <row r="1413" spans="1:21" ht="15">
      <c r="A1413" s="583"/>
      <c r="B1413" s="942" t="s">
        <v>1995</v>
      </c>
      <c r="C1413" s="583"/>
      <c r="D1413" s="942"/>
      <c r="E1413" s="944"/>
      <c r="F1413" s="944"/>
      <c r="G1413" s="944"/>
      <c r="H1413" s="944"/>
      <c r="I1413" s="944"/>
      <c r="J1413" s="944"/>
      <c r="K1413" s="944"/>
      <c r="L1413" s="944"/>
      <c r="M1413" s="944"/>
      <c r="N1413" s="991"/>
      <c r="O1413" s="992"/>
      <c r="P1413" s="888"/>
      <c r="Q1413" s="985"/>
    </row>
    <row r="1414" spans="1:21" ht="15.75">
      <c r="A1414" s="2340"/>
      <c r="B1414" s="2340"/>
      <c r="C1414" s="2340"/>
      <c r="D1414" s="2340"/>
      <c r="E1414" s="2340"/>
      <c r="F1414" s="2340"/>
      <c r="G1414" s="2340"/>
      <c r="H1414" s="2340"/>
      <c r="I1414" s="2340"/>
      <c r="J1414" s="2340"/>
      <c r="K1414" s="2340"/>
      <c r="L1414" s="2340"/>
      <c r="M1414" s="2340"/>
      <c r="N1414" s="2340"/>
      <c r="O1414" s="2340"/>
      <c r="P1414" s="2340"/>
      <c r="Q1414" s="980" t="s">
        <v>1331</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535</v>
      </c>
      <c r="B1416" s="977" t="s">
        <v>3248</v>
      </c>
      <c r="C1416" s="1005"/>
      <c r="D1416" s="997"/>
      <c r="E1416" s="997"/>
      <c r="F1416" s="1005"/>
      <c r="G1416" s="1005"/>
      <c r="H1416" s="906"/>
      <c r="I1416" s="1005"/>
      <c r="J1416" s="2344" t="str">
        <f>'Part IX A-Scoring Criteria'!J98</f>
        <v>Adopted Revitalization Plan</v>
      </c>
      <c r="K1416" s="2344"/>
      <c r="L1416" s="2344"/>
      <c r="M1416" s="888">
        <v>3</v>
      </c>
      <c r="N1416" s="780"/>
      <c r="O1416" s="888">
        <f>IF(J1416="Adopted Revitalization Plan",2,IF(J1416="Designated Military Zone",1,IF(J1416="Adptd Revital Plan &amp; Desig MZ",3,IF(J1416="HUD Choice Neighborhood",2,0))))</f>
        <v>2</v>
      </c>
      <c r="P1416" s="888"/>
      <c r="Q1416" s="888" t="s">
        <v>463</v>
      </c>
      <c r="U1416" s="975">
        <f>'Part IX A-Scoring Criteria'!O98</f>
        <v>2</v>
      </c>
    </row>
    <row r="1417" spans="1:21">
      <c r="A1417" s="947" t="s">
        <v>2117</v>
      </c>
      <c r="B1417" s="887" t="s">
        <v>3253</v>
      </c>
      <c r="E1417" s="583"/>
      <c r="F1417" s="934" t="s">
        <v>3254</v>
      </c>
      <c r="I1417" s="2345" t="str">
        <f>'Part IX A-Scoring Criteria'!I99</f>
        <v xml:space="preserve"> http://ga-athensclarkecounty2.civicplus.com/414/Economic-Development-Programs</v>
      </c>
      <c r="J1417" s="2345"/>
      <c r="K1417" s="2345"/>
      <c r="L1417" s="2345"/>
      <c r="M1417" s="2345"/>
      <c r="N1417" s="2345"/>
      <c r="O1417" s="2345"/>
      <c r="P1417" s="2345"/>
    </row>
    <row r="1418" spans="1:21" ht="15">
      <c r="A1418" s="947"/>
      <c r="B1418" s="566" t="s">
        <v>3591</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3694</v>
      </c>
      <c r="C1419" s="979"/>
      <c r="D1419" s="979"/>
      <c r="E1419" s="938"/>
      <c r="F1419" s="979"/>
      <c r="G1419" s="949" t="s">
        <v>3318</v>
      </c>
      <c r="H1419" s="2346">
        <f>'Part I-Project Information'!O1345</f>
        <v>0</v>
      </c>
      <c r="I1419" s="2320"/>
      <c r="J1419" s="979"/>
      <c r="K1419" s="979"/>
      <c r="L1419" s="979"/>
      <c r="M1419" s="780">
        <v>2</v>
      </c>
      <c r="N1419" s="979"/>
      <c r="O1419" s="948" t="s">
        <v>2680</v>
      </c>
      <c r="P1419" s="948" t="s">
        <v>2680</v>
      </c>
      <c r="Q1419" s="979"/>
    </row>
    <row r="1420" spans="1:21" ht="15">
      <c r="A1420" s="786"/>
      <c r="B1420" s="939" t="s">
        <v>2598</v>
      </c>
      <c r="C1420" s="566" t="s">
        <v>3308</v>
      </c>
      <c r="D1420" s="1005"/>
      <c r="E1420" s="938"/>
      <c r="F1420" s="979"/>
      <c r="G1420" s="995" t="s">
        <v>3594</v>
      </c>
      <c r="H1420" s="979"/>
      <c r="I1420" s="1074">
        <f>'Part IX A-Scoring Criteria'!I102</f>
        <v>40820</v>
      </c>
      <c r="J1420" s="979"/>
      <c r="K1420" s="979"/>
      <c r="L1420" s="979"/>
      <c r="M1420" s="786"/>
      <c r="N1420" s="939" t="s">
        <v>2598</v>
      </c>
      <c r="O1420" s="960" t="str">
        <f>'Part IX A-Scoring Criteria'!O102</f>
        <v>Yes</v>
      </c>
      <c r="P1420" s="960"/>
      <c r="Q1420" s="979"/>
    </row>
    <row r="1421" spans="1:21" ht="15">
      <c r="A1421" s="786"/>
      <c r="B1421" s="939" t="s">
        <v>2599</v>
      </c>
      <c r="C1421" s="949" t="s">
        <v>3309</v>
      </c>
      <c r="D1421" s="1005"/>
      <c r="E1421" s="938"/>
      <c r="F1421" s="979"/>
      <c r="G1421" s="995" t="s">
        <v>3580</v>
      </c>
      <c r="H1421" s="2347">
        <f>'Part IX A-Scoring Criteria'!H103</f>
        <v>40756</v>
      </c>
      <c r="I1421" s="2347"/>
      <c r="J1421" s="979"/>
      <c r="K1421" s="995" t="s">
        <v>3589</v>
      </c>
      <c r="L1421" s="2348" t="str">
        <f>'Part IX A-Scoring Criteria'!L103</f>
        <v>Athens Banner Herald</v>
      </c>
      <c r="M1421" s="2348"/>
      <c r="N1421" s="939" t="s">
        <v>2599</v>
      </c>
      <c r="O1421" s="960" t="str">
        <f>'Part IX A-Scoring Criteria'!O103</f>
        <v>Yes</v>
      </c>
      <c r="P1421" s="960"/>
      <c r="Q1421" s="979"/>
    </row>
    <row r="1422" spans="1:21" ht="15">
      <c r="A1422" s="786"/>
      <c r="B1422" s="939"/>
      <c r="C1422" s="949"/>
      <c r="D1422" s="1005"/>
      <c r="E1422" s="938"/>
      <c r="F1422" s="979"/>
      <c r="G1422" s="995" t="s">
        <v>3306</v>
      </c>
      <c r="H1422" s="2347" t="str">
        <f>'Part IX A-Scoring Criteria'!H104</f>
        <v>9/23/11, 10/4/2011</v>
      </c>
      <c r="I1422" s="2347"/>
      <c r="J1422" s="979"/>
      <c r="K1422" s="995" t="s">
        <v>3305</v>
      </c>
      <c r="L1422" s="2348" t="str">
        <f>'Part IX A-Scoring Criteria'!L104</f>
        <v>Published local govt public mtg</v>
      </c>
      <c r="M1422" s="2348"/>
      <c r="N1422" s="979"/>
      <c r="O1422" s="979"/>
      <c r="P1422" s="979"/>
      <c r="Q1422" s="979"/>
    </row>
    <row r="1423" spans="1:21" ht="13.5">
      <c r="B1423" s="939" t="s">
        <v>2600</v>
      </c>
      <c r="C1423" s="949" t="s">
        <v>3310</v>
      </c>
      <c r="D1423" s="566"/>
      <c r="G1423" s="995" t="s">
        <v>3590</v>
      </c>
      <c r="L1423" s="1074" t="str">
        <f>'Part IX A-Scoring Criteria'!L105</f>
        <v>2 year, 7 months</v>
      </c>
      <c r="M1423" s="786"/>
      <c r="N1423" s="939" t="s">
        <v>2600</v>
      </c>
      <c r="O1423" s="960" t="str">
        <f>'Part IX A-Scoring Criteria'!O105</f>
        <v>Yes</v>
      </c>
      <c r="P1423" s="960"/>
    </row>
    <row r="1424" spans="1:21" ht="13.5">
      <c r="B1424" s="939"/>
      <c r="C1424" s="949"/>
      <c r="D1424" s="566"/>
      <c r="G1424" s="995" t="s">
        <v>3695</v>
      </c>
      <c r="L1424" s="2347">
        <f>'Part IX A-Scoring Criteria'!L106</f>
        <v>0</v>
      </c>
      <c r="M1424" s="2347"/>
    </row>
    <row r="1425" spans="1:17" ht="13.5">
      <c r="B1425" s="939"/>
      <c r="C1425" s="949" t="s">
        <v>3307</v>
      </c>
      <c r="D1425" s="566"/>
      <c r="G1425" s="995"/>
      <c r="K1425" s="824" t="s">
        <v>2945</v>
      </c>
      <c r="L1425" s="824" t="str">
        <f>'Part IX A-Scoring Criteria'!L107</f>
        <v>6,7,29</v>
      </c>
      <c r="M1425" s="786"/>
      <c r="N1425" s="939"/>
      <c r="O1425" s="960" t="str">
        <f>'Part IX A-Scoring Criteria'!O107</f>
        <v>Yes</v>
      </c>
      <c r="P1425" s="960"/>
    </row>
    <row r="1426" spans="1:17">
      <c r="B1426" s="939" t="s">
        <v>2601</v>
      </c>
      <c r="C1426" s="584" t="s">
        <v>3311</v>
      </c>
      <c r="K1426" s="824" t="s">
        <v>2945</v>
      </c>
      <c r="L1426" s="824">
        <f>'Part IX A-Scoring Criteria'!L108</f>
        <v>3</v>
      </c>
      <c r="M1426" s="786"/>
      <c r="N1426" s="939" t="s">
        <v>2601</v>
      </c>
      <c r="O1426" s="960" t="str">
        <f>'Part IX A-Scoring Criteria'!O108</f>
        <v>Yes</v>
      </c>
      <c r="P1426" s="960"/>
    </row>
    <row r="1427" spans="1:17">
      <c r="B1427" s="939" t="s">
        <v>2602</v>
      </c>
      <c r="C1427" s="584" t="s">
        <v>3312</v>
      </c>
      <c r="K1427" s="824" t="s">
        <v>2945</v>
      </c>
      <c r="L1427" s="824" t="str">
        <f>'Part IX A-Scoring Criteria'!L109</f>
        <v>7,29</v>
      </c>
      <c r="M1427" s="786"/>
      <c r="N1427" s="939" t="s">
        <v>2602</v>
      </c>
      <c r="O1427" s="960" t="str">
        <f>'Part IX A-Scoring Criteria'!O109</f>
        <v>Yes</v>
      </c>
      <c r="P1427" s="960"/>
    </row>
    <row r="1428" spans="1:17">
      <c r="B1428" s="939" t="s">
        <v>2618</v>
      </c>
      <c r="C1428" s="584" t="s">
        <v>3315</v>
      </c>
      <c r="K1428" s="824" t="s">
        <v>2945</v>
      </c>
      <c r="L1428" s="824" t="str">
        <f>'Part IX A-Scoring Criteria'!L110</f>
        <v>7, 29</v>
      </c>
      <c r="M1428" s="786"/>
      <c r="N1428" s="939" t="s">
        <v>2618</v>
      </c>
      <c r="O1428" s="960" t="str">
        <f>'Part IX A-Scoring Criteria'!O110</f>
        <v>Yes</v>
      </c>
      <c r="P1428" s="960"/>
    </row>
    <row r="1429" spans="1:17">
      <c r="B1429" s="939"/>
      <c r="C1429" s="584" t="s">
        <v>3313</v>
      </c>
      <c r="K1429" s="817"/>
      <c r="M1429" s="786"/>
      <c r="N1429" s="939"/>
      <c r="O1429" s="960" t="str">
        <f>'Part IX A-Scoring Criteria'!O111</f>
        <v>Yes</v>
      </c>
      <c r="P1429" s="960"/>
    </row>
    <row r="1430" spans="1:17">
      <c r="B1430" s="939" t="s">
        <v>2619</v>
      </c>
      <c r="C1430" s="584" t="s">
        <v>3314</v>
      </c>
      <c r="D1430" s="566"/>
      <c r="K1430" s="824" t="s">
        <v>2945</v>
      </c>
      <c r="L1430" s="824" t="str">
        <f>'Part IX A-Scoring Criteria'!L112</f>
        <v>7, 29</v>
      </c>
      <c r="M1430" s="786"/>
      <c r="N1430" s="939" t="s">
        <v>2619</v>
      </c>
      <c r="O1430" s="960" t="str">
        <f>'Part IX A-Scoring Criteria'!O112</f>
        <v>Yes</v>
      </c>
      <c r="P1430" s="960"/>
    </row>
    <row r="1431" spans="1:17">
      <c r="B1431" s="939" t="s">
        <v>2620</v>
      </c>
      <c r="C1431" s="584" t="s">
        <v>3316</v>
      </c>
      <c r="K1431" s="824" t="s">
        <v>2945</v>
      </c>
      <c r="L1431" s="824" t="str">
        <f>'Part IX A-Scoring Criteria'!L113</f>
        <v>13-29</v>
      </c>
      <c r="M1431" s="786"/>
      <c r="N1431" s="939" t="s">
        <v>2620</v>
      </c>
      <c r="O1431" s="960" t="str">
        <f>'Part IX A-Scoring Criteria'!O113</f>
        <v>Yes</v>
      </c>
      <c r="P1431" s="960"/>
    </row>
    <row r="1432" spans="1:17">
      <c r="B1432" s="939" t="s">
        <v>2621</v>
      </c>
      <c r="C1432" s="584" t="s">
        <v>3317</v>
      </c>
      <c r="K1432" s="824" t="s">
        <v>2945</v>
      </c>
      <c r="L1432" s="824">
        <f>'Part IX A-Scoring Criteria'!L114</f>
        <v>5</v>
      </c>
      <c r="M1432" s="786"/>
      <c r="N1432" s="939" t="s">
        <v>2621</v>
      </c>
      <c r="O1432" s="960" t="str">
        <f>'Part IX A-Scoring Criteria'!O114</f>
        <v>Yes</v>
      </c>
      <c r="P1432" s="960"/>
    </row>
    <row r="1433" spans="1:17">
      <c r="B1433" s="939" t="s">
        <v>2622</v>
      </c>
      <c r="C1433" s="584" t="s">
        <v>3319</v>
      </c>
      <c r="K1433" s="824" t="s">
        <v>2945</v>
      </c>
      <c r="L1433" s="824" t="str">
        <f>'Part IX A-Scoring Criteria'!L115</f>
        <v>1 through 29</v>
      </c>
      <c r="M1433" s="786"/>
      <c r="N1433" s="939" t="s">
        <v>2622</v>
      </c>
      <c r="O1433" s="960" t="str">
        <f>'Part IX A-Scoring Criteria'!O115</f>
        <v>Yes</v>
      </c>
      <c r="P1433" s="960"/>
    </row>
    <row r="1434" spans="1:17">
      <c r="A1434" s="947" t="s">
        <v>2120</v>
      </c>
      <c r="B1434" s="887" t="s">
        <v>3250</v>
      </c>
      <c r="D1434" s="583"/>
      <c r="M1434" s="784">
        <v>1</v>
      </c>
      <c r="O1434" s="948" t="s">
        <v>2680</v>
      </c>
      <c r="P1434" s="948" t="s">
        <v>2680</v>
      </c>
    </row>
    <row r="1435" spans="1:17" ht="13.5">
      <c r="A1435" s="940" t="s">
        <v>1439</v>
      </c>
      <c r="B1435" s="566" t="s">
        <v>3252</v>
      </c>
      <c r="O1435" s="960" t="str">
        <f>'Part IX A-Scoring Criteria'!O117</f>
        <v>No</v>
      </c>
      <c r="P1435" s="960"/>
      <c r="Q1435" s="995"/>
    </row>
    <row r="1436" spans="1:17">
      <c r="A1436" s="947" t="s">
        <v>798</v>
      </c>
      <c r="B1436" s="887" t="s">
        <v>3251</v>
      </c>
      <c r="C1436" s="887"/>
      <c r="D1436" s="583"/>
      <c r="M1436" s="780">
        <v>2</v>
      </c>
      <c r="O1436" s="935" t="s">
        <v>2680</v>
      </c>
      <c r="P1436" s="935" t="s">
        <v>2680</v>
      </c>
    </row>
    <row r="1437" spans="1:17">
      <c r="B1437" s="2319" t="s">
        <v>3526</v>
      </c>
      <c r="C1437" s="2319"/>
      <c r="D1437" s="2319"/>
      <c r="E1437" s="2319"/>
      <c r="F1437" s="2319"/>
      <c r="G1437" s="2319"/>
      <c r="H1437" s="2319"/>
      <c r="I1437" s="2319"/>
      <c r="J1437" s="2319"/>
      <c r="K1437" s="2319"/>
      <c r="L1437" s="2319"/>
      <c r="O1437" s="960" t="str">
        <f>'Part IX A-Scoring Criteria'!O119</f>
        <v>No</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319" t="str">
        <f>'Part IX A-Scoring Criteria'!A121</f>
        <v>The application contains two active plans that support this section. As such, each plan has the required documentaiton submitted seperately in tab 29.</v>
      </c>
      <c r="B1439" s="2319"/>
      <c r="C1439" s="2319"/>
      <c r="D1439" s="2319"/>
      <c r="E1439" s="2319"/>
      <c r="F1439" s="2319"/>
      <c r="G1439" s="2319"/>
      <c r="H1439" s="2319"/>
      <c r="I1439" s="2319"/>
      <c r="J1439" s="2319"/>
      <c r="K1439" s="2319"/>
      <c r="L1439" s="2319"/>
      <c r="M1439" s="2319"/>
      <c r="N1439" s="2319"/>
      <c r="O1439" s="2319"/>
      <c r="P1439" s="2319"/>
      <c r="Q1439" s="980" t="s">
        <v>1331</v>
      </c>
    </row>
    <row r="1440" spans="1:17" ht="15">
      <c r="A1440" s="583"/>
      <c r="B1440" s="942" t="s">
        <v>1995</v>
      </c>
      <c r="C1440" s="583"/>
      <c r="D1440" s="942"/>
      <c r="E1440" s="944"/>
      <c r="F1440" s="944"/>
      <c r="G1440" s="944"/>
      <c r="H1440" s="944"/>
      <c r="I1440" s="944"/>
      <c r="J1440" s="944"/>
      <c r="K1440" s="944"/>
      <c r="L1440" s="944"/>
      <c r="M1440" s="944"/>
      <c r="N1440" s="991"/>
      <c r="O1440" s="992"/>
      <c r="P1440" s="888"/>
      <c r="Q1440" s="985"/>
    </row>
    <row r="1441" spans="1:21" ht="15.75">
      <c r="A1441" s="2340"/>
      <c r="B1441" s="2340"/>
      <c r="C1441" s="2340"/>
      <c r="D1441" s="2340"/>
      <c r="E1441" s="2340"/>
      <c r="F1441" s="2340"/>
      <c r="G1441" s="2340"/>
      <c r="H1441" s="2340"/>
      <c r="I1441" s="2340"/>
      <c r="J1441" s="2340"/>
      <c r="K1441" s="2340"/>
      <c r="L1441" s="2340"/>
      <c r="M1441" s="2340"/>
      <c r="N1441" s="2340"/>
      <c r="O1441" s="2340"/>
      <c r="P1441" s="2340"/>
      <c r="Q1441" s="980" t="s">
        <v>1331</v>
      </c>
    </row>
    <row r="1442" spans="1:21">
      <c r="N1442" s="784"/>
      <c r="O1442" s="786"/>
      <c r="P1442" s="786"/>
    </row>
    <row r="1443" spans="1:21" ht="15">
      <c r="A1443" s="976" t="s">
        <v>227</v>
      </c>
      <c r="B1443" s="977" t="s">
        <v>2623</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2117</v>
      </c>
      <c r="B1444" s="887" t="s">
        <v>2378</v>
      </c>
      <c r="D1444" s="583"/>
      <c r="E1444" s="583"/>
      <c r="F1444" s="583"/>
      <c r="G1444" s="580" t="str">
        <f>IF(AND(O1444&lt;0,L1451&lt;0),"Select either A or B but not both!&gt;","")</f>
        <v/>
      </c>
      <c r="H1444" s="887" t="s">
        <v>3247</v>
      </c>
      <c r="I1444" s="781"/>
      <c r="J1444" s="887" t="str">
        <f>'Part I-Project Information'!$H$85</f>
        <v>Flexible</v>
      </c>
      <c r="M1444" s="780">
        <v>3</v>
      </c>
      <c r="N1444" s="939" t="s">
        <v>2117</v>
      </c>
      <c r="O1444" s="888">
        <f>'Part IX A-Scoring Criteria'!O126</f>
        <v>0</v>
      </c>
      <c r="P1444" s="888"/>
      <c r="Q1444" s="995" t="s">
        <v>2946</v>
      </c>
    </row>
    <row r="1445" spans="1:21">
      <c r="A1445" s="566"/>
      <c r="B1445" s="1001" t="s">
        <v>2121</v>
      </c>
      <c r="C1445" s="2319" t="s">
        <v>3527</v>
      </c>
      <c r="D1445" s="2341"/>
      <c r="E1445" s="2341"/>
      <c r="F1445" s="2341"/>
      <c r="G1445" s="2341"/>
      <c r="H1445" s="2341"/>
      <c r="I1445" s="2341"/>
      <c r="J1445" s="2341"/>
      <c r="K1445" s="2341"/>
      <c r="L1445" s="2341"/>
      <c r="M1445" s="1000"/>
      <c r="N1445" s="1001" t="s">
        <v>2121</v>
      </c>
      <c r="O1445" s="960">
        <f>'Part IX A-Scoring Criteria'!O127</f>
        <v>0</v>
      </c>
      <c r="P1445" s="960"/>
      <c r="Q1445" s="566"/>
    </row>
    <row r="1446" spans="1:21">
      <c r="A1446" s="566"/>
      <c r="B1446" s="994"/>
      <c r="C1446" s="584" t="s">
        <v>1019</v>
      </c>
      <c r="D1446" s="566"/>
      <c r="E1446" s="566"/>
      <c r="F1446" s="566"/>
      <c r="G1446" s="566"/>
      <c r="H1446" s="948" t="s">
        <v>2764</v>
      </c>
      <c r="I1446" s="782">
        <f>'Part IX A-Scoring Criteria'!I128</f>
        <v>0</v>
      </c>
      <c r="J1446" s="948" t="s">
        <v>2449</v>
      </c>
      <c r="K1446" s="2314">
        <f>'Part IX A-Scoring Criteria'!K128</f>
        <v>0</v>
      </c>
      <c r="L1446" s="2314"/>
      <c r="M1446" s="2314"/>
      <c r="N1446" s="566"/>
      <c r="O1446" s="566"/>
      <c r="P1446" s="566"/>
      <c r="Q1446" s="566"/>
    </row>
    <row r="1447" spans="1:21">
      <c r="A1447" s="566"/>
      <c r="B1447" s="994" t="s">
        <v>2123</v>
      </c>
      <c r="C1447" s="584" t="s">
        <v>1020</v>
      </c>
      <c r="D1447" s="566"/>
      <c r="E1447" s="566"/>
      <c r="F1447" s="566"/>
      <c r="G1447" s="566"/>
      <c r="H1447" s="566"/>
      <c r="I1447" s="566"/>
      <c r="J1447" s="566"/>
      <c r="K1447" s="566"/>
      <c r="L1447" s="566"/>
      <c r="M1447" s="780"/>
      <c r="N1447" s="994" t="s">
        <v>2123</v>
      </c>
      <c r="O1447" s="960">
        <f>'Part IX A-Scoring Criteria'!O129</f>
        <v>0</v>
      </c>
      <c r="P1447" s="960"/>
      <c r="Q1447" s="566"/>
    </row>
    <row r="1448" spans="1:21">
      <c r="A1448" s="566"/>
      <c r="B1448" s="994" t="s">
        <v>2706</v>
      </c>
      <c r="C1448" s="584" t="s">
        <v>1021</v>
      </c>
      <c r="D1448" s="566"/>
      <c r="E1448" s="566"/>
      <c r="F1448" s="566"/>
      <c r="G1448" s="566"/>
      <c r="H1448" s="566"/>
      <c r="I1448" s="566"/>
      <c r="J1448" s="566"/>
      <c r="K1448" s="566"/>
      <c r="L1448" s="566"/>
      <c r="M1448" s="780"/>
      <c r="N1448" s="994" t="s">
        <v>2706</v>
      </c>
      <c r="O1448" s="960">
        <f>'Part IX A-Scoring Criteria'!O130</f>
        <v>0</v>
      </c>
      <c r="P1448" s="960"/>
      <c r="Q1448" s="566"/>
    </row>
    <row r="1449" spans="1:21">
      <c r="A1449" s="940" t="s">
        <v>1439</v>
      </c>
      <c r="B1449" s="994" t="s">
        <v>1300</v>
      </c>
      <c r="C1449" s="584" t="s">
        <v>1022</v>
      </c>
      <c r="D1449" s="566"/>
      <c r="E1449" s="566"/>
      <c r="F1449" s="566"/>
      <c r="G1449" s="566"/>
      <c r="H1449" s="566"/>
      <c r="I1449" s="566"/>
      <c r="J1449" s="566"/>
      <c r="K1449" s="566"/>
      <c r="L1449" s="566"/>
      <c r="M1449" s="780"/>
      <c r="N1449" s="994" t="s">
        <v>1300</v>
      </c>
      <c r="O1449" s="960">
        <f>'Part IX A-Scoring Criteria'!O131</f>
        <v>0</v>
      </c>
      <c r="P1449" s="960"/>
      <c r="Q1449" s="566"/>
    </row>
    <row r="1450" spans="1:21" ht="13.5">
      <c r="A1450" s="890" t="s">
        <v>2120</v>
      </c>
      <c r="B1450" s="887" t="s">
        <v>2379</v>
      </c>
      <c r="E1450" s="995" t="s">
        <v>3154</v>
      </c>
      <c r="M1450" s="780">
        <v>3</v>
      </c>
      <c r="N1450" s="939" t="s">
        <v>2120</v>
      </c>
      <c r="O1450" s="780">
        <f>IF($L1451=5,3,IF($L1451=4,2,0))</f>
        <v>3</v>
      </c>
      <c r="P1450" s="888"/>
    </row>
    <row r="1451" spans="1:21" ht="15">
      <c r="B1451" s="938" t="s">
        <v>3320</v>
      </c>
      <c r="D1451" s="583"/>
      <c r="E1451" s="583"/>
      <c r="F1451" s="583"/>
      <c r="G1451" s="938"/>
      <c r="H1451" s="938"/>
      <c r="I1451" s="938"/>
      <c r="J1451" s="938"/>
      <c r="L1451" s="935">
        <f>'Part IX A-Scoring Criteria'!L133</f>
        <v>5</v>
      </c>
      <c r="M1451" s="584" t="s">
        <v>3321</v>
      </c>
      <c r="N1451" s="784"/>
      <c r="O1451" s="1005"/>
      <c r="P1451" s="1005"/>
    </row>
    <row r="1452" spans="1:21" ht="15">
      <c r="B1452" s="938" t="s">
        <v>3322</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319" t="str">
        <f>'Part IX A-Scoring Criteria'!A136</f>
        <v>Property is located in Athens Clake County. There has not been a 4%, 9% or HOME project within 2 miles of the site in the last 5 DCA funding cycles</v>
      </c>
      <c r="B1454" s="2319"/>
      <c r="C1454" s="2319"/>
      <c r="D1454" s="2319"/>
      <c r="E1454" s="2319"/>
      <c r="F1454" s="2319"/>
      <c r="G1454" s="2319"/>
      <c r="H1454" s="2319"/>
      <c r="I1454" s="2319"/>
      <c r="J1454" s="2319"/>
      <c r="K1454" s="2319"/>
      <c r="L1454" s="2319"/>
      <c r="M1454" s="2319"/>
      <c r="N1454" s="2319"/>
      <c r="O1454" s="2319"/>
      <c r="P1454" s="2319"/>
      <c r="Q1454" s="980" t="s">
        <v>1331</v>
      </c>
    </row>
    <row r="1455" spans="1:21" ht="15">
      <c r="A1455" s="979"/>
      <c r="B1455" s="942" t="s">
        <v>1995</v>
      </c>
      <c r="C1455" s="583"/>
      <c r="D1455" s="942"/>
      <c r="E1455" s="944"/>
      <c r="F1455" s="944"/>
      <c r="G1455" s="944"/>
      <c r="H1455" s="944"/>
      <c r="I1455" s="944"/>
      <c r="J1455" s="944"/>
      <c r="K1455" s="944"/>
      <c r="L1455" s="944"/>
      <c r="M1455" s="944"/>
      <c r="N1455" s="991"/>
      <c r="O1455" s="992"/>
      <c r="P1455" s="888"/>
      <c r="Q1455" s="985"/>
    </row>
    <row r="1456" spans="1:21" ht="15.75">
      <c r="A1456" s="2319"/>
      <c r="B1456" s="2319"/>
      <c r="C1456" s="2319"/>
      <c r="D1456" s="2319"/>
      <c r="E1456" s="2319"/>
      <c r="F1456" s="2319"/>
      <c r="G1456" s="2319"/>
      <c r="H1456" s="2319"/>
      <c r="I1456" s="2319"/>
      <c r="J1456" s="2319"/>
      <c r="K1456" s="2319"/>
      <c r="L1456" s="2319"/>
      <c r="M1456" s="2319"/>
      <c r="N1456" s="2319"/>
      <c r="O1456" s="2319"/>
      <c r="P1456" s="2319"/>
      <c r="Q1456" s="980" t="s">
        <v>1331</v>
      </c>
    </row>
    <row r="1457" spans="1:21">
      <c r="N1457" s="784"/>
      <c r="O1457" s="786"/>
      <c r="P1457" s="786"/>
    </row>
    <row r="1458" spans="1:21" ht="15">
      <c r="A1458" s="976" t="s">
        <v>228</v>
      </c>
      <c r="B1458" s="977" t="s">
        <v>2624</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1782</v>
      </c>
      <c r="M1459" s="897"/>
      <c r="P1459" s="948" t="s">
        <v>2680</v>
      </c>
    </row>
    <row r="1460" spans="1:21">
      <c r="A1460" s="956" t="s">
        <v>2117</v>
      </c>
      <c r="B1460" s="2323" t="s">
        <v>2823</v>
      </c>
      <c r="C1460" s="2342"/>
      <c r="D1460" s="2342"/>
      <c r="E1460" s="2342"/>
      <c r="F1460" s="2342"/>
      <c r="G1460" s="2342"/>
      <c r="H1460" s="2342"/>
      <c r="I1460" s="2342"/>
      <c r="J1460" s="2342"/>
      <c r="K1460" s="2342"/>
      <c r="L1460" s="2342"/>
      <c r="M1460" s="2342"/>
      <c r="N1460" s="2342"/>
      <c r="O1460" s="958" t="s">
        <v>2598</v>
      </c>
      <c r="P1460" s="1009"/>
      <c r="Q1460" s="957"/>
    </row>
    <row r="1461" spans="1:21">
      <c r="A1461" s="956" t="s">
        <v>2120</v>
      </c>
      <c r="B1461" s="2323" t="s">
        <v>2993</v>
      </c>
      <c r="C1461" s="2342"/>
      <c r="D1461" s="2342"/>
      <c r="E1461" s="2342"/>
      <c r="F1461" s="2342"/>
      <c r="G1461" s="2342"/>
      <c r="H1461" s="2342"/>
      <c r="I1461" s="2342"/>
      <c r="J1461" s="2342"/>
      <c r="K1461" s="2342"/>
      <c r="L1461" s="2342"/>
      <c r="M1461" s="2342"/>
      <c r="N1461" s="2342"/>
      <c r="O1461" s="958" t="s">
        <v>2599</v>
      </c>
      <c r="P1461" s="1009"/>
      <c r="Q1461" s="957"/>
    </row>
    <row r="1462" spans="1:21">
      <c r="A1462" s="956" t="s">
        <v>798</v>
      </c>
      <c r="B1462" s="946" t="s">
        <v>1783</v>
      </c>
      <c r="C1462" s="957"/>
      <c r="D1462" s="957"/>
      <c r="E1462" s="957"/>
      <c r="F1462" s="957"/>
      <c r="G1462" s="957"/>
      <c r="H1462" s="957"/>
      <c r="I1462" s="957"/>
      <c r="J1462" s="957"/>
      <c r="K1462" s="957"/>
      <c r="L1462" s="957"/>
      <c r="M1462" s="1012"/>
      <c r="N1462" s="958"/>
      <c r="O1462" s="958" t="s">
        <v>2600</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319">
        <f>'Part IX A-Scoring Criteria'!A146</f>
        <v>0</v>
      </c>
      <c r="B1464" s="2319"/>
      <c r="C1464" s="2319"/>
      <c r="D1464" s="2319"/>
      <c r="E1464" s="2319"/>
      <c r="F1464" s="2319"/>
      <c r="G1464" s="2319"/>
      <c r="H1464" s="2319"/>
      <c r="I1464" s="2319"/>
      <c r="J1464" s="2319"/>
      <c r="K1464" s="2319"/>
      <c r="L1464" s="2319"/>
      <c r="M1464" s="2319"/>
      <c r="N1464" s="2319"/>
      <c r="O1464" s="2319"/>
      <c r="P1464" s="2319"/>
      <c r="Q1464" s="980" t="s">
        <v>1331</v>
      </c>
    </row>
    <row r="1465" spans="1:21" ht="15">
      <c r="A1465" s="583"/>
      <c r="B1465" s="942" t="s">
        <v>1995</v>
      </c>
      <c r="C1465" s="583"/>
      <c r="D1465" s="942"/>
      <c r="E1465" s="944"/>
      <c r="F1465" s="944"/>
      <c r="G1465" s="944"/>
      <c r="H1465" s="944"/>
      <c r="I1465" s="944"/>
      <c r="J1465" s="944"/>
      <c r="K1465" s="944"/>
      <c r="L1465" s="944"/>
      <c r="M1465" s="944"/>
      <c r="N1465" s="991"/>
      <c r="O1465" s="992"/>
      <c r="P1465" s="888"/>
      <c r="Q1465" s="985"/>
    </row>
    <row r="1466" spans="1:21" ht="15.75">
      <c r="A1466" s="2319"/>
      <c r="B1466" s="2319"/>
      <c r="C1466" s="2319"/>
      <c r="D1466" s="2319"/>
      <c r="E1466" s="2319"/>
      <c r="F1466" s="2319"/>
      <c r="G1466" s="2319"/>
      <c r="H1466" s="2319"/>
      <c r="I1466" s="2319"/>
      <c r="J1466" s="2319"/>
      <c r="K1466" s="2319"/>
      <c r="L1466" s="2319"/>
      <c r="M1466" s="2319"/>
      <c r="N1466" s="2319"/>
      <c r="O1466" s="2319"/>
      <c r="P1466" s="2319"/>
      <c r="Q1466" s="980" t="s">
        <v>1331</v>
      </c>
    </row>
    <row r="1467" spans="1:21">
      <c r="N1467" s="784"/>
      <c r="O1467" s="786"/>
      <c r="P1467" s="786"/>
    </row>
    <row r="1468" spans="1:21" ht="15">
      <c r="A1468" s="1013" t="s">
        <v>229</v>
      </c>
      <c r="B1468" s="977" t="s">
        <v>3323</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2117</v>
      </c>
      <c r="B1469" s="887" t="s">
        <v>2380</v>
      </c>
      <c r="C1469" s="1005"/>
      <c r="D1469" s="1011"/>
      <c r="E1469" s="1011"/>
      <c r="F1469" s="973"/>
      <c r="H1469" s="1005"/>
      <c r="I1469" s="1005"/>
      <c r="J1469" s="1005"/>
      <c r="K1469" s="939" t="s">
        <v>2921</v>
      </c>
      <c r="L1469" s="960" t="str">
        <f>'Part IX A-Scoring Criteria'!L151</f>
        <v>Yes</v>
      </c>
      <c r="M1469" s="780">
        <v>1</v>
      </c>
      <c r="N1469" s="939" t="s">
        <v>2117</v>
      </c>
      <c r="O1469" s="1002">
        <f>'Part IX A-Scoring Criteria'!O151</f>
        <v>1</v>
      </c>
      <c r="P1469" s="888"/>
      <c r="Q1469" s="995"/>
    </row>
    <row r="1470" spans="1:21" ht="15">
      <c r="A1470" s="947" t="s">
        <v>2120</v>
      </c>
      <c r="B1470" s="887" t="s">
        <v>2381</v>
      </c>
      <c r="C1470" s="979"/>
      <c r="D1470" s="584"/>
      <c r="E1470" s="979"/>
      <c r="F1470" s="979"/>
      <c r="G1470" s="979"/>
      <c r="H1470" s="935" t="s">
        <v>2907</v>
      </c>
      <c r="I1470" s="979"/>
      <c r="J1470" s="979"/>
      <c r="K1470" s="584"/>
      <c r="L1470" s="960" t="str">
        <f>'Part IX A-Scoring Criteria'!L152</f>
        <v>No</v>
      </c>
      <c r="M1470" s="780">
        <v>1</v>
      </c>
      <c r="N1470" s="939" t="s">
        <v>2120</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319" t="str">
        <f>'Part IX A-Scoring Criteria'!A154</f>
        <v>We have agreed to forego the cancellation option for at least 5 years as evident above</v>
      </c>
      <c r="B1472" s="2319"/>
      <c r="C1472" s="2319"/>
      <c r="D1472" s="2319"/>
      <c r="E1472" s="2319"/>
      <c r="F1472" s="2319"/>
      <c r="G1472" s="2319"/>
      <c r="H1472" s="2319"/>
      <c r="I1472" s="2319"/>
      <c r="J1472" s="2319"/>
      <c r="K1472" s="2319"/>
      <c r="L1472" s="2319"/>
      <c r="M1472" s="2319"/>
      <c r="N1472" s="2319"/>
      <c r="O1472" s="2319"/>
      <c r="P1472" s="2319"/>
      <c r="Q1472" s="980" t="s">
        <v>1331</v>
      </c>
    </row>
    <row r="1473" spans="1:21" ht="15">
      <c r="A1473" s="583"/>
      <c r="B1473" s="942" t="s">
        <v>1995</v>
      </c>
      <c r="C1473" s="583"/>
      <c r="D1473" s="942"/>
      <c r="E1473" s="944"/>
      <c r="F1473" s="944"/>
      <c r="G1473" s="944"/>
      <c r="H1473" s="944"/>
      <c r="I1473" s="944"/>
      <c r="J1473" s="944"/>
      <c r="K1473" s="944"/>
      <c r="L1473" s="944"/>
      <c r="M1473" s="944"/>
      <c r="N1473" s="991"/>
      <c r="O1473" s="992"/>
      <c r="P1473" s="888"/>
      <c r="Q1473" s="985"/>
    </row>
    <row r="1474" spans="1:21" ht="15.75">
      <c r="A1474" s="2319"/>
      <c r="B1474" s="2319"/>
      <c r="C1474" s="2319"/>
      <c r="D1474" s="2319"/>
      <c r="E1474" s="2319"/>
      <c r="F1474" s="2319"/>
      <c r="G1474" s="2319"/>
      <c r="H1474" s="2319"/>
      <c r="I1474" s="2319"/>
      <c r="J1474" s="2319"/>
      <c r="K1474" s="2319"/>
      <c r="L1474" s="2319"/>
      <c r="M1474" s="2319"/>
      <c r="N1474" s="2319"/>
      <c r="O1474" s="2319"/>
      <c r="P1474" s="2319"/>
      <c r="Q1474" s="980" t="s">
        <v>1331</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2899</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2911</v>
      </c>
      <c r="C1477" s="984"/>
      <c r="D1477" s="963"/>
      <c r="E1477" s="584"/>
      <c r="F1477" s="979"/>
      <c r="G1477" s="783" t="str">
        <f>'Part I-Project Information'!$H$81</f>
        <v>No</v>
      </c>
      <c r="H1477" s="979"/>
      <c r="I1477" s="979"/>
      <c r="J1477" s="1011"/>
      <c r="K1477" s="979"/>
      <c r="L1477" s="979"/>
      <c r="M1477" s="888"/>
      <c r="N1477" s="888"/>
      <c r="O1477" s="948" t="s">
        <v>2680</v>
      </c>
      <c r="P1477" s="948" t="s">
        <v>2680</v>
      </c>
      <c r="Q1477" s="888"/>
    </row>
    <row r="1478" spans="1:21" ht="15">
      <c r="A1478" s="947"/>
      <c r="B1478" s="566" t="s">
        <v>2502</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3541</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319" t="str">
        <f>'Part IX A-Scoring Criteria'!A163</f>
        <v>This section is not applicable to this application</v>
      </c>
      <c r="B1481" s="2319"/>
      <c r="C1481" s="2319"/>
      <c r="D1481" s="2319"/>
      <c r="E1481" s="2319"/>
      <c r="F1481" s="2319"/>
      <c r="G1481" s="2319"/>
      <c r="H1481" s="2319"/>
      <c r="I1481" s="2319"/>
      <c r="J1481" s="2319"/>
      <c r="K1481" s="2319"/>
      <c r="L1481" s="2319"/>
      <c r="M1481" s="2319"/>
      <c r="N1481" s="2319"/>
      <c r="O1481" s="2319"/>
      <c r="P1481" s="2319"/>
      <c r="Q1481" s="980" t="s">
        <v>1331</v>
      </c>
    </row>
    <row r="1482" spans="1:21" ht="15">
      <c r="A1482" s="979"/>
      <c r="B1482" s="942" t="s">
        <v>1995</v>
      </c>
      <c r="C1482" s="583"/>
      <c r="D1482" s="942"/>
      <c r="E1482" s="944"/>
      <c r="F1482" s="944"/>
      <c r="G1482" s="944"/>
      <c r="H1482" s="944"/>
      <c r="I1482" s="944"/>
      <c r="J1482" s="944"/>
      <c r="K1482" s="944"/>
      <c r="L1482" s="944"/>
      <c r="M1482" s="944"/>
      <c r="N1482" s="991"/>
      <c r="O1482" s="992"/>
      <c r="P1482" s="888"/>
      <c r="Q1482" s="985"/>
    </row>
    <row r="1483" spans="1:21" ht="15.75">
      <c r="A1483" s="2319"/>
      <c r="B1483" s="2319"/>
      <c r="C1483" s="2319"/>
      <c r="D1483" s="2319"/>
      <c r="E1483" s="2319"/>
      <c r="F1483" s="2319"/>
      <c r="G1483" s="2319"/>
      <c r="H1483" s="2319"/>
      <c r="I1483" s="2319"/>
      <c r="J1483" s="2319"/>
      <c r="K1483" s="2319"/>
      <c r="L1483" s="2319"/>
      <c r="M1483" s="2319"/>
      <c r="N1483" s="2319"/>
      <c r="O1483" s="2319"/>
      <c r="P1483" s="2319"/>
      <c r="Q1483" s="980" t="s">
        <v>1331</v>
      </c>
    </row>
    <row r="1484" spans="1:21">
      <c r="N1484" s="784"/>
      <c r="O1484" s="786"/>
      <c r="P1484" s="786"/>
    </row>
    <row r="1485" spans="1:21" ht="15">
      <c r="A1485" s="976" t="s">
        <v>248</v>
      </c>
      <c r="B1485" s="977" t="s">
        <v>3324</v>
      </c>
      <c r="C1485" s="1014"/>
      <c r="D1485" s="1014"/>
      <c r="E1485" s="938" t="s">
        <v>3214</v>
      </c>
      <c r="F1485" s="1014"/>
      <c r="G1485" s="993"/>
      <c r="H1485" s="566"/>
      <c r="I1485" s="1014"/>
      <c r="J1485" s="1014"/>
      <c r="K1485" s="888">
        <f>'Part VI-Revenues &amp; Expenses'!$M$62</f>
        <v>128</v>
      </c>
      <c r="L1485" s="640" t="s">
        <v>1916</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3247</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0</v>
      </c>
      <c r="L1486" s="640" t="s">
        <v>3204</v>
      </c>
      <c r="M1486" s="888"/>
      <c r="N1486" s="1007"/>
      <c r="O1486" s="1007"/>
      <c r="P1486" s="1007"/>
      <c r="Q1486" s="888"/>
    </row>
    <row r="1487" spans="1:21" ht="15">
      <c r="A1487" s="976"/>
      <c r="B1487" s="2316" t="s">
        <v>2968</v>
      </c>
      <c r="C1487" s="2316"/>
      <c r="D1487" s="2316"/>
      <c r="E1487" s="2316"/>
      <c r="F1487" s="2316"/>
      <c r="G1487" s="2316"/>
      <c r="H1487" s="2316"/>
      <c r="I1487" s="2316"/>
      <c r="J1487" s="2316"/>
      <c r="K1487" s="2316"/>
      <c r="L1487" s="2316"/>
      <c r="M1487" s="2316"/>
      <c r="N1487" s="888"/>
      <c r="O1487" s="1014"/>
      <c r="P1487" s="1014"/>
      <c r="Q1487" s="1014"/>
    </row>
    <row r="1488" spans="1:21" ht="15">
      <c r="A1488" s="583"/>
      <c r="B1488" s="941" t="s">
        <v>269</v>
      </c>
      <c r="C1488" s="583"/>
      <c r="D1488" s="587"/>
      <c r="E1488" s="587"/>
      <c r="F1488" s="587"/>
      <c r="G1488" s="587"/>
      <c r="H1488" s="584"/>
      <c r="I1488" s="584"/>
      <c r="J1488" s="942" t="s">
        <v>1995</v>
      </c>
      <c r="K1488" s="979"/>
      <c r="L1488" s="979"/>
      <c r="M1488" s="780"/>
      <c r="N1488" s="784"/>
      <c r="O1488" s="975"/>
      <c r="P1488" s="786"/>
      <c r="Q1488" s="979"/>
    </row>
    <row r="1489" spans="1:21" ht="15.75">
      <c r="A1489" s="2319" t="str">
        <f>'Part IX A-Scoring Criteria'!A171</f>
        <v>This section is not applicable to this application</v>
      </c>
      <c r="B1489" s="2319"/>
      <c r="C1489" s="2319"/>
      <c r="D1489" s="2319"/>
      <c r="E1489" s="2319"/>
      <c r="F1489" s="2319"/>
      <c r="G1489" s="2319"/>
      <c r="H1489" s="2319"/>
      <c r="I1489" s="2319"/>
      <c r="J1489" s="2319"/>
      <c r="K1489" s="2319"/>
      <c r="L1489" s="2319"/>
      <c r="M1489" s="2319"/>
      <c r="N1489" s="2319"/>
      <c r="O1489" s="2319"/>
      <c r="P1489" s="2319"/>
      <c r="Q1489" s="980" t="s">
        <v>1331</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1493</v>
      </c>
      <c r="B1491" s="983" t="s">
        <v>1785</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3325</v>
      </c>
      <c r="C1492" s="979"/>
      <c r="D1492" s="1005"/>
      <c r="E1492" s="984"/>
      <c r="F1492" s="584"/>
      <c r="G1492" s="584"/>
      <c r="H1492" s="584"/>
      <c r="I1492" s="960"/>
      <c r="J1492" s="979"/>
      <c r="K1492" s="979"/>
      <c r="L1492" s="979"/>
      <c r="M1492" s="979"/>
      <c r="N1492" s="979"/>
      <c r="O1492" s="948" t="s">
        <v>2680</v>
      </c>
      <c r="P1492" s="948" t="s">
        <v>2680</v>
      </c>
      <c r="Q1492" s="979"/>
    </row>
    <row r="1493" spans="1:21">
      <c r="A1493" s="947" t="s">
        <v>2117</v>
      </c>
      <c r="B1493" s="584" t="s">
        <v>3528</v>
      </c>
      <c r="C1493" s="566"/>
      <c r="D1493" s="584"/>
      <c r="E1493" s="584"/>
      <c r="F1493" s="584"/>
      <c r="G1493" s="566"/>
      <c r="H1493" s="566"/>
      <c r="I1493" s="566"/>
      <c r="J1493" s="2312" t="str">
        <f>'Part IX A-Scoring Criteria'!J175</f>
        <v>&lt; Select applicable GICH &gt;</v>
      </c>
      <c r="K1493" s="2312"/>
      <c r="L1493" s="2312"/>
      <c r="M1493" s="566"/>
      <c r="N1493" s="939" t="s">
        <v>2117</v>
      </c>
      <c r="O1493" s="1002">
        <f>'Part IX A-Scoring Criteria'!O175</f>
        <v>0</v>
      </c>
      <c r="P1493" s="960"/>
      <c r="Q1493" s="566"/>
    </row>
    <row r="1494" spans="1:21">
      <c r="A1494" s="947" t="s">
        <v>2120</v>
      </c>
      <c r="B1494" s="584" t="s">
        <v>3529</v>
      </c>
      <c r="C1494" s="566"/>
      <c r="D1494" s="584"/>
      <c r="E1494" s="584"/>
      <c r="F1494" s="584"/>
      <c r="G1494" s="584"/>
      <c r="H1494" s="566"/>
      <c r="I1494" s="566"/>
      <c r="J1494" s="566"/>
      <c r="K1494" s="566"/>
      <c r="L1494" s="584"/>
      <c r="M1494" s="584"/>
      <c r="N1494" s="939" t="s">
        <v>2120</v>
      </c>
      <c r="O1494" s="1002">
        <f>'Part IX A-Scoring Criteria'!O176</f>
        <v>0</v>
      </c>
      <c r="P1494" s="960"/>
      <c r="Q1494" s="566"/>
    </row>
    <row r="1495" spans="1:21">
      <c r="A1495" s="947" t="s">
        <v>798</v>
      </c>
      <c r="B1495" s="584" t="s">
        <v>3530</v>
      </c>
      <c r="C1495" s="566"/>
      <c r="D1495" s="584"/>
      <c r="E1495" s="584"/>
      <c r="F1495" s="584"/>
      <c r="G1495" s="584"/>
      <c r="H1495" s="584"/>
      <c r="I1495" s="566"/>
      <c r="J1495" s="566"/>
      <c r="K1495" s="566"/>
      <c r="L1495" s="584"/>
      <c r="M1495" s="584"/>
      <c r="N1495" s="939" t="s">
        <v>798</v>
      </c>
      <c r="O1495" s="1002">
        <f>'Part IX A-Scoring Criteria'!O177</f>
        <v>0</v>
      </c>
      <c r="P1495" s="960"/>
      <c r="Q1495" s="566"/>
    </row>
    <row r="1496" spans="1:21">
      <c r="A1496" s="947" t="s">
        <v>2252</v>
      </c>
      <c r="B1496" s="584" t="s">
        <v>3531</v>
      </c>
      <c r="C1496" s="566"/>
      <c r="D1496" s="584"/>
      <c r="E1496" s="584"/>
      <c r="F1496" s="584"/>
      <c r="G1496" s="584"/>
      <c r="H1496" s="584"/>
      <c r="I1496" s="584"/>
      <c r="J1496" s="584"/>
      <c r="K1496" s="584"/>
      <c r="L1496" s="584"/>
      <c r="M1496" s="584"/>
      <c r="N1496" s="939" t="s">
        <v>2252</v>
      </c>
      <c r="O1496" s="1002">
        <f>'Part IX A-Scoring Criteria'!O178</f>
        <v>0</v>
      </c>
      <c r="P1496" s="960"/>
      <c r="Q1496" s="566"/>
    </row>
    <row r="1497" spans="1:21">
      <c r="A1497" s="1018" t="s">
        <v>3532</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1995</v>
      </c>
      <c r="K1498" s="979"/>
      <c r="L1498" s="979"/>
      <c r="M1498" s="780"/>
      <c r="N1498" s="784"/>
      <c r="O1498" s="975"/>
      <c r="P1498" s="786"/>
      <c r="Q1498" s="979"/>
    </row>
    <row r="1499" spans="1:21" ht="15.75">
      <c r="A1499" s="2319" t="str">
        <f>'Part IX A-Scoring Criteria'!A181</f>
        <v>This section is not applicable to this application</v>
      </c>
      <c r="B1499" s="2319"/>
      <c r="C1499" s="2319"/>
      <c r="D1499" s="2319"/>
      <c r="E1499" s="2319"/>
      <c r="F1499" s="2319"/>
      <c r="G1499" s="2319"/>
      <c r="H1499" s="2319"/>
      <c r="I1499" s="2319"/>
      <c r="J1499" s="2319"/>
      <c r="K1499" s="2319"/>
      <c r="L1499" s="2319"/>
      <c r="M1499" s="2319"/>
      <c r="N1499" s="2319"/>
      <c r="O1499" s="2319"/>
      <c r="P1499" s="2319"/>
      <c r="Q1499" s="980" t="s">
        <v>1331</v>
      </c>
    </row>
    <row r="1500" spans="1:21">
      <c r="N1500" s="784"/>
      <c r="O1500" s="786"/>
      <c r="P1500" s="786"/>
    </row>
    <row r="1501" spans="1:21" ht="15">
      <c r="A1501" s="976" t="s">
        <v>1784</v>
      </c>
      <c r="B1501" s="983" t="s">
        <v>3328</v>
      </c>
      <c r="C1501" s="979"/>
      <c r="D1501" s="984"/>
      <c r="E1501" s="984"/>
      <c r="F1501" s="584"/>
      <c r="G1501" s="584"/>
      <c r="H1501" s="584"/>
      <c r="I1501" s="887" t="s">
        <v>3247</v>
      </c>
      <c r="J1501" s="781"/>
      <c r="K1501" s="1014"/>
      <c r="L1501" s="887" t="str">
        <f>'Part I-Project Information'!$H$85</f>
        <v>Flexible</v>
      </c>
      <c r="M1501" s="975">
        <v>7</v>
      </c>
      <c r="N1501" s="780"/>
      <c r="O1501" s="975">
        <f>O1508+O1525+O1527</f>
        <v>0</v>
      </c>
      <c r="P1501" s="975">
        <f>P1508+P1525+P1527</f>
        <v>0</v>
      </c>
      <c r="Q1501" s="888" t="s">
        <v>463</v>
      </c>
      <c r="U1501" s="975">
        <f>'Part IX A-Scoring Criteria'!O183</f>
        <v>0</v>
      </c>
    </row>
    <row r="1502" spans="1:21" ht="15">
      <c r="A1502" s="583"/>
      <c r="B1502" s="954" t="s">
        <v>3542</v>
      </c>
      <c r="C1502" s="979"/>
      <c r="D1502" s="979"/>
      <c r="E1502" s="984"/>
      <c r="F1502" s="584"/>
      <c r="G1502" s="584"/>
      <c r="H1502" s="584"/>
      <c r="I1502" s="584"/>
      <c r="J1502" s="979"/>
      <c r="K1502" s="935"/>
      <c r="L1502" s="1019"/>
      <c r="M1502" s="979"/>
      <c r="N1502" s="979"/>
      <c r="O1502" s="948" t="s">
        <v>2680</v>
      </c>
      <c r="P1502" s="948" t="s">
        <v>2680</v>
      </c>
      <c r="Q1502" s="979"/>
    </row>
    <row r="1503" spans="1:21" ht="15">
      <c r="A1503" s="566"/>
      <c r="B1503" s="1020" t="s">
        <v>2121</v>
      </c>
      <c r="C1503" s="566" t="s">
        <v>3326</v>
      </c>
      <c r="D1503" s="566"/>
      <c r="E1503" s="984"/>
      <c r="F1503" s="584"/>
      <c r="G1503" s="584"/>
      <c r="H1503" s="584"/>
      <c r="I1503" s="584"/>
      <c r="J1503" s="979"/>
      <c r="K1503" s="935"/>
      <c r="L1503" s="1019" t="str">
        <f>IF(M1503&gt;14,"Over limit!","")</f>
        <v/>
      </c>
      <c r="M1503" s="566"/>
      <c r="N1503" s="994" t="s">
        <v>2121</v>
      </c>
      <c r="O1503" s="1002">
        <f>'Part IX A-Scoring Criteria'!O185</f>
        <v>0</v>
      </c>
      <c r="P1503" s="960"/>
      <c r="Q1503" s="566"/>
    </row>
    <row r="1504" spans="1:21">
      <c r="A1504" s="566"/>
      <c r="B1504" s="1020" t="s">
        <v>2123</v>
      </c>
      <c r="C1504" s="566" t="s">
        <v>601</v>
      </c>
      <c r="D1504" s="566"/>
      <c r="E1504" s="566"/>
      <c r="F1504" s="566"/>
      <c r="G1504" s="566"/>
      <c r="H1504" s="566"/>
      <c r="I1504" s="566"/>
      <c r="J1504" s="566"/>
      <c r="K1504" s="566"/>
      <c r="L1504" s="566"/>
      <c r="M1504" s="566"/>
      <c r="N1504" s="994" t="s">
        <v>2123</v>
      </c>
      <c r="O1504" s="1002">
        <f>'Part IX A-Scoring Criteria'!O186</f>
        <v>0</v>
      </c>
      <c r="P1504" s="960"/>
      <c r="Q1504" s="566"/>
    </row>
    <row r="1505" spans="1:17">
      <c r="A1505" s="566"/>
      <c r="B1505" s="1020" t="s">
        <v>2706</v>
      </c>
      <c r="C1505" s="566" t="s">
        <v>602</v>
      </c>
      <c r="D1505" s="566"/>
      <c r="E1505" s="566"/>
      <c r="F1505" s="566"/>
      <c r="G1505" s="566"/>
      <c r="H1505" s="566"/>
      <c r="I1505" s="566"/>
      <c r="J1505" s="566"/>
      <c r="K1505" s="566"/>
      <c r="L1505" s="566"/>
      <c r="M1505" s="566"/>
      <c r="N1505" s="994" t="s">
        <v>2706</v>
      </c>
      <c r="O1505" s="1002">
        <f>'Part IX A-Scoring Criteria'!O187</f>
        <v>0</v>
      </c>
      <c r="P1505" s="960"/>
      <c r="Q1505" s="566"/>
    </row>
    <row r="1506" spans="1:17">
      <c r="A1506" s="566"/>
      <c r="B1506" s="1020" t="s">
        <v>1300</v>
      </c>
      <c r="C1506" s="566" t="s">
        <v>603</v>
      </c>
      <c r="D1506" s="566"/>
      <c r="E1506" s="566"/>
      <c r="F1506" s="566"/>
      <c r="G1506" s="566"/>
      <c r="H1506" s="566"/>
      <c r="I1506" s="566"/>
      <c r="J1506" s="566"/>
      <c r="K1506" s="566"/>
      <c r="L1506" s="566"/>
      <c r="M1506" s="566"/>
      <c r="N1506" s="994" t="s">
        <v>1300</v>
      </c>
      <c r="O1506" s="1002">
        <f>'Part IX A-Scoring Criteria'!O188</f>
        <v>0</v>
      </c>
      <c r="P1506" s="960"/>
      <c r="Q1506" s="566"/>
    </row>
    <row r="1507" spans="1:17">
      <c r="A1507" s="566"/>
      <c r="B1507" s="1020" t="s">
        <v>1301</v>
      </c>
      <c r="C1507" s="566" t="s">
        <v>611</v>
      </c>
      <c r="D1507" s="566"/>
      <c r="E1507" s="566"/>
      <c r="F1507" s="566"/>
      <c r="G1507" s="566"/>
      <c r="H1507" s="566"/>
      <c r="I1507" s="566"/>
      <c r="J1507" s="566"/>
      <c r="K1507" s="566"/>
      <c r="L1507" s="566"/>
      <c r="M1507" s="566"/>
      <c r="N1507" s="994" t="s">
        <v>1301</v>
      </c>
      <c r="O1507" s="1002">
        <f>'Part IX A-Scoring Criteria'!O189</f>
        <v>0</v>
      </c>
      <c r="P1507" s="960"/>
      <c r="Q1507" s="566"/>
    </row>
    <row r="1508" spans="1:17" ht="15">
      <c r="A1508" s="947" t="s">
        <v>2117</v>
      </c>
      <c r="B1508" s="1018" t="s">
        <v>1972</v>
      </c>
      <c r="C1508" s="979"/>
      <c r="D1508" s="938"/>
      <c r="E1508" s="938"/>
      <c r="F1508" s="583"/>
      <c r="G1508" s="1005"/>
      <c r="H1508" s="1005"/>
      <c r="I1508" s="1005"/>
      <c r="J1508" s="938"/>
      <c r="K1508" s="1005"/>
      <c r="L1508" s="583"/>
      <c r="M1508" s="780">
        <v>4</v>
      </c>
      <c r="N1508" s="939" t="s">
        <v>2117</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2121</v>
      </c>
      <c r="C1509" s="968" t="s">
        <v>2817</v>
      </c>
      <c r="I1509" s="2338" t="s">
        <v>2125</v>
      </c>
      <c r="J1509" s="2338"/>
      <c r="L1509" s="1021" t="s">
        <v>2125</v>
      </c>
      <c r="N1509" s="994" t="s">
        <v>2121</v>
      </c>
      <c r="O1509" s="786"/>
      <c r="P1509" s="786"/>
    </row>
    <row r="1510" spans="1:17" ht="15">
      <c r="A1510" s="897"/>
      <c r="B1510" s="1022"/>
      <c r="C1510" s="939" t="s">
        <v>2598</v>
      </c>
      <c r="D1510" s="584" t="s">
        <v>1579</v>
      </c>
      <c r="E1510" s="979"/>
      <c r="F1510" s="979"/>
      <c r="G1510" s="979"/>
      <c r="H1510" s="566"/>
      <c r="I1510" s="2339">
        <f>'Part IX A-Scoring Criteria'!I192</f>
        <v>0</v>
      </c>
      <c r="J1510" s="2339"/>
      <c r="K1510" s="963"/>
      <c r="L1510" s="1023">
        <f>'Part IX A-Scoring Criteria'!L192</f>
        <v>0</v>
      </c>
      <c r="M1510" s="780"/>
      <c r="N1510" s="939" t="s">
        <v>2598</v>
      </c>
      <c r="O1510" s="1002">
        <f>'Part IX A-Scoring Criteria'!O192</f>
        <v>0</v>
      </c>
      <c r="P1510" s="960"/>
      <c r="Q1510" s="979"/>
    </row>
    <row r="1511" spans="1:17">
      <c r="A1511" s="924"/>
      <c r="B1511" s="784"/>
      <c r="C1511" s="958" t="s">
        <v>2599</v>
      </c>
      <c r="D1511" s="584" t="s">
        <v>1580</v>
      </c>
      <c r="H1511" s="566"/>
      <c r="I1511" s="2339">
        <f>'Part IX A-Scoring Criteria'!I193</f>
        <v>0</v>
      </c>
      <c r="J1511" s="2339"/>
      <c r="L1511" s="1023">
        <f>'Part IX A-Scoring Criteria'!L193</f>
        <v>0</v>
      </c>
      <c r="M1511" s="780"/>
      <c r="N1511" s="958" t="s">
        <v>2599</v>
      </c>
      <c r="O1511" s="1002">
        <f>'Part IX A-Scoring Criteria'!O193</f>
        <v>0</v>
      </c>
      <c r="P1511" s="960"/>
    </row>
    <row r="1512" spans="1:17">
      <c r="B1512" s="1020"/>
      <c r="C1512" s="939" t="s">
        <v>2600</v>
      </c>
      <c r="D1512" s="584" t="s">
        <v>2816</v>
      </c>
      <c r="H1512" s="566"/>
      <c r="I1512" s="2339">
        <f>'Part IX A-Scoring Criteria'!I194</f>
        <v>0</v>
      </c>
      <c r="J1512" s="2339"/>
      <c r="L1512" s="1023">
        <f>'Part IX A-Scoring Criteria'!L194</f>
        <v>0</v>
      </c>
      <c r="M1512" s="780"/>
      <c r="N1512" s="939" t="s">
        <v>2600</v>
      </c>
      <c r="O1512" s="1002">
        <f>'Part IX A-Scoring Criteria'!O194</f>
        <v>0</v>
      </c>
      <c r="P1512" s="960"/>
    </row>
    <row r="1513" spans="1:17">
      <c r="A1513" s="924"/>
      <c r="B1513" s="1020"/>
      <c r="C1513" s="939" t="s">
        <v>2601</v>
      </c>
      <c r="D1513" s="584" t="s">
        <v>3327</v>
      </c>
      <c r="I1513" s="2339">
        <f>'Part IX A-Scoring Criteria'!I195</f>
        <v>0</v>
      </c>
      <c r="J1513" s="2339"/>
      <c r="L1513" s="1023">
        <f>'Part IX A-Scoring Criteria'!L195</f>
        <v>0</v>
      </c>
      <c r="M1513" s="780"/>
      <c r="N1513" s="939" t="s">
        <v>2601</v>
      </c>
      <c r="O1513" s="1002">
        <f>'Part IX A-Scoring Criteria'!O195</f>
        <v>0</v>
      </c>
      <c r="P1513" s="960"/>
    </row>
    <row r="1514" spans="1:17" ht="15">
      <c r="A1514" s="897"/>
      <c r="B1514" s="1020"/>
      <c r="C1514" s="958" t="s">
        <v>2602</v>
      </c>
      <c r="D1514" s="584" t="s">
        <v>1581</v>
      </c>
      <c r="E1514" s="979"/>
      <c r="F1514" s="979"/>
      <c r="G1514" s="979"/>
      <c r="H1514" s="566"/>
      <c r="I1514" s="2339">
        <f>'Part IX A-Scoring Criteria'!I196</f>
        <v>0</v>
      </c>
      <c r="J1514" s="2339"/>
      <c r="K1514" s="963"/>
      <c r="L1514" s="1023">
        <f>'Part IX A-Scoring Criteria'!L196</f>
        <v>0</v>
      </c>
      <c r="M1514" s="780"/>
      <c r="N1514" s="958" t="s">
        <v>2602</v>
      </c>
      <c r="O1514" s="1002">
        <f>'Part IX A-Scoring Criteria'!O196</f>
        <v>0</v>
      </c>
      <c r="P1514" s="960"/>
      <c r="Q1514" s="979"/>
    </row>
    <row r="1515" spans="1:17">
      <c r="B1515" s="1020"/>
      <c r="C1515" s="939" t="s">
        <v>2618</v>
      </c>
      <c r="D1515" s="584" t="s">
        <v>1582</v>
      </c>
      <c r="H1515" s="566"/>
      <c r="I1515" s="2339">
        <f>'Part IX A-Scoring Criteria'!I197</f>
        <v>0</v>
      </c>
      <c r="J1515" s="2339"/>
      <c r="L1515" s="1023">
        <f>'Part IX A-Scoring Criteria'!L197</f>
        <v>0</v>
      </c>
      <c r="M1515" s="780"/>
      <c r="N1515" s="939" t="s">
        <v>2618</v>
      </c>
      <c r="O1515" s="1002">
        <f>'Part IX A-Scoring Criteria'!O197</f>
        <v>0</v>
      </c>
      <c r="P1515" s="960"/>
    </row>
    <row r="1516" spans="1:17">
      <c r="A1516" s="924"/>
      <c r="B1516" s="1020"/>
      <c r="C1516" s="939" t="s">
        <v>2619</v>
      </c>
      <c r="D1516" s="584" t="s">
        <v>1583</v>
      </c>
      <c r="H1516" s="566"/>
      <c r="I1516" s="2339">
        <f>'Part IX A-Scoring Criteria'!I198</f>
        <v>0</v>
      </c>
      <c r="J1516" s="2339"/>
      <c r="L1516" s="1023">
        <f>'Part IX A-Scoring Criteria'!L198</f>
        <v>0</v>
      </c>
      <c r="M1516" s="780"/>
      <c r="N1516" s="939" t="s">
        <v>2619</v>
      </c>
      <c r="O1516" s="1002">
        <f>'Part IX A-Scoring Criteria'!O198</f>
        <v>0</v>
      </c>
      <c r="P1516" s="960"/>
    </row>
    <row r="1517" spans="1:17">
      <c r="B1517" s="1020"/>
      <c r="C1517" s="939" t="s">
        <v>2620</v>
      </c>
      <c r="D1517" s="584" t="s">
        <v>2994</v>
      </c>
      <c r="H1517" s="566"/>
      <c r="I1517" s="2339">
        <f>'Part IX A-Scoring Criteria'!I199</f>
        <v>0</v>
      </c>
      <c r="J1517" s="2339"/>
      <c r="L1517" s="1023">
        <f>'Part IX A-Scoring Criteria'!L199</f>
        <v>0</v>
      </c>
      <c r="M1517" s="780"/>
      <c r="N1517" s="939" t="s">
        <v>2620</v>
      </c>
      <c r="O1517" s="1002">
        <f>'Part IX A-Scoring Criteria'!O199</f>
        <v>0</v>
      </c>
      <c r="P1517" s="960"/>
    </row>
    <row r="1518" spans="1:17">
      <c r="A1518" s="924"/>
      <c r="B1518" s="1020"/>
      <c r="C1518" s="939" t="s">
        <v>2621</v>
      </c>
      <c r="D1518" s="584" t="s">
        <v>3533</v>
      </c>
      <c r="H1518" s="566"/>
      <c r="I1518" s="2339">
        <f>'Part IX A-Scoring Criteria'!I200</f>
        <v>0</v>
      </c>
      <c r="J1518" s="2339"/>
      <c r="L1518" s="1023">
        <f>'Part IX A-Scoring Criteria'!L200</f>
        <v>0</v>
      </c>
      <c r="M1518" s="780"/>
      <c r="N1518" s="939" t="s">
        <v>2621</v>
      </c>
      <c r="O1518" s="1002">
        <f>'Part IX A-Scoring Criteria'!O200</f>
        <v>0</v>
      </c>
      <c r="P1518" s="960"/>
    </row>
    <row r="1519" spans="1:17">
      <c r="A1519" s="924"/>
      <c r="B1519" s="1020"/>
      <c r="C1519" s="939" t="s">
        <v>2622</v>
      </c>
      <c r="D1519" s="584" t="s">
        <v>3534</v>
      </c>
      <c r="H1519" s="566"/>
      <c r="I1519" s="2339">
        <f>'Part IX A-Scoring Criteria'!I201</f>
        <v>0</v>
      </c>
      <c r="J1519" s="2339"/>
      <c r="L1519" s="1023">
        <f>'Part IX A-Scoring Criteria'!L201</f>
        <v>0</v>
      </c>
      <c r="M1519" s="780"/>
      <c r="N1519" s="939" t="s">
        <v>2622</v>
      </c>
      <c r="O1519" s="1002">
        <f>'Part IX A-Scoring Criteria'!O201</f>
        <v>0</v>
      </c>
      <c r="P1519" s="960"/>
    </row>
    <row r="1520" spans="1:17">
      <c r="A1520" s="924"/>
      <c r="B1520" s="1020"/>
      <c r="C1520" s="939" t="s">
        <v>633</v>
      </c>
      <c r="D1520" s="584" t="s">
        <v>3535</v>
      </c>
      <c r="H1520" s="566"/>
      <c r="I1520" s="2339">
        <f>'Part IX A-Scoring Criteria'!I202</f>
        <v>0</v>
      </c>
      <c r="J1520" s="2339"/>
      <c r="L1520" s="1023">
        <f>'Part IX A-Scoring Criteria'!L202</f>
        <v>0</v>
      </c>
      <c r="M1520" s="780"/>
      <c r="N1520" s="939" t="s">
        <v>633</v>
      </c>
      <c r="O1520" s="1002">
        <f>'Part IX A-Scoring Criteria'!O202</f>
        <v>0</v>
      </c>
      <c r="P1520" s="960"/>
    </row>
    <row r="1521" spans="1:21">
      <c r="A1521" s="924"/>
      <c r="B1521" s="1020"/>
      <c r="D1521" s="938" t="s">
        <v>2819</v>
      </c>
      <c r="H1521" s="566"/>
      <c r="I1521" s="2339">
        <f>SUM(I1510:J1520)</f>
        <v>0</v>
      </c>
      <c r="J1521" s="2339"/>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2123</v>
      </c>
      <c r="C1523" s="968" t="s">
        <v>2818</v>
      </c>
      <c r="D1523" s="938" t="s">
        <v>2820</v>
      </c>
      <c r="I1523" s="2339">
        <f>'Part IV-Uses of Funds'!$G$130</f>
        <v>14532951</v>
      </c>
      <c r="J1523" s="2339"/>
    </row>
    <row r="1524" spans="1:21">
      <c r="B1524" s="994"/>
      <c r="C1524" s="1025"/>
      <c r="D1524" s="949" t="s">
        <v>2821</v>
      </c>
      <c r="G1524" s="1023"/>
      <c r="H1524" s="1023"/>
      <c r="I1524" s="2331">
        <f>IF($I1523=0,0,$I1521/$I1523)</f>
        <v>0</v>
      </c>
      <c r="J1524" s="2331"/>
      <c r="L1524" s="1026">
        <f>IF($I1523=0,0,$L1521/$I1523)</f>
        <v>0</v>
      </c>
    </row>
    <row r="1525" spans="1:21" ht="15">
      <c r="A1525" s="947" t="s">
        <v>2120</v>
      </c>
      <c r="B1525" s="1018" t="s">
        <v>2908</v>
      </c>
      <c r="C1525" s="979"/>
      <c r="D1525" s="584"/>
      <c r="E1525" s="584"/>
      <c r="F1525" s="888"/>
      <c r="G1525" s="979"/>
      <c r="H1525" s="584"/>
      <c r="I1525" s="888"/>
      <c r="J1525" s="938"/>
      <c r="K1525" s="938"/>
      <c r="L1525" s="938"/>
      <c r="M1525" s="780">
        <v>1</v>
      </c>
      <c r="N1525" s="939" t="s">
        <v>2120</v>
      </c>
      <c r="O1525" s="1002">
        <f>'Part IX A-Scoring Criteria'!O207</f>
        <v>0</v>
      </c>
      <c r="P1525" s="888"/>
      <c r="Q1525" s="995" t="s">
        <v>2946</v>
      </c>
    </row>
    <row r="1526" spans="1:21" ht="15">
      <c r="A1526" s="947"/>
      <c r="B1526" s="584" t="s">
        <v>3329</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798</v>
      </c>
      <c r="B1527" s="1018" t="s">
        <v>685</v>
      </c>
      <c r="C1527" s="979"/>
      <c r="D1527" s="584"/>
      <c r="E1527" s="584"/>
      <c r="F1527" s="888"/>
      <c r="G1527" s="888"/>
      <c r="H1527" s="888"/>
      <c r="I1527" s="888"/>
      <c r="J1527" s="938"/>
      <c r="K1527" s="938"/>
      <c r="L1527" s="938"/>
      <c r="M1527" s="780">
        <v>2</v>
      </c>
      <c r="N1527" s="939" t="s">
        <v>798</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3633</v>
      </c>
      <c r="E1528" s="948"/>
      <c r="I1528" s="2332">
        <f>'Part IX A-Scoring Criteria'!I210</f>
        <v>0</v>
      </c>
      <c r="J1528" s="2332"/>
      <c r="K1528" s="1026">
        <f>IF($I1528=0,0,$I1528/$I1523)</f>
        <v>0</v>
      </c>
      <c r="L1528" s="1023"/>
      <c r="M1528" s="2331">
        <f>IF($L1528=0,0,$L1528/$I1523)</f>
        <v>0</v>
      </c>
      <c r="N1528" s="2331"/>
      <c r="O1528" s="994"/>
      <c r="P1528" s="994"/>
    </row>
    <row r="1529" spans="1:21" ht="15">
      <c r="A1529" s="897"/>
      <c r="B1529" s="584" t="s">
        <v>3379</v>
      </c>
      <c r="C1529" s="979"/>
      <c r="D1529" s="979"/>
      <c r="E1529" s="2316">
        <f>'Part IX A-Scoring Criteria'!E211</f>
        <v>0</v>
      </c>
      <c r="F1529" s="2316"/>
      <c r="G1529" s="2316"/>
      <c r="H1529" s="2316"/>
      <c r="I1529" s="2316"/>
      <c r="J1529" s="2316"/>
      <c r="K1529" s="948" t="s">
        <v>1381</v>
      </c>
      <c r="L1529" s="2320" t="str">
        <f>'Part IX A-Scoring Criteria'!L211</f>
        <v>&lt;Select unrelated 3rd party type&gt;</v>
      </c>
      <c r="M1529" s="2320"/>
      <c r="N1529" s="2320"/>
      <c r="O1529" s="979"/>
      <c r="P1529" s="979"/>
      <c r="Q1529" s="979"/>
    </row>
    <row r="1530" spans="1:21">
      <c r="A1530" s="924"/>
      <c r="B1530" s="946" t="s">
        <v>2508</v>
      </c>
      <c r="D1530" s="957"/>
      <c r="E1530" s="2333">
        <f>'Part IX A-Scoring Criteria'!E212</f>
        <v>0</v>
      </c>
      <c r="F1530" s="2334"/>
      <c r="G1530" s="2334"/>
      <c r="H1530" s="2334"/>
      <c r="I1530" s="2334"/>
      <c r="J1530" s="2334"/>
      <c r="K1530" s="2334"/>
      <c r="L1530" s="2334"/>
      <c r="M1530" s="2334"/>
      <c r="N1530" s="2334"/>
      <c r="O1530" s="2334"/>
      <c r="P1530" s="2334"/>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319" t="str">
        <f>'Part IX A-Scoring Criteria'!A214</f>
        <v>This section is not applicable to this application</v>
      </c>
      <c r="B1532" s="2319"/>
      <c r="C1532" s="2319"/>
      <c r="D1532" s="2319"/>
      <c r="E1532" s="2319"/>
      <c r="F1532" s="2319"/>
      <c r="G1532" s="2319"/>
      <c r="H1532" s="2319"/>
      <c r="I1532" s="2319"/>
      <c r="J1532" s="2319"/>
      <c r="K1532" s="2319"/>
      <c r="L1532" s="2319"/>
      <c r="M1532" s="2319"/>
      <c r="N1532" s="2319"/>
      <c r="O1532" s="2319"/>
      <c r="P1532" s="2319"/>
      <c r="Q1532" s="980" t="s">
        <v>1331</v>
      </c>
    </row>
    <row r="1533" spans="1:21" ht="15">
      <c r="A1533" s="583"/>
      <c r="B1533" s="941" t="s">
        <v>1995</v>
      </c>
      <c r="C1533" s="583"/>
      <c r="D1533" s="941"/>
      <c r="E1533" s="901"/>
      <c r="F1533" s="901"/>
      <c r="G1533" s="901"/>
      <c r="H1533" s="901"/>
      <c r="I1533" s="901"/>
      <c r="J1533" s="901"/>
      <c r="K1533" s="901"/>
      <c r="L1533" s="901"/>
      <c r="M1533" s="901"/>
      <c r="N1533" s="981"/>
      <c r="O1533" s="606"/>
      <c r="P1533" s="888"/>
      <c r="Q1533" s="985"/>
    </row>
    <row r="1534" spans="1:21" ht="15.75">
      <c r="A1534" s="2319"/>
      <c r="B1534" s="2319"/>
      <c r="C1534" s="2319"/>
      <c r="D1534" s="2319"/>
      <c r="E1534" s="2319"/>
      <c r="F1534" s="2319"/>
      <c r="G1534" s="2319"/>
      <c r="H1534" s="2319"/>
      <c r="I1534" s="2319"/>
      <c r="J1534" s="2319"/>
      <c r="K1534" s="2319"/>
      <c r="L1534" s="2319"/>
      <c r="M1534" s="2319"/>
      <c r="N1534" s="2319"/>
      <c r="O1534" s="2319"/>
      <c r="P1534" s="2319"/>
      <c r="Q1534" s="980" t="s">
        <v>1331</v>
      </c>
    </row>
    <row r="1535" spans="1:21">
      <c r="N1535" s="784"/>
      <c r="O1535" s="786"/>
      <c r="P1535" s="786"/>
    </row>
    <row r="1536" spans="1:21" ht="15">
      <c r="A1536" s="976" t="s">
        <v>1786</v>
      </c>
      <c r="B1536" s="977" t="s">
        <v>1789</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2117</v>
      </c>
      <c r="B1537" s="887" t="s">
        <v>2996</v>
      </c>
      <c r="D1537" s="583"/>
      <c r="G1537" s="566" t="s">
        <v>2502</v>
      </c>
      <c r="M1537" s="780">
        <v>3</v>
      </c>
      <c r="N1537" s="939" t="s">
        <v>2117</v>
      </c>
      <c r="O1537" s="1002">
        <f>'Part IX A-Scoring Criteria'!O219</f>
        <v>0</v>
      </c>
      <c r="P1537" s="960"/>
      <c r="R1537" s="1004"/>
    </row>
    <row r="1538" spans="1:21" s="979" customFormat="1" ht="23.25" customHeight="1">
      <c r="A1538" s="984" t="s">
        <v>1439</v>
      </c>
      <c r="B1538" s="2335" t="s">
        <v>3598</v>
      </c>
      <c r="C1538" s="2336"/>
      <c r="D1538" s="2336"/>
      <c r="E1538" s="2336"/>
      <c r="F1538" s="2336"/>
      <c r="G1538" s="2336"/>
      <c r="H1538" s="2336"/>
      <c r="I1538" s="2336"/>
      <c r="J1538" s="2336"/>
      <c r="K1538" s="2336"/>
      <c r="L1538" s="2336"/>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2120</v>
      </c>
      <c r="B1540" s="887" t="s">
        <v>2995</v>
      </c>
      <c r="D1540" s="583"/>
      <c r="E1540" s="583"/>
      <c r="F1540" s="583"/>
      <c r="G1540" s="887" t="s">
        <v>3247</v>
      </c>
      <c r="I1540" s="890" t="str">
        <f>'Part I-Project Information'!$H$85</f>
        <v>Flexible</v>
      </c>
      <c r="R1540" s="1004"/>
    </row>
    <row r="1541" spans="1:21" s="979" customFormat="1" ht="12" customHeight="1">
      <c r="A1541" s="947"/>
      <c r="B1541" s="566" t="s">
        <v>2502</v>
      </c>
      <c r="D1541" s="583"/>
      <c r="M1541" s="1022">
        <v>3</v>
      </c>
      <c r="N1541" s="939" t="s">
        <v>2120</v>
      </c>
      <c r="O1541" s="1002" t="str">
        <f>'Part IX A-Scoring Criteria'!O223</f>
        <v>N/a</v>
      </c>
      <c r="P1541" s="960"/>
      <c r="R1541" s="1004"/>
    </row>
    <row r="1542" spans="1:21" s="979" customFormat="1" ht="23.25" customHeight="1">
      <c r="A1542" s="984"/>
      <c r="B1542" s="2335" t="s">
        <v>3598</v>
      </c>
      <c r="C1542" s="2336"/>
      <c r="D1542" s="2336"/>
      <c r="E1542" s="2336"/>
      <c r="F1542" s="2336"/>
      <c r="G1542" s="2336"/>
      <c r="H1542" s="2336"/>
      <c r="I1542" s="2336"/>
      <c r="J1542" s="2336"/>
      <c r="K1542" s="2336"/>
      <c r="L1542" s="2336"/>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319" t="str">
        <f>'Part IX A-Scoring Criteria'!A226</f>
        <v>This section is not applicable to this application</v>
      </c>
      <c r="B1544" s="2319"/>
      <c r="C1544" s="2319"/>
      <c r="D1544" s="2319"/>
      <c r="E1544" s="2319"/>
      <c r="F1544" s="2319"/>
      <c r="G1544" s="2319"/>
      <c r="H1544" s="2319"/>
      <c r="I1544" s="2319"/>
      <c r="J1544" s="2319"/>
      <c r="K1544" s="2319"/>
      <c r="L1544" s="2319"/>
      <c r="M1544" s="2319"/>
      <c r="N1544" s="2319"/>
      <c r="O1544" s="2319"/>
      <c r="P1544" s="2319"/>
      <c r="Q1544" s="980" t="s">
        <v>1331</v>
      </c>
    </row>
    <row r="1545" spans="1:21" ht="15">
      <c r="A1545" s="583"/>
      <c r="B1545" s="941" t="s">
        <v>1995</v>
      </c>
      <c r="C1545" s="583"/>
      <c r="D1545" s="941"/>
      <c r="E1545" s="901"/>
      <c r="F1545" s="901"/>
      <c r="G1545" s="901"/>
      <c r="H1545" s="901"/>
      <c r="I1545" s="901"/>
      <c r="J1545" s="901"/>
      <c r="K1545" s="901"/>
      <c r="L1545" s="901"/>
      <c r="M1545" s="901"/>
      <c r="N1545" s="981"/>
      <c r="O1545" s="606"/>
      <c r="P1545" s="888"/>
      <c r="Q1545" s="985"/>
    </row>
    <row r="1546" spans="1:21" ht="15.75">
      <c r="A1546" s="2319"/>
      <c r="B1546" s="2319"/>
      <c r="C1546" s="2319"/>
      <c r="D1546" s="2319"/>
      <c r="E1546" s="2319"/>
      <c r="F1546" s="2319"/>
      <c r="G1546" s="2319"/>
      <c r="H1546" s="2319"/>
      <c r="I1546" s="2319"/>
      <c r="J1546" s="2319"/>
      <c r="K1546" s="2319"/>
      <c r="L1546" s="2319"/>
      <c r="M1546" s="2319"/>
      <c r="N1546" s="2319"/>
      <c r="O1546" s="2319"/>
      <c r="P1546" s="2319"/>
      <c r="Q1546" s="980" t="s">
        <v>1331</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1787</v>
      </c>
      <c r="B1548" s="983" t="s">
        <v>2969</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2117</v>
      </c>
      <c r="B1549" s="887" t="s">
        <v>3331</v>
      </c>
      <c r="C1549" s="979"/>
      <c r="D1549" s="583"/>
      <c r="E1549" s="583"/>
      <c r="F1549" s="583"/>
      <c r="G1549" s="979"/>
      <c r="H1549" s="979"/>
      <c r="I1549" s="979"/>
      <c r="J1549" s="961" t="s">
        <v>3543</v>
      </c>
      <c r="K1549" s="1028">
        <f>'Part VI-Revenues &amp; Expenses'!$I$57/'Part VI-Revenues &amp; Expenses'!$M$58</f>
        <v>0.15748031496062992</v>
      </c>
      <c r="L1549" s="1004" t="str">
        <f>IF(OR($O1549=$M1549,$O1549=0,$O1549=""),"","* * Check Score! * *")</f>
        <v/>
      </c>
      <c r="M1549" s="780">
        <v>3</v>
      </c>
      <c r="N1549" s="939" t="s">
        <v>2117</v>
      </c>
      <c r="O1549" s="1002">
        <f>'Part IX A-Scoring Criteria'!O231</f>
        <v>3</v>
      </c>
      <c r="P1549" s="888"/>
      <c r="Q1549" s="995" t="s">
        <v>2946</v>
      </c>
    </row>
    <row r="1550" spans="1:21">
      <c r="A1550" s="956"/>
      <c r="B1550" s="1010" t="s">
        <v>2121</v>
      </c>
      <c r="C1550" s="2323" t="s">
        <v>3332</v>
      </c>
      <c r="D1550" s="2323"/>
      <c r="E1550" s="2323"/>
      <c r="F1550" s="2323"/>
      <c r="G1550" s="2323"/>
      <c r="H1550" s="2323"/>
      <c r="I1550" s="2323"/>
      <c r="J1550" s="2323"/>
      <c r="K1550" s="2323"/>
      <c r="L1550" s="2323"/>
      <c r="M1550" s="2323"/>
      <c r="N1550" s="1001" t="s">
        <v>2121</v>
      </c>
      <c r="O1550" s="1002" t="str">
        <f>'Part IX A-Scoring Criteria'!O232</f>
        <v>Agree</v>
      </c>
      <c r="P1550" s="1002"/>
      <c r="Q1550" s="1002"/>
    </row>
    <row r="1551" spans="1:21">
      <c r="A1551" s="984" t="s">
        <v>1439</v>
      </c>
      <c r="B1551" s="1010" t="s">
        <v>2123</v>
      </c>
      <c r="C1551" s="2323" t="s">
        <v>3333</v>
      </c>
      <c r="D1551" s="2323"/>
      <c r="E1551" s="2323"/>
      <c r="F1551" s="2323"/>
      <c r="G1551" s="2323"/>
      <c r="H1551" s="2323"/>
      <c r="I1551" s="2323"/>
      <c r="J1551" s="2323"/>
      <c r="K1551" s="2323"/>
      <c r="L1551" s="2323"/>
      <c r="M1551" s="2323"/>
      <c r="N1551" s="1001" t="s">
        <v>2123</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2120</v>
      </c>
      <c r="B1553" s="887" t="s">
        <v>2970</v>
      </c>
      <c r="C1553" s="979"/>
      <c r="D1553" s="938"/>
      <c r="E1553" s="979"/>
      <c r="F1553" s="584" t="s">
        <v>3334</v>
      </c>
      <c r="G1553" s="979"/>
      <c r="H1553" s="2320" t="str">
        <f>'Part IX A-Scoring Criteria'!H235</f>
        <v>&lt;&lt;Select applicable documentation&gt;&gt;</v>
      </c>
      <c r="I1553" s="2320"/>
      <c r="J1553" s="2320"/>
      <c r="K1553" s="2320"/>
      <c r="L1553" s="1004" t="str">
        <f>IF(OR($O1553=$M1553,$O1553=0,$O1553=""),"","* * Check Score! * *")</f>
        <v/>
      </c>
      <c r="M1553" s="780">
        <v>3</v>
      </c>
      <c r="N1553" s="939" t="s">
        <v>2120</v>
      </c>
      <c r="O1553" s="1002">
        <f>'Part IX A-Scoring Criteria'!O235</f>
        <v>0</v>
      </c>
      <c r="P1553" s="888"/>
      <c r="Q1553" s="995" t="s">
        <v>2946</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319" t="str">
        <f>'Part IX A-Scoring Criteria'!A237</f>
        <v xml:space="preserve">Applicant has partnered with Advatage, one of the premier Behavioral Health Service Providers in the Athens arae. Evidence of the MOU and Advatage's experience and capacity is provided in tab 36. Additionally, Applicant executed MOUs with two other qualified providers. Their respective experience and capacity are also provided in Tab 36.  </v>
      </c>
      <c r="B1555" s="2319"/>
      <c r="C1555" s="2319"/>
      <c r="D1555" s="2319"/>
      <c r="E1555" s="2319"/>
      <c r="F1555" s="2319"/>
      <c r="G1555" s="2319"/>
      <c r="H1555" s="2319"/>
      <c r="I1555" s="2319"/>
      <c r="J1555" s="2319"/>
      <c r="K1555" s="2319"/>
      <c r="L1555" s="2319"/>
      <c r="M1555" s="2319"/>
      <c r="N1555" s="2319"/>
      <c r="O1555" s="2319"/>
      <c r="P1555" s="2319"/>
      <c r="Q1555" s="980" t="s">
        <v>1331</v>
      </c>
    </row>
    <row r="1556" spans="1:21" ht="15">
      <c r="A1556" s="979"/>
      <c r="B1556" s="942" t="s">
        <v>1995</v>
      </c>
      <c r="C1556" s="583"/>
      <c r="D1556" s="942"/>
      <c r="E1556" s="944"/>
      <c r="F1556" s="944"/>
      <c r="G1556" s="944"/>
      <c r="H1556" s="944"/>
      <c r="I1556" s="944"/>
      <c r="J1556" s="944"/>
      <c r="K1556" s="944"/>
      <c r="L1556" s="944"/>
      <c r="M1556" s="944"/>
      <c r="N1556" s="991"/>
      <c r="O1556" s="992"/>
      <c r="P1556" s="888"/>
      <c r="Q1556" s="985"/>
    </row>
    <row r="1557" spans="1:21" ht="15.75">
      <c r="A1557" s="2319"/>
      <c r="B1557" s="2319"/>
      <c r="C1557" s="2319"/>
      <c r="D1557" s="2319"/>
      <c r="E1557" s="2319"/>
      <c r="F1557" s="2319"/>
      <c r="G1557" s="2319"/>
      <c r="H1557" s="2319"/>
      <c r="I1557" s="2319"/>
      <c r="J1557" s="2319"/>
      <c r="K1557" s="2319"/>
      <c r="L1557" s="2319"/>
      <c r="M1557" s="2319"/>
      <c r="N1557" s="2319"/>
      <c r="O1557" s="2319"/>
      <c r="P1557" s="2319"/>
      <c r="Q1557" s="980" t="s">
        <v>1331</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1788</v>
      </c>
      <c r="B1559" s="977" t="s">
        <v>2971</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2117</v>
      </c>
      <c r="B1560" s="946" t="s">
        <v>3336</v>
      </c>
      <c r="C1560" s="1030"/>
      <c r="D1560" s="946"/>
      <c r="E1560" s="2337" t="str">
        <f>'Part IX A-Scoring Criteria'!E242</f>
        <v>&lt;&lt;Select applicable status&gt;&gt;</v>
      </c>
      <c r="F1560" s="2337"/>
      <c r="G1560" s="2337"/>
      <c r="H1560" s="2337"/>
      <c r="I1560" s="1030"/>
      <c r="J1560" s="946" t="s">
        <v>3340</v>
      </c>
      <c r="K1560" s="1030"/>
      <c r="L1560" s="1031">
        <f>'Part III-Sources of Funds'!$H$42</f>
        <v>0</v>
      </c>
      <c r="M1560" s="1000">
        <v>2</v>
      </c>
      <c r="N1560" s="958" t="s">
        <v>2117</v>
      </c>
      <c r="O1560" s="1002">
        <f>'Part IX A-Scoring Criteria'!O242</f>
        <v>0</v>
      </c>
      <c r="P1560" s="888"/>
      <c r="Q1560" s="807" t="s">
        <v>2946</v>
      </c>
    </row>
    <row r="1561" spans="1:21" ht="15">
      <c r="A1561" s="1002"/>
      <c r="B1561" s="1032"/>
      <c r="C1561" s="1030"/>
      <c r="D1561" s="1030"/>
      <c r="E1561" s="1030"/>
      <c r="F1561" s="1030"/>
      <c r="G1561" s="1030"/>
      <c r="H1561" s="1030"/>
      <c r="I1561" s="1030"/>
      <c r="J1561" s="946" t="s">
        <v>3339</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3337</v>
      </c>
      <c r="K1562" s="1030"/>
      <c r="L1562" s="1031">
        <f>'Part VI-Revenues &amp; Expenses'!$M$62</f>
        <v>128</v>
      </c>
      <c r="M1562" s="1000"/>
      <c r="N1562" s="1000"/>
      <c r="O1562" s="1000"/>
      <c r="P1562" s="1000"/>
      <c r="Q1562" s="807"/>
    </row>
    <row r="1563" spans="1:21" ht="15">
      <c r="A1563" s="933" t="s">
        <v>1439</v>
      </c>
      <c r="B1563" s="1032"/>
      <c r="C1563" s="1030"/>
      <c r="D1563" s="1030"/>
      <c r="E1563" s="1030"/>
      <c r="F1563" s="959"/>
      <c r="G1563" s="890"/>
      <c r="H1563" s="935"/>
      <c r="I1563" s="890"/>
      <c r="J1563" s="938" t="s">
        <v>3338</v>
      </c>
      <c r="K1563" s="1030"/>
      <c r="L1563" s="890">
        <f>L1561/L1562</f>
        <v>0</v>
      </c>
      <c r="M1563" s="1000"/>
      <c r="N1563" s="1000"/>
      <c r="O1563" s="1000"/>
      <c r="P1563" s="1000"/>
      <c r="Q1563" s="807"/>
    </row>
    <row r="1564" spans="1:21">
      <c r="A1564" s="1029" t="s">
        <v>2120</v>
      </c>
      <c r="B1564" s="2319" t="s">
        <v>3013</v>
      </c>
      <c r="C1564" s="2319"/>
      <c r="D1564" s="2319"/>
      <c r="E1564" s="2319"/>
      <c r="F1564" s="2319"/>
      <c r="G1564" s="2319"/>
      <c r="H1564" s="2319"/>
      <c r="I1564" s="2319"/>
      <c r="J1564" s="2319"/>
      <c r="K1564" s="2319"/>
      <c r="L1564" s="2319"/>
      <c r="M1564" s="1000">
        <v>1</v>
      </c>
      <c r="N1564" s="958" t="s">
        <v>2120</v>
      </c>
      <c r="O1564" s="1002">
        <f>'Part IX A-Scoring Criteria'!O246</f>
        <v>0</v>
      </c>
      <c r="P1564" s="888"/>
      <c r="Q1564" s="807" t="s">
        <v>2946</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319" t="str">
        <f>'Part IX A-Scoring Criteria'!A248</f>
        <v>This section is not applicable to this application</v>
      </c>
      <c r="B1566" s="2319"/>
      <c r="C1566" s="2319"/>
      <c r="D1566" s="2319"/>
      <c r="E1566" s="2319"/>
      <c r="F1566" s="2319"/>
      <c r="G1566" s="2319"/>
      <c r="H1566" s="2319"/>
      <c r="I1566" s="2319"/>
      <c r="J1566" s="2319"/>
      <c r="K1566" s="2319"/>
      <c r="L1566" s="2319"/>
      <c r="M1566" s="2319"/>
      <c r="N1566" s="2319"/>
      <c r="O1566" s="2319"/>
      <c r="P1566" s="2319"/>
      <c r="Q1566" s="980" t="s">
        <v>1331</v>
      </c>
    </row>
    <row r="1567" spans="1:21" ht="15">
      <c r="A1567" s="979"/>
      <c r="B1567" s="942" t="s">
        <v>1995</v>
      </c>
      <c r="C1567" s="583"/>
      <c r="D1567" s="942"/>
      <c r="E1567" s="944"/>
      <c r="F1567" s="944"/>
      <c r="G1567" s="944"/>
      <c r="H1567" s="944"/>
      <c r="I1567" s="944"/>
      <c r="J1567" s="944"/>
      <c r="K1567" s="944"/>
      <c r="L1567" s="944"/>
      <c r="M1567" s="944"/>
      <c r="N1567" s="991"/>
      <c r="O1567" s="992"/>
      <c r="P1567" s="888"/>
      <c r="Q1567" s="985"/>
    </row>
    <row r="1568" spans="1:21" ht="15.75">
      <c r="A1568" s="2319"/>
      <c r="B1568" s="2319"/>
      <c r="C1568" s="2319"/>
      <c r="D1568" s="2319"/>
      <c r="E1568" s="2319"/>
      <c r="F1568" s="2319"/>
      <c r="G1568" s="2319"/>
      <c r="H1568" s="2319"/>
      <c r="I1568" s="2319"/>
      <c r="J1568" s="2319"/>
      <c r="K1568" s="2319"/>
      <c r="L1568" s="2319"/>
      <c r="M1568" s="2319"/>
      <c r="N1568" s="2319"/>
      <c r="O1568" s="2319"/>
      <c r="P1568" s="2319"/>
      <c r="Q1568" s="980" t="s">
        <v>1331</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1790</v>
      </c>
      <c r="B1570" s="977" t="s">
        <v>2822</v>
      </c>
      <c r="C1570" s="979"/>
      <c r="D1570" s="993"/>
      <c r="E1570" s="993"/>
      <c r="F1570" s="979"/>
      <c r="G1570" s="979"/>
      <c r="H1570" s="979"/>
      <c r="I1570" s="987" t="s">
        <v>3696</v>
      </c>
      <c r="J1570" s="993"/>
      <c r="K1570" s="993"/>
      <c r="L1570" s="979"/>
      <c r="M1570" s="1016">
        <v>5</v>
      </c>
      <c r="N1570" s="979"/>
      <c r="O1570" s="979"/>
      <c r="P1570" s="888"/>
      <c r="Q1570" s="888" t="s">
        <v>463</v>
      </c>
      <c r="U1570" s="975">
        <f>'Part IX A-Scoring Criteria'!O252</f>
        <v>0</v>
      </c>
    </row>
    <row r="1571" spans="1:21" ht="15">
      <c r="A1571" s="1013"/>
      <c r="B1571" s="979"/>
      <c r="C1571" s="979"/>
      <c r="D1571" s="2312" t="s">
        <v>3377</v>
      </c>
      <c r="E1571" s="2312"/>
      <c r="F1571" s="2329">
        <f>'Part IV-Uses of Funds'!J1489</f>
        <v>0</v>
      </c>
      <c r="G1571" s="2330"/>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3697</v>
      </c>
      <c r="J1572" s="993"/>
      <c r="K1572" s="993"/>
      <c r="L1572" s="979"/>
      <c r="M1572" s="780">
        <v>18</v>
      </c>
      <c r="N1572" s="780"/>
      <c r="O1572" s="888">
        <f>MIN($M1572,(O1573+O1576+O1579+O1581+O1584+O1587))</f>
        <v>11</v>
      </c>
      <c r="P1572" s="888">
        <f>MIN($M1572,(P1573+P1576+P1579+P1581+P1584+P1587))</f>
        <v>0</v>
      </c>
      <c r="Q1572" s="888"/>
    </row>
    <row r="1573" spans="1:21">
      <c r="A1573" s="1013"/>
      <c r="B1573" s="947" t="s">
        <v>2117</v>
      </c>
      <c r="C1573" s="2325" t="s">
        <v>3341</v>
      </c>
      <c r="D1573" s="2325"/>
      <c r="E1573" s="2325"/>
      <c r="F1573" s="2325"/>
      <c r="G1573" s="2325"/>
      <c r="H1573" s="2325"/>
      <c r="I1573" s="2325"/>
      <c r="J1573" s="2325"/>
      <c r="K1573" s="2325"/>
      <c r="L1573" s="2325"/>
      <c r="M1573" s="1000">
        <v>6</v>
      </c>
      <c r="N1573" s="993"/>
      <c r="O1573" s="2324">
        <f>'Part IX A-Scoring Criteria'!O255</f>
        <v>5</v>
      </c>
      <c r="P1573" s="2324"/>
      <c r="Q1573" s="807"/>
    </row>
    <row r="1574" spans="1:21">
      <c r="A1574" s="933" t="s">
        <v>1439</v>
      </c>
      <c r="B1574" s="956" t="s">
        <v>2120</v>
      </c>
      <c r="C1574" s="2323" t="s">
        <v>3593</v>
      </c>
      <c r="D1574" s="2323"/>
      <c r="E1574" s="2323"/>
      <c r="F1574" s="2323"/>
      <c r="G1574" s="2323"/>
      <c r="H1574" s="2323"/>
      <c r="I1574" s="2323"/>
      <c r="J1574" s="2323"/>
      <c r="K1574" s="2323"/>
      <c r="L1574" s="2323"/>
      <c r="M1574" s="1000">
        <v>5</v>
      </c>
      <c r="N1574" s="1033"/>
      <c r="O1574" s="2324"/>
      <c r="P1574" s="2324"/>
      <c r="Q1574" s="807" t="s">
        <v>2946</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798</v>
      </c>
      <c r="C1576" s="2323" t="s">
        <v>3343</v>
      </c>
      <c r="D1576" s="2323"/>
      <c r="E1576" s="2323"/>
      <c r="F1576" s="2323"/>
      <c r="G1576" s="2323"/>
      <c r="H1576" s="2323"/>
      <c r="I1576" s="2323"/>
      <c r="J1576" s="2323"/>
      <c r="K1576" s="2323"/>
      <c r="L1576" s="2323"/>
      <c r="M1576" s="1000">
        <v>4</v>
      </c>
      <c r="N1576" s="1033"/>
      <c r="O1576" s="2324">
        <f>'Part IX A-Scoring Criteria'!O258</f>
        <v>0</v>
      </c>
      <c r="P1576" s="2324"/>
      <c r="Q1576" s="807" t="s">
        <v>2946</v>
      </c>
    </row>
    <row r="1577" spans="1:21">
      <c r="A1577" s="933" t="s">
        <v>1439</v>
      </c>
      <c r="B1577" s="956"/>
      <c r="C1577" s="2323" t="s">
        <v>3342</v>
      </c>
      <c r="D1577" s="2323"/>
      <c r="E1577" s="2323"/>
      <c r="F1577" s="2323"/>
      <c r="G1577" s="2323"/>
      <c r="H1577" s="2323"/>
      <c r="I1577" s="2323"/>
      <c r="J1577" s="2323"/>
      <c r="K1577" s="2323"/>
      <c r="L1577" s="2323"/>
      <c r="M1577" s="1000">
        <v>2</v>
      </c>
      <c r="N1577" s="1033"/>
      <c r="O1577" s="2324"/>
      <c r="P1577" s="2324"/>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2252</v>
      </c>
      <c r="C1579" s="2323" t="s">
        <v>3344</v>
      </c>
      <c r="D1579" s="2323"/>
      <c r="E1579" s="2323"/>
      <c r="F1579" s="2323"/>
      <c r="G1579" s="2323"/>
      <c r="H1579" s="2323"/>
      <c r="I1579" s="2323"/>
      <c r="J1579" s="2323"/>
      <c r="K1579" s="2323"/>
      <c r="L1579" s="2323"/>
      <c r="M1579" s="1000">
        <v>1</v>
      </c>
      <c r="N1579" s="1033"/>
      <c r="O1579" s="1002">
        <f>'Part IX A-Scoring Criteria'!O261</f>
        <v>1</v>
      </c>
      <c r="P1579" s="1002"/>
      <c r="Q1579" s="807" t="s">
        <v>2946</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1856</v>
      </c>
      <c r="C1581" s="2323" t="s">
        <v>3347</v>
      </c>
      <c r="D1581" s="2323"/>
      <c r="E1581" s="2323"/>
      <c r="F1581" s="2323"/>
      <c r="G1581" s="2323"/>
      <c r="H1581" s="2323"/>
      <c r="I1581" s="2323"/>
      <c r="J1581" s="2323"/>
      <c r="K1581" s="2323"/>
      <c r="L1581" s="2323"/>
      <c r="M1581" s="1000">
        <v>2</v>
      </c>
      <c r="N1581" s="993"/>
      <c r="O1581" s="2324">
        <f>'Part IX A-Scoring Criteria'!O263</f>
        <v>2</v>
      </c>
      <c r="P1581" s="2324"/>
      <c r="Q1581" s="807" t="s">
        <v>2946</v>
      </c>
    </row>
    <row r="1582" spans="1:21">
      <c r="A1582" s="933" t="s">
        <v>1439</v>
      </c>
      <c r="B1582" s="947"/>
      <c r="C1582" s="2325" t="s">
        <v>3345</v>
      </c>
      <c r="D1582" s="2325"/>
      <c r="E1582" s="2325"/>
      <c r="F1582" s="2325"/>
      <c r="G1582" s="2325"/>
      <c r="H1582" s="2325"/>
      <c r="I1582" s="2325"/>
      <c r="J1582" s="2325"/>
      <c r="K1582" s="2325"/>
      <c r="L1582" s="2325"/>
      <c r="M1582" s="784">
        <v>1</v>
      </c>
      <c r="N1582" s="993"/>
      <c r="O1582" s="2324"/>
      <c r="P1582" s="2324"/>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1857</v>
      </c>
      <c r="C1584" s="2323" t="s">
        <v>3346</v>
      </c>
      <c r="D1584" s="2323"/>
      <c r="E1584" s="2323"/>
      <c r="F1584" s="2323"/>
      <c r="G1584" s="2323"/>
      <c r="H1584" s="2323"/>
      <c r="I1584" s="2323"/>
      <c r="J1584" s="2323"/>
      <c r="K1584" s="2323"/>
      <c r="L1584" s="2323"/>
      <c r="M1584" s="1000">
        <v>3</v>
      </c>
      <c r="N1584" s="1033"/>
      <c r="O1584" s="2324">
        <f>'Part IX A-Scoring Criteria'!O266</f>
        <v>1</v>
      </c>
      <c r="P1584" s="2324"/>
      <c r="Q1584" s="807" t="s">
        <v>2946</v>
      </c>
    </row>
    <row r="1585" spans="1:21">
      <c r="A1585" s="933" t="s">
        <v>1439</v>
      </c>
      <c r="B1585" s="956"/>
      <c r="C1585" s="2323" t="s">
        <v>3348</v>
      </c>
      <c r="D1585" s="2323"/>
      <c r="E1585" s="2323"/>
      <c r="F1585" s="2323"/>
      <c r="G1585" s="2323"/>
      <c r="H1585" s="2323"/>
      <c r="I1585" s="2323"/>
      <c r="J1585" s="2323"/>
      <c r="K1585" s="2323"/>
      <c r="L1585" s="2323"/>
      <c r="M1585" s="1000">
        <v>1</v>
      </c>
      <c r="N1585" s="1033"/>
      <c r="O1585" s="2324"/>
      <c r="P1585" s="2324"/>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2080</v>
      </c>
      <c r="C1587" s="2325" t="s">
        <v>3349</v>
      </c>
      <c r="D1587" s="2325"/>
      <c r="E1587" s="2325"/>
      <c r="F1587" s="2325"/>
      <c r="G1587" s="2325"/>
      <c r="H1587" s="2325"/>
      <c r="I1587" s="2325"/>
      <c r="J1587" s="2325"/>
      <c r="K1587" s="2325"/>
      <c r="L1587" s="2325"/>
      <c r="M1587" s="782">
        <v>2</v>
      </c>
      <c r="N1587" s="993"/>
      <c r="O1587" s="1002">
        <f>'Part IX A-Scoring Criteria'!O269</f>
        <v>2</v>
      </c>
      <c r="P1587" s="1002"/>
      <c r="Q1587" s="807" t="s">
        <v>2946</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319" t="str">
        <f>'Part IX A-Scoring Criteria'!A272</f>
        <v xml:space="preserve">Documentation that the average occupancy is at least 90% for the 6 month period prior to application submission is located in Tab 38. Documentation that the property's compliance period began at least 18 years prior to the application deadline is located in Tab 38. Construction hard costs are 47.36% of the Total Development Costs. This is evident by dividing total construction hard costs by the total development costs in Part IV - Uses of Funds. </v>
      </c>
      <c r="B1590" s="2319"/>
      <c r="C1590" s="2319"/>
      <c r="D1590" s="2319"/>
      <c r="E1590" s="2319"/>
      <c r="F1590" s="2319"/>
      <c r="G1590" s="2319"/>
      <c r="H1590" s="2319"/>
      <c r="I1590" s="2319"/>
      <c r="J1590" s="2319"/>
      <c r="K1590" s="2319"/>
      <c r="L1590" s="2319"/>
      <c r="M1590" s="2319"/>
      <c r="N1590" s="2319"/>
      <c r="O1590" s="2319"/>
      <c r="P1590" s="2319"/>
      <c r="Q1590" s="980" t="s">
        <v>1331</v>
      </c>
    </row>
    <row r="1591" spans="1:21" ht="15">
      <c r="A1591" s="583"/>
      <c r="B1591" s="942" t="s">
        <v>1995</v>
      </c>
      <c r="C1591" s="583"/>
      <c r="D1591" s="942"/>
      <c r="E1591" s="944"/>
      <c r="F1591" s="944"/>
      <c r="G1591" s="944"/>
      <c r="H1591" s="944"/>
      <c r="I1591" s="944"/>
      <c r="J1591" s="944"/>
      <c r="K1591" s="944"/>
      <c r="L1591" s="944"/>
      <c r="M1591" s="944"/>
      <c r="N1591" s="991"/>
      <c r="O1591" s="992"/>
      <c r="P1591" s="888"/>
      <c r="Q1591" s="985"/>
    </row>
    <row r="1592" spans="1:21" ht="15.75">
      <c r="A1592" s="2319"/>
      <c r="B1592" s="2319"/>
      <c r="C1592" s="2319"/>
      <c r="D1592" s="2319"/>
      <c r="E1592" s="2319"/>
      <c r="F1592" s="2319"/>
      <c r="G1592" s="2319"/>
      <c r="H1592" s="2319"/>
      <c r="I1592" s="2319"/>
      <c r="J1592" s="2319"/>
      <c r="K1592" s="2319"/>
      <c r="L1592" s="2319"/>
      <c r="M1592" s="2319"/>
      <c r="N1592" s="2319"/>
      <c r="O1592" s="2319"/>
      <c r="P1592" s="2319"/>
      <c r="Q1592" s="980" t="s">
        <v>1331</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3350</v>
      </c>
      <c r="B1594" s="977" t="s">
        <v>3351</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328" t="s">
        <v>3596</v>
      </c>
      <c r="C1595" s="2328"/>
      <c r="D1595" s="2328"/>
      <c r="E1595" s="2328"/>
      <c r="F1595" s="2328"/>
      <c r="G1595" s="2328"/>
      <c r="H1595" s="2328"/>
      <c r="I1595" s="2328"/>
      <c r="J1595" s="2328"/>
      <c r="K1595" s="2328"/>
      <c r="L1595" s="2328"/>
      <c r="M1595" s="2328"/>
      <c r="N1595" s="2328"/>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3362</v>
      </c>
      <c r="C1598" s="901"/>
      <c r="D1598" s="2316">
        <f>'Part IX A-Scoring Criteria'!D280</f>
        <v>0</v>
      </c>
      <c r="E1598" s="2316"/>
      <c r="F1598" s="2316"/>
      <c r="G1598" s="2316"/>
      <c r="H1598" s="935" t="s">
        <v>3364</v>
      </c>
      <c r="I1598" s="1037">
        <f>'Part IX A-Scoring Criteria'!I280</f>
        <v>0</v>
      </c>
      <c r="J1598" s="1037" t="s">
        <v>3363</v>
      </c>
      <c r="K1598" s="2316">
        <f>'Part IX A-Scoring Criteria'!K280</f>
        <v>0</v>
      </c>
      <c r="L1598" s="2316"/>
      <c r="M1598" s="2316"/>
      <c r="N1598" s="2316"/>
      <c r="O1598" s="2316"/>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326" t="s">
        <v>3402</v>
      </c>
      <c r="C1600" s="2326"/>
      <c r="D1600" s="2326"/>
      <c r="E1600" s="2327" t="s">
        <v>3634</v>
      </c>
      <c r="F1600" s="2327"/>
      <c r="G1600" s="584"/>
      <c r="H1600" s="584"/>
      <c r="I1600" s="2313" t="s">
        <v>3635</v>
      </c>
      <c r="J1600" s="2313"/>
      <c r="K1600" s="584"/>
      <c r="L1600" s="584"/>
      <c r="M1600" s="2317" t="s">
        <v>3403</v>
      </c>
      <c r="N1600" s="2317"/>
      <c r="O1600" s="2317"/>
      <c r="P1600" s="2317"/>
      <c r="Q1600" s="566"/>
    </row>
    <row r="1601" spans="1:17">
      <c r="A1601" s="940"/>
      <c r="B1601" s="584" t="s">
        <v>3400</v>
      </c>
      <c r="C1601" s="807"/>
      <c r="D1601" s="807"/>
      <c r="E1601" s="964" t="s">
        <v>3356</v>
      </c>
      <c r="F1601" s="964" t="s">
        <v>3357</v>
      </c>
      <c r="G1601" s="935" t="s">
        <v>3399</v>
      </c>
      <c r="H1601" s="584"/>
      <c r="I1601" s="964" t="s">
        <v>3356</v>
      </c>
      <c r="J1601" s="964" t="s">
        <v>3357</v>
      </c>
      <c r="K1601" s="935" t="s">
        <v>3399</v>
      </c>
      <c r="L1601" s="584"/>
      <c r="M1601" s="2312" t="s">
        <v>3400</v>
      </c>
      <c r="N1601" s="2312"/>
      <c r="O1601" s="584" t="s">
        <v>3401</v>
      </c>
      <c r="P1601" s="584" t="s">
        <v>3404</v>
      </c>
      <c r="Q1601" s="566"/>
    </row>
    <row r="1602" spans="1:17">
      <c r="A1602" s="940"/>
      <c r="B1602" s="949" t="s">
        <v>3352</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314" t="str">
        <f>IF(AND(G1602=0,K1602=0),"n/a",IF(G1602&gt;K1602,"Yes", "No"))</f>
        <v>n/a</v>
      </c>
      <c r="N1602" s="2314"/>
      <c r="O1602" s="2312" t="str">
        <f>IF(AND(M1602="n/a",M1603="n/a",M1604="n/a",M1605="n/a",M1606="n/a"),"n/a",IF(AND(M1602="Yes",M1603="Yes",M1604="Yes",M1605="Yes",M1606="Yes"),"Yes",IF(OR(M1602="No",M1603="No",M1604="No",M1605="No",M1606="No"), "No", "No")))</f>
        <v>n/a</v>
      </c>
      <c r="P1602" s="566"/>
      <c r="Q1602" s="566"/>
    </row>
    <row r="1603" spans="1:17">
      <c r="A1603" s="940"/>
      <c r="B1603" s="949" t="s">
        <v>3358</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314" t="str">
        <f>IF(AND(G1603=0,K1603=0),"n/a",IF(G1603&gt;K1603,"Yes", "No"))</f>
        <v>n/a</v>
      </c>
      <c r="N1603" s="2314"/>
      <c r="O1603" s="2312"/>
      <c r="P1603" s="566"/>
      <c r="Q1603" s="566"/>
    </row>
    <row r="1604" spans="1:17">
      <c r="A1604" s="940"/>
      <c r="B1604" s="949" t="s">
        <v>3353</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314" t="str">
        <f>IF(AND(G1604=0,K1604=0),"n/a",IF(G1604&gt;K1604,"Yes", "No"))</f>
        <v>n/a</v>
      </c>
      <c r="N1604" s="2314"/>
      <c r="O1604" s="2312"/>
      <c r="P1604" s="566"/>
      <c r="Q1604" s="566"/>
    </row>
    <row r="1605" spans="1:17">
      <c r="A1605" s="940"/>
      <c r="B1605" s="949" t="s">
        <v>3354</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314" t="str">
        <f>IF(AND(G1605=0,K1605=0),"n/a",IF(G1605&gt;K1605,"Yes", "No"))</f>
        <v>n/a</v>
      </c>
      <c r="N1605" s="2314"/>
      <c r="O1605" s="2312"/>
      <c r="P1605" s="566"/>
      <c r="Q1605" s="566"/>
    </row>
    <row r="1606" spans="1:17">
      <c r="A1606" s="940"/>
      <c r="B1606" s="949" t="s">
        <v>3355</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314" t="str">
        <f>IF(AND(G1606=0,K1606=0),"n/a",IF(G1606&gt;K1606,"Yes", "No"))</f>
        <v>n/a</v>
      </c>
      <c r="N1606" s="2314"/>
      <c r="O1606" s="2312"/>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3352</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314" t="str">
        <f>IF(AND(G1608=0,K1608=0),"n/a",IF(G1608&gt;K1608,"Yes", "No"))</f>
        <v>n/a</v>
      </c>
      <c r="N1608" s="2314"/>
      <c r="O1608" s="2312" t="str">
        <f>IF(AND(M1608="n/a",M1609="n/a",M1610="n/a",M1611="n/a",M1612="n/a"),"n/a",IF(AND(M1608="Yes",M1609="Yes",M1610="Yes",M1611="Yes",M1612="Yes"),"Yes",IF(OR(M1608="No",M1609="No",M1610="No",M1611="No",M1612="No"), "No", "No")))</f>
        <v>n/a</v>
      </c>
      <c r="P1608" s="566"/>
      <c r="Q1608" s="566"/>
    </row>
    <row r="1609" spans="1:17">
      <c r="A1609" s="940"/>
      <c r="B1609" s="949" t="s">
        <v>3358</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314" t="str">
        <f>IF(AND(G1609=0,K1609=0),"n/a",IF(G1609&gt;K1609,"Yes", "No"))</f>
        <v>n/a</v>
      </c>
      <c r="N1609" s="2314"/>
      <c r="O1609" s="2312"/>
      <c r="P1609" s="566"/>
      <c r="Q1609" s="566"/>
    </row>
    <row r="1610" spans="1:17">
      <c r="A1610" s="940"/>
      <c r="B1610" s="949" t="s">
        <v>3353</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314" t="str">
        <f>IF(AND(G1610=0,K1610=0),"n/a",IF(G1610&gt;K1610,"Yes", "No"))</f>
        <v>n/a</v>
      </c>
      <c r="N1610" s="2314"/>
      <c r="O1610" s="2312"/>
      <c r="P1610" s="968"/>
      <c r="Q1610" s="566"/>
    </row>
    <row r="1611" spans="1:17">
      <c r="A1611" s="940"/>
      <c r="B1611" s="949" t="s">
        <v>3354</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314" t="str">
        <f>IF(AND(G1611=0,K1611=0),"n/a",IF(G1611&gt;K1611,"Yes", "No"))</f>
        <v>n/a</v>
      </c>
      <c r="N1611" s="2314"/>
      <c r="O1611" s="2312"/>
      <c r="P1611" s="566"/>
      <c r="Q1611" s="566"/>
    </row>
    <row r="1612" spans="1:17">
      <c r="A1612" s="940"/>
      <c r="B1612" s="949" t="s">
        <v>3355</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314" t="str">
        <f>IF(AND(G1612=0,K1612=0),"n/a",IF(G1612&gt;K1612,"Yes", "No"))</f>
        <v>n/a</v>
      </c>
      <c r="N1612" s="2314"/>
      <c r="O1612" s="2312"/>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313" t="s">
        <v>3636</v>
      </c>
      <c r="F1614" s="2313"/>
      <c r="G1614" s="584"/>
      <c r="H1614" s="584"/>
      <c r="I1614" s="2313" t="s">
        <v>3635</v>
      </c>
      <c r="J1614" s="2313"/>
      <c r="K1614" s="584"/>
      <c r="L1614" s="584"/>
      <c r="M1614" s="584"/>
      <c r="N1614" s="584"/>
      <c r="O1614" s="584"/>
      <c r="P1614" s="903"/>
      <c r="Q1614" s="566"/>
    </row>
    <row r="1615" spans="1:17" ht="15">
      <c r="A1615" s="947"/>
      <c r="B1615" s="949" t="s">
        <v>3352</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314" t="str">
        <f>IF(AND(G1615=0,K1615=0),"n/a",IF(G1615&gt;K1615,"Yes", "No"))</f>
        <v>n/a</v>
      </c>
      <c r="N1615" s="2314"/>
      <c r="O1615" s="2312" t="str">
        <f>IF(AND(M1615="n/a",M1616="n/a",M1617="n/a",M1618="n/a",M1619="n/a"),"n/a",IF(AND(M1615="Yes",M1616="Yes",M1617="Yes",M1618="Yes",M1619="Yes"),"Yes",IF(OR(M1615="No",M1616="No",M1617="No",M1618="No",M1619="No"), "No", "No")))</f>
        <v>n/a</v>
      </c>
      <c r="P1615" s="2315"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3358</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314" t="str">
        <f>IF(AND(G1616=0,K1616=0),"n/a",IF(G1616&gt;K1616,"Yes", "No"))</f>
        <v>n/a</v>
      </c>
      <c r="N1616" s="2314"/>
      <c r="O1616" s="2312"/>
      <c r="P1616" s="2315"/>
      <c r="Q1616" s="566"/>
    </row>
    <row r="1617" spans="1:17">
      <c r="A1617" s="940"/>
      <c r="B1617" s="949" t="s">
        <v>3353</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314" t="str">
        <f>IF(AND(G1617=0,K1617=0),"n/a",IF(G1617&gt;K1617,"Yes", "No"))</f>
        <v>n/a</v>
      </c>
      <c r="N1617" s="2314"/>
      <c r="O1617" s="2312"/>
      <c r="P1617" s="2315"/>
      <c r="Q1617" s="566"/>
    </row>
    <row r="1618" spans="1:17">
      <c r="A1618" s="940"/>
      <c r="B1618" s="949" t="s">
        <v>3354</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314" t="str">
        <f>IF(AND(G1618=0,K1618=0),"n/a",IF(G1618&gt;K1618,"Yes", "No"))</f>
        <v>n/a</v>
      </c>
      <c r="N1618" s="2314"/>
      <c r="O1618" s="2312"/>
      <c r="P1618" s="2315"/>
      <c r="Q1618" s="566"/>
    </row>
    <row r="1619" spans="1:17">
      <c r="A1619" s="940"/>
      <c r="B1619" s="949" t="s">
        <v>3355</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314" t="str">
        <f>IF(AND(G1619=0,K1619=0),"n/a",IF(G1619&gt;K1619,"Yes", "No"))</f>
        <v>n/a</v>
      </c>
      <c r="N1619" s="2314"/>
      <c r="O1619" s="2312"/>
      <c r="P1619" s="2315"/>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3352</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314" t="str">
        <f>IF(AND(G1621=0,K1621=0),"n/a",IF(G1621&gt;K1621,"Yes", "No"))</f>
        <v>n/a</v>
      </c>
      <c r="N1621" s="2314"/>
      <c r="O1621" s="2312" t="str">
        <f>IF(AND(M1621="n/a",M1622="n/a",M1623="n/a",M1624="n/a",M1625="n/a"),"n/a",IF(AND(M1621="Yes",M1622="Yes",M1623="Yes",M1624="Yes",M1625="Yes"),"Yes",IF(OR(M1621="No",M1622="No",M1623="No",M1624="No",M1625="No"), "No", "No")))</f>
        <v>n/a</v>
      </c>
      <c r="P1621" s="231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3358</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314" t="str">
        <f>IF(AND(G1622=0,K1622=0),"n/a",IF(G1622&gt;K1622,"Yes", "No"))</f>
        <v>n/a</v>
      </c>
      <c r="N1622" s="2314"/>
      <c r="O1622" s="2312"/>
      <c r="P1622" s="2315"/>
      <c r="Q1622" s="979"/>
    </row>
    <row r="1623" spans="1:17" ht="13.5" customHeight="1">
      <c r="A1623" s="940"/>
      <c r="B1623" s="949" t="s">
        <v>3353</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314" t="str">
        <f>IF(AND(G1623=0,K1623=0),"n/a",IF(G1623&gt;K1623,"Yes", "No"))</f>
        <v>n/a</v>
      </c>
      <c r="N1623" s="2314"/>
      <c r="O1623" s="2312"/>
      <c r="P1623" s="2315"/>
      <c r="Q1623" s="566"/>
    </row>
    <row r="1624" spans="1:17">
      <c r="A1624" s="940"/>
      <c r="B1624" s="949" t="s">
        <v>3354</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314" t="str">
        <f>IF(AND(G1624=0,K1624=0),"n/a",IF(G1624&gt;K1624,"Yes", "No"))</f>
        <v>n/a</v>
      </c>
      <c r="N1624" s="2314"/>
      <c r="O1624" s="2312"/>
      <c r="P1624" s="2315"/>
      <c r="Q1624" s="566"/>
    </row>
    <row r="1625" spans="1:17">
      <c r="A1625" s="940"/>
      <c r="B1625" s="949" t="s">
        <v>3355</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314" t="str">
        <f>IF(AND(G1625=0,K1625=0),"n/a",IF(G1625&gt;K1625,"Yes", "No"))</f>
        <v>n/a</v>
      </c>
      <c r="N1625" s="2314"/>
      <c r="O1625" s="2312"/>
      <c r="P1625" s="2315"/>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313" t="s">
        <v>3637</v>
      </c>
      <c r="F1627" s="2313"/>
      <c r="G1627" s="584"/>
      <c r="H1627" s="584"/>
      <c r="I1627" s="2313" t="s">
        <v>3635</v>
      </c>
      <c r="J1627" s="2313"/>
      <c r="K1627" s="584"/>
      <c r="L1627" s="584"/>
      <c r="M1627" s="584"/>
      <c r="N1627" s="584"/>
      <c r="O1627" s="584"/>
      <c r="P1627" s="903"/>
      <c r="Q1627" s="566"/>
    </row>
    <row r="1628" spans="1:17">
      <c r="A1628" s="940"/>
      <c r="B1628" s="949" t="s">
        <v>3352</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314" t="str">
        <f>IF(AND(G1628=0,K1628=0),"n/a",IF(G1628&gt;K1628,"Yes", "No"))</f>
        <v>n/a</v>
      </c>
      <c r="N1628" s="2314"/>
      <c r="O1628" s="2312" t="str">
        <f>IF(AND(M1628="n/a",M1629="n/a",M1630="n/a",M1631="n/a",M1632="n/a"),"n/a",IF(AND(M1628="Yes",M1629="Yes",M1630="Yes",M1631="Yes",M1632="Yes"),"Yes",IF(OR(M1628="No",M1629="No",M1630="No",M1631="No",M1632="No"), "No", "No")))</f>
        <v>n/a</v>
      </c>
      <c r="P1628" s="903"/>
      <c r="Q1628" s="566"/>
    </row>
    <row r="1629" spans="1:17">
      <c r="A1629" s="940"/>
      <c r="B1629" s="949" t="s">
        <v>3358</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314" t="str">
        <f>IF(AND(G1629=0,K1629=0),"n/a",IF(G1629&gt;K1629,"Yes", "No"))</f>
        <v>n/a</v>
      </c>
      <c r="N1629" s="2314"/>
      <c r="O1629" s="2312"/>
      <c r="P1629" s="903"/>
      <c r="Q1629" s="566"/>
    </row>
    <row r="1630" spans="1:17">
      <c r="A1630" s="940"/>
      <c r="B1630" s="949" t="s">
        <v>3353</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314" t="str">
        <f>IF(AND(G1630=0,K1630=0),"n/a",IF(G1630&gt;K1630,"Yes", "No"))</f>
        <v>n/a</v>
      </c>
      <c r="N1630" s="2314"/>
      <c r="O1630" s="2312"/>
      <c r="P1630" s="903"/>
      <c r="Q1630" s="566"/>
    </row>
    <row r="1631" spans="1:17" ht="15">
      <c r="A1631" s="947"/>
      <c r="B1631" s="949" t="s">
        <v>3354</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314" t="str">
        <f>IF(AND(G1631=0,K1631=0),"n/a",IF(G1631&gt;K1631,"Yes", "No"))</f>
        <v>n/a</v>
      </c>
      <c r="N1631" s="2314"/>
      <c r="O1631" s="2312"/>
      <c r="P1631" s="903"/>
      <c r="Q1631" s="979"/>
    </row>
    <row r="1632" spans="1:17">
      <c r="A1632" s="940"/>
      <c r="B1632" s="949" t="s">
        <v>3355</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314" t="str">
        <f>IF(AND(G1632=0,K1632=0),"n/a",IF(G1632&gt;K1632,"Yes", "No"))</f>
        <v>n/a</v>
      </c>
      <c r="N1632" s="2314"/>
      <c r="O1632" s="2312"/>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3352</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314" t="str">
        <f>IF(AND(G1634=0,K1634=0),"n/a",IF(G1634&gt;K1634,"Yes", "No"))</f>
        <v>n/a</v>
      </c>
      <c r="N1634" s="2314"/>
      <c r="O1634" s="2312" t="str">
        <f>IF(AND(M1634="n/a",M1635="n/a",M1636="n/a",M1637="n/a",M1638="n/a"),"n/a",IF(AND(M1634="Yes",M1635="Yes",M1636="Yes",M1637="Yes",M1638="Yes"),"Yes",IF(OR(M1634="No",M1635="No",M1636="No",M1637="No",M1638="No"), "No", "No")))</f>
        <v>n/a</v>
      </c>
      <c r="P1634" s="1037"/>
      <c r="Q1634" s="566"/>
    </row>
    <row r="1635" spans="1:21">
      <c r="A1635" s="940"/>
      <c r="B1635" s="949" t="s">
        <v>3358</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314" t="str">
        <f>IF(AND(G1635=0,K1635=0),"n/a",IF(G1635&gt;K1635,"Yes", "No"))</f>
        <v>n/a</v>
      </c>
      <c r="N1635" s="2314"/>
      <c r="O1635" s="2312"/>
      <c r="P1635" s="1037"/>
      <c r="Q1635" s="566"/>
    </row>
    <row r="1636" spans="1:21">
      <c r="A1636" s="940"/>
      <c r="B1636" s="949" t="s">
        <v>3353</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314" t="str">
        <f>IF(AND(G1636=0,K1636=0),"n/a",IF(G1636&gt;K1636,"Yes", "No"))</f>
        <v>n/a</v>
      </c>
      <c r="N1636" s="2314"/>
      <c r="O1636" s="2312"/>
      <c r="P1636" s="1037"/>
      <c r="Q1636" s="566"/>
    </row>
    <row r="1637" spans="1:21">
      <c r="A1637" s="940"/>
      <c r="B1637" s="949" t="s">
        <v>3354</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314" t="str">
        <f>IF(AND(G1637=0,K1637=0),"n/a",IF(G1637&gt;K1637,"Yes", "No"))</f>
        <v>n/a</v>
      </c>
      <c r="N1637" s="2314"/>
      <c r="O1637" s="2312"/>
      <c r="P1637" s="1037"/>
      <c r="Q1637" s="566"/>
    </row>
    <row r="1638" spans="1:21" ht="15">
      <c r="A1638" s="947"/>
      <c r="B1638" s="949" t="s">
        <v>3355</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314" t="str">
        <f>IF(AND(G1638=0,K1638=0),"n/a",IF(G1638&gt;K1638,"Yes", "No"))</f>
        <v>n/a</v>
      </c>
      <c r="N1638" s="2314"/>
      <c r="O1638" s="2312"/>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319" t="str">
        <f>'Part IX A-Scoring Criteria'!A322</f>
        <v>This section is not applicable to this application</v>
      </c>
      <c r="B1640" s="2319"/>
      <c r="C1640" s="2319"/>
      <c r="D1640" s="2319"/>
      <c r="E1640" s="2319"/>
      <c r="F1640" s="2319"/>
      <c r="G1640" s="2319"/>
      <c r="H1640" s="2319"/>
      <c r="I1640" s="2319"/>
      <c r="J1640" s="2319"/>
      <c r="K1640" s="2319"/>
      <c r="L1640" s="2319"/>
      <c r="M1640" s="2319"/>
      <c r="N1640" s="2319"/>
      <c r="O1640" s="2319"/>
      <c r="P1640" s="2319"/>
      <c r="Q1640" s="980" t="s">
        <v>1331</v>
      </c>
    </row>
    <row r="1641" spans="1:21" ht="15">
      <c r="A1641" s="583"/>
      <c r="B1641" s="942" t="s">
        <v>1995</v>
      </c>
      <c r="C1641" s="583"/>
      <c r="D1641" s="942"/>
      <c r="E1641" s="944"/>
      <c r="F1641" s="944"/>
      <c r="G1641" s="944"/>
      <c r="H1641" s="944"/>
      <c r="I1641" s="944"/>
      <c r="J1641" s="944"/>
      <c r="K1641" s="944"/>
      <c r="L1641" s="944"/>
      <c r="M1641" s="944"/>
      <c r="N1641" s="991"/>
      <c r="O1641" s="992"/>
      <c r="P1641" s="888"/>
      <c r="Q1641" s="985"/>
    </row>
    <row r="1642" spans="1:21" ht="15.75">
      <c r="A1642" s="2319"/>
      <c r="B1642" s="2319"/>
      <c r="C1642" s="2319"/>
      <c r="D1642" s="2319"/>
      <c r="E1642" s="2319"/>
      <c r="F1642" s="2319"/>
      <c r="G1642" s="2319"/>
      <c r="H1642" s="2319"/>
      <c r="I1642" s="2319"/>
      <c r="J1642" s="2319"/>
      <c r="K1642" s="2319"/>
      <c r="L1642" s="2319"/>
      <c r="M1642" s="2319"/>
      <c r="N1642" s="2319"/>
      <c r="O1642" s="2319"/>
      <c r="P1642" s="2319"/>
      <c r="Q1642" s="980" t="s">
        <v>1331</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3367</v>
      </c>
      <c r="B1644" s="977" t="s">
        <v>3366</v>
      </c>
      <c r="C1644" s="979"/>
      <c r="D1644" s="993"/>
      <c r="E1644" s="993"/>
      <c r="F1644" s="993"/>
      <c r="G1644" s="993"/>
      <c r="H1644" s="993"/>
      <c r="I1644" s="993"/>
      <c r="J1644" s="993"/>
      <c r="K1644" s="993"/>
      <c r="L1644" s="979"/>
      <c r="M1644" s="780">
        <v>2</v>
      </c>
      <c r="N1644" s="994"/>
      <c r="O1644" s="1002">
        <f>'Part IX A-Scoring Criteria'!O326</f>
        <v>1</v>
      </c>
      <c r="P1644" s="888"/>
      <c r="Q1644" s="888" t="s">
        <v>463</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3372</v>
      </c>
      <c r="J1646" s="566"/>
      <c r="K1646" s="2320" t="str">
        <f>'Part IX A-Scoring Criteria'!K328</f>
        <v>Athens</v>
      </c>
      <c r="L1646" s="2320"/>
      <c r="M1646" s="2320"/>
      <c r="N1646" s="566"/>
      <c r="O1646" s="566"/>
      <c r="P1646" s="566"/>
      <c r="Q1646" s="566"/>
    </row>
    <row r="1647" spans="1:21">
      <c r="A1647" s="947" t="s">
        <v>2117</v>
      </c>
      <c r="B1647" s="566"/>
      <c r="C1647" s="948" t="s">
        <v>3376</v>
      </c>
      <c r="D1647" s="566"/>
      <c r="E1647" s="566"/>
      <c r="F1647" s="566"/>
      <c r="G1647" s="1075">
        <f>'Part IX A-Scoring Criteria'!G329</f>
        <v>15350</v>
      </c>
      <c r="H1647" s="566"/>
      <c r="I1647" s="2320" t="s">
        <v>3373</v>
      </c>
      <c r="J1647" s="2320"/>
      <c r="K1647" s="2320" t="str">
        <f>'Part IX A-Scoring Criteria'!K329</f>
        <v>Clarke</v>
      </c>
      <c r="L1647" s="2320"/>
      <c r="M1647" s="2320"/>
      <c r="N1647" s="566"/>
      <c r="O1647" s="566"/>
      <c r="P1647" s="566"/>
      <c r="Q1647" s="566"/>
    </row>
    <row r="1648" spans="1:21">
      <c r="A1648" s="947"/>
      <c r="B1648" s="566"/>
      <c r="C1648" s="948"/>
      <c r="D1648" s="566"/>
      <c r="E1648" s="566"/>
      <c r="F1648" s="566"/>
      <c r="G1648" s="566"/>
      <c r="H1648" s="566"/>
      <c r="I1648" s="949" t="s">
        <v>3374</v>
      </c>
      <c r="J1648" s="566"/>
      <c r="K1648" s="2320" t="str">
        <f>'Part IX A-Scoring Criteria'!K330</f>
        <v>Athens-Clarke Co.</v>
      </c>
      <c r="L1648" s="2320"/>
      <c r="M1648" s="2320"/>
      <c r="N1648" s="566"/>
      <c r="O1648" s="566"/>
      <c r="P1648" s="566"/>
      <c r="Q1648" s="566"/>
    </row>
    <row r="1649" spans="1:21">
      <c r="A1649" s="956" t="s">
        <v>2120</v>
      </c>
      <c r="B1649" s="949" t="s">
        <v>3371</v>
      </c>
      <c r="C1649" s="949"/>
      <c r="D1649" s="948"/>
      <c r="E1649" s="948"/>
      <c r="F1649" s="566"/>
      <c r="G1649" s="1072">
        <f>'Part IX A-Scoring Criteria'!G331</f>
        <v>0.5</v>
      </c>
      <c r="H1649" s="566"/>
      <c r="I1649" s="949" t="s">
        <v>3587</v>
      </c>
      <c r="J1649" s="566"/>
      <c r="K1649" s="2320" t="str">
        <f>'Part IX A-Scoring Criteria'!K331</f>
        <v>MSA</v>
      </c>
      <c r="L1649" s="2320"/>
      <c r="M1649" s="2320"/>
      <c r="N1649" s="566"/>
      <c r="O1649" s="566"/>
      <c r="P1649" s="566"/>
      <c r="Q1649" s="566"/>
    </row>
    <row r="1650" spans="1:21">
      <c r="A1650" s="940"/>
      <c r="B1650" s="949" t="s">
        <v>3370</v>
      </c>
      <c r="C1650" s="949"/>
      <c r="D1650" s="948"/>
      <c r="E1650" s="948"/>
      <c r="F1650" s="940"/>
      <c r="G1650" s="940"/>
      <c r="H1650" s="566"/>
      <c r="I1650" s="566" t="s">
        <v>3588</v>
      </c>
      <c r="J1650" s="566"/>
      <c r="K1650" s="2320" t="str">
        <f>'Part IX A-Scoring Criteria'!K332</f>
        <v>Urban</v>
      </c>
      <c r="L1650" s="2320"/>
      <c r="M1650" s="2320"/>
      <c r="N1650" s="566"/>
      <c r="O1650" s="566"/>
      <c r="P1650" s="566"/>
      <c r="Q1650" s="566"/>
    </row>
    <row r="1651" spans="1:21">
      <c r="A1651" s="940"/>
      <c r="B1651" s="949"/>
      <c r="C1651" s="949"/>
      <c r="D1651" s="948"/>
      <c r="E1651" s="948"/>
      <c r="F1651" s="940"/>
      <c r="G1651" s="940"/>
      <c r="H1651" s="566"/>
      <c r="I1651" s="566" t="s">
        <v>3586</v>
      </c>
      <c r="J1651" s="566"/>
      <c r="K1651" s="2320">
        <f>'Part IX A-Scoring Criteria'!K333</f>
        <v>0</v>
      </c>
      <c r="L1651" s="2320"/>
      <c r="M1651" s="2320"/>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3368</v>
      </c>
      <c r="D1653" s="2321" t="s">
        <v>3369</v>
      </c>
      <c r="E1653" s="2321"/>
      <c r="F1653" s="2321"/>
      <c r="G1653" s="2321"/>
      <c r="H1653" s="2321"/>
      <c r="I1653" s="2321"/>
      <c r="J1653" s="2321"/>
      <c r="K1653" s="2321"/>
      <c r="L1653" s="1076" t="s">
        <v>1709</v>
      </c>
      <c r="M1653" s="1076" t="s">
        <v>2780</v>
      </c>
      <c r="N1653" s="566"/>
      <c r="O1653" s="566"/>
      <c r="P1653" s="566"/>
      <c r="Q1653" s="566"/>
    </row>
    <row r="1654" spans="1:21">
      <c r="A1654" s="940"/>
      <c r="B1654" s="940"/>
      <c r="C1654" s="1076" t="s">
        <v>1281</v>
      </c>
      <c r="D1654" s="2322" t="s">
        <v>3375</v>
      </c>
      <c r="E1654" s="2322"/>
      <c r="F1654" s="2322"/>
      <c r="G1654" s="2322"/>
      <c r="H1654" s="2322"/>
      <c r="I1654" s="2322"/>
      <c r="J1654" s="2322"/>
      <c r="K1654" s="2322"/>
      <c r="L1654" s="1076" t="s">
        <v>2795</v>
      </c>
      <c r="M1654" s="1076" t="s">
        <v>1358</v>
      </c>
      <c r="N1654" s="566"/>
      <c r="O1654" s="566"/>
      <c r="P1654" s="566"/>
      <c r="Q1654" s="566"/>
    </row>
    <row r="1655" spans="1:21">
      <c r="A1655" s="940"/>
      <c r="B1655" s="940"/>
      <c r="C1655" s="1075">
        <v>20000</v>
      </c>
      <c r="D1655" s="2318">
        <v>15000</v>
      </c>
      <c r="E1655" s="2318"/>
      <c r="F1655" s="2318"/>
      <c r="G1655" s="2318"/>
      <c r="H1655" s="2318"/>
      <c r="I1655" s="2318"/>
      <c r="J1655" s="2318"/>
      <c r="K1655" s="2318"/>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319" t="str">
        <f>'Part IX A-Scoring Criteria'!A340</f>
        <v xml:space="preserve">Documentation is located in Tab 40 - Workforce Housing Need. The report was provided, plus a screen shot of the "OnTheMap" website beause the website-generated report only provides the data output and not the address of the site. The screen shot shows the address. </v>
      </c>
      <c r="B1658" s="2319"/>
      <c r="C1658" s="2319"/>
      <c r="D1658" s="2319"/>
      <c r="E1658" s="2319"/>
      <c r="F1658" s="2319"/>
      <c r="G1658" s="2319"/>
      <c r="H1658" s="2319"/>
      <c r="I1658" s="2319"/>
      <c r="J1658" s="2319"/>
      <c r="K1658" s="2319"/>
      <c r="L1658" s="2319"/>
      <c r="M1658" s="2319"/>
      <c r="N1658" s="2319"/>
      <c r="O1658" s="2319"/>
      <c r="P1658" s="2319"/>
      <c r="Q1658" s="980" t="s">
        <v>1331</v>
      </c>
    </row>
    <row r="1659" spans="1:21" ht="15">
      <c r="A1659" s="583"/>
      <c r="B1659" s="942" t="s">
        <v>1995</v>
      </c>
      <c r="C1659" s="583"/>
      <c r="D1659" s="942"/>
      <c r="E1659" s="944"/>
      <c r="F1659" s="944"/>
      <c r="G1659" s="944"/>
      <c r="H1659" s="944"/>
      <c r="I1659" s="944"/>
      <c r="J1659" s="944"/>
      <c r="K1659" s="944"/>
      <c r="L1659" s="944"/>
      <c r="M1659" s="944"/>
      <c r="N1659" s="991"/>
      <c r="O1659" s="992"/>
      <c r="P1659" s="888"/>
      <c r="Q1659" s="985"/>
    </row>
    <row r="1660" spans="1:21" ht="15.75">
      <c r="A1660" s="2319"/>
      <c r="B1660" s="2319"/>
      <c r="C1660" s="2319"/>
      <c r="D1660" s="2319"/>
      <c r="E1660" s="2319"/>
      <c r="F1660" s="2319"/>
      <c r="G1660" s="2319"/>
      <c r="H1660" s="2319"/>
      <c r="I1660" s="2319"/>
      <c r="J1660" s="2319"/>
      <c r="K1660" s="2319"/>
      <c r="L1660" s="2319"/>
      <c r="M1660" s="2319"/>
      <c r="N1660" s="2319"/>
      <c r="O1660" s="2319"/>
      <c r="P1660" s="2319"/>
      <c r="Q1660" s="980" t="s">
        <v>1331</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3365</v>
      </c>
      <c r="B1662" s="977" t="s">
        <v>1791</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2719</v>
      </c>
      <c r="M1663" s="583"/>
      <c r="N1663" s="583"/>
      <c r="O1663" s="1002" t="str">
        <f>'Part IX A-Scoring Criteria'!O345</f>
        <v>Yes</v>
      </c>
      <c r="P1663" s="960"/>
    </row>
    <row r="1664" spans="1:21">
      <c r="A1664" s="947" t="s">
        <v>2117</v>
      </c>
      <c r="B1664" s="887" t="s">
        <v>1531</v>
      </c>
      <c r="D1664" s="583"/>
      <c r="E1664" s="583"/>
      <c r="F1664" s="583"/>
      <c r="G1664" s="583"/>
      <c r="H1664" s="583"/>
      <c r="I1664" s="583"/>
      <c r="J1664" s="583"/>
      <c r="K1664" s="583"/>
      <c r="L1664" s="583"/>
      <c r="M1664" s="780"/>
      <c r="N1664" s="939" t="s">
        <v>2117</v>
      </c>
      <c r="O1664" s="1002">
        <f>'Part IX A-Scoring Criteria'!O346</f>
        <v>10</v>
      </c>
      <c r="P1664" s="517"/>
      <c r="Q1664" s="807" t="s">
        <v>2946</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319">
        <f>'Part IX A-Scoring Criteria'!A348</f>
        <v>0</v>
      </c>
      <c r="B1666" s="2319"/>
      <c r="C1666" s="2319"/>
      <c r="D1666" s="2319"/>
      <c r="E1666" s="2319"/>
      <c r="F1666" s="2319"/>
      <c r="G1666" s="2319"/>
      <c r="H1666" s="2319"/>
      <c r="I1666" s="2319"/>
      <c r="J1666" s="2319"/>
      <c r="K1666" s="2319"/>
      <c r="L1666" s="2319"/>
      <c r="M1666" s="2319"/>
      <c r="N1666" s="2319"/>
      <c r="O1666" s="2319"/>
      <c r="P1666" s="2319"/>
      <c r="Q1666" s="980" t="s">
        <v>1331</v>
      </c>
    </row>
    <row r="1667" spans="1:21" ht="15">
      <c r="A1667" s="941"/>
      <c r="B1667" s="941" t="s">
        <v>1995</v>
      </c>
      <c r="C1667" s="583"/>
      <c r="D1667" s="941"/>
      <c r="E1667" s="901"/>
      <c r="F1667" s="901"/>
      <c r="G1667" s="901"/>
      <c r="H1667" s="901"/>
      <c r="I1667" s="901"/>
      <c r="J1667" s="901"/>
      <c r="K1667" s="901"/>
      <c r="L1667" s="901"/>
      <c r="M1667" s="901"/>
      <c r="N1667" s="981"/>
      <c r="O1667" s="606"/>
      <c r="P1667" s="888"/>
      <c r="Q1667" s="1005"/>
    </row>
    <row r="1668" spans="1:21" ht="15.75">
      <c r="A1668" s="2319"/>
      <c r="B1668" s="2319"/>
      <c r="C1668" s="2319"/>
      <c r="D1668" s="2319"/>
      <c r="E1668" s="2319"/>
      <c r="F1668" s="2319"/>
      <c r="G1668" s="2319"/>
      <c r="H1668" s="2319"/>
      <c r="I1668" s="2319"/>
      <c r="J1668" s="2319"/>
      <c r="K1668" s="2319"/>
      <c r="L1668" s="2319"/>
      <c r="M1668" s="2319"/>
      <c r="N1668" s="2319"/>
      <c r="O1668" s="2319"/>
      <c r="P1668" s="2319"/>
      <c r="Q1668" s="980" t="s">
        <v>1331</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52</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52</v>
      </c>
    </row>
    <row r="1671" spans="1:21" ht="15.75">
      <c r="A1671" s="979"/>
      <c r="B1671" s="1040"/>
      <c r="C1671" s="979"/>
      <c r="F1671" s="974"/>
      <c r="G1671" s="974"/>
      <c r="H1671" s="887"/>
      <c r="I1671" s="887" t="s">
        <v>3600</v>
      </c>
      <c r="J1671" s="906"/>
      <c r="K1671" s="906"/>
      <c r="L1671" s="979"/>
      <c r="N1671" s="888"/>
      <c r="O1671" s="1044"/>
      <c r="P1671" s="1044">
        <f>P1476</f>
        <v>0</v>
      </c>
    </row>
    <row r="1672" spans="1:21" ht="15">
      <c r="H1672" s="583"/>
      <c r="I1672" s="887" t="s">
        <v>3601</v>
      </c>
      <c r="J1672" s="906"/>
      <c r="K1672" s="906"/>
      <c r="L1672" s="979"/>
      <c r="N1672" s="888"/>
      <c r="O1672" s="888"/>
      <c r="P1672" s="1044">
        <f>P1536</f>
        <v>0</v>
      </c>
    </row>
    <row r="1673" spans="1:21" ht="15">
      <c r="H1673" s="979"/>
      <c r="I1673" s="887" t="s">
        <v>3602</v>
      </c>
      <c r="J1673" s="944"/>
      <c r="K1673" s="944"/>
      <c r="L1673" s="944"/>
      <c r="M1673" s="944"/>
      <c r="N1673" s="991"/>
      <c r="O1673" s="992"/>
      <c r="P1673" s="1044">
        <f>P1570</f>
        <v>0</v>
      </c>
    </row>
    <row r="1674" spans="1:21">
      <c r="H1674" s="586" t="s">
        <v>3603</v>
      </c>
      <c r="I1674" s="888"/>
      <c r="J1674" s="938"/>
      <c r="K1674" s="938"/>
      <c r="L1674" s="938"/>
      <c r="M1674" s="935"/>
      <c r="N1674" s="888"/>
      <c r="O1674" s="786"/>
      <c r="P1674" s="1044">
        <f>P1670-P1671-P1672-P1673</f>
        <v>10</v>
      </c>
    </row>
    <row r="1678" spans="1:21" ht="15.75">
      <c r="A1678" s="1077" t="s">
        <v>3597</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471" t="str">
        <f>'Pt IX B-Super Proj Concept Narr'!A6</f>
        <v>&lt;&lt; Enter paragraph(s) here. Press and hold Alt-Enter to start new paragraphs. &gt;&gt;</v>
      </c>
    </row>
    <row r="1684" spans="1:1">
      <c r="A1684" s="2471"/>
    </row>
    <row r="1685" spans="1:1">
      <c r="A1685" s="2471"/>
    </row>
    <row r="1686" spans="1:1">
      <c r="A1686" s="2471"/>
    </row>
    <row r="1687" spans="1:1">
      <c r="A1687" s="2471"/>
    </row>
    <row r="1688" spans="1:1">
      <c r="A1688" s="2471"/>
    </row>
    <row r="1689" spans="1:1">
      <c r="A1689" s="2471"/>
    </row>
    <row r="1690" spans="1:1">
      <c r="A1690" s="2471"/>
    </row>
    <row r="1691" spans="1:1">
      <c r="A1691" s="2471"/>
    </row>
    <row r="1692" spans="1:1">
      <c r="A1692" s="2471"/>
    </row>
    <row r="1693" spans="1:1">
      <c r="A1693" s="2471"/>
    </row>
    <row r="1694" spans="1:1">
      <c r="A1694" s="2471"/>
    </row>
    <row r="1695" spans="1:1">
      <c r="A1695" s="2471"/>
    </row>
    <row r="1696" spans="1:1">
      <c r="A1696" s="2471"/>
    </row>
    <row r="1697" spans="1:1">
      <c r="A1697" s="2471"/>
    </row>
    <row r="1698" spans="1:1">
      <c r="A1698" s="2471"/>
    </row>
    <row r="1699" spans="1:1">
      <c r="A1699" s="2471"/>
    </row>
    <row r="1700" spans="1:1">
      <c r="A1700" s="2471"/>
    </row>
    <row r="1701" spans="1:1">
      <c r="A1701" s="2471"/>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5" zoomScaleNormal="100" workbookViewId="0">
      <selection activeCell="A5" sqref="A1:XFD1048576"/>
    </sheetView>
  </sheetViews>
  <sheetFormatPr defaultRowHeight="12.75"/>
  <cols>
    <col min="1" max="1" width="144.85546875" style="31" customWidth="1"/>
    <col min="2" max="16384" width="9.140625" style="31"/>
  </cols>
  <sheetData>
    <row r="1" spans="1:6" ht="15.75">
      <c r="A1" s="1291" t="s">
        <v>1038</v>
      </c>
    </row>
    <row r="2" spans="1:6" ht="16.5">
      <c r="A2" s="1292" t="str">
        <f>'Part I-Project Information'!F23</f>
        <v>North Grove Apartments</v>
      </c>
    </row>
    <row r="3" spans="1:6" ht="16.5">
      <c r="A3" s="1292" t="str">
        <f>CONCATENATE('Part I-Project Information'!F27,", ", 'Part I-Project Information'!J28," County")</f>
        <v>Athens, Clarke County</v>
      </c>
    </row>
    <row r="4" spans="1:6" ht="12" customHeight="1"/>
    <row r="5" spans="1:6" ht="111" customHeight="1">
      <c r="A5" s="1492" t="s">
        <v>3855</v>
      </c>
      <c r="B5" s="1491" t="s">
        <v>2923</v>
      </c>
      <c r="C5" s="1491"/>
      <c r="D5" s="1491"/>
      <c r="E5" s="1491"/>
      <c r="F5" s="1491"/>
    </row>
    <row r="6" spans="1:6" ht="6.6" customHeight="1">
      <c r="A6" s="1492"/>
      <c r="B6" s="1491"/>
      <c r="C6" s="1491"/>
      <c r="D6" s="1491"/>
      <c r="E6" s="1491"/>
      <c r="F6" s="1491"/>
    </row>
    <row r="7" spans="1:6" ht="93" customHeight="1">
      <c r="A7" s="1492"/>
    </row>
    <row r="8" spans="1:6" ht="6.6"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6.6" customHeight="1">
      <c r="A14" s="1492"/>
    </row>
    <row r="15" spans="1:6" ht="93" customHeight="1">
      <c r="A15" s="1492"/>
    </row>
    <row r="16" spans="1:6" ht="6.6" customHeight="1">
      <c r="A16" s="1492"/>
    </row>
    <row r="17" spans="1:1" ht="93" customHeight="1">
      <c r="A17" s="1492"/>
    </row>
    <row r="18" spans="1:1" ht="6.6" customHeight="1">
      <c r="A18" s="1492"/>
    </row>
    <row r="19" spans="1:1" ht="93" customHeight="1">
      <c r="A19" s="1492"/>
    </row>
    <row r="20" spans="1:1" ht="6.6" customHeight="1">
      <c r="A20" s="1492"/>
    </row>
    <row r="21" spans="1:1" ht="93" customHeight="1">
      <c r="A21" s="1492"/>
    </row>
    <row r="22" spans="1:1" ht="6.6" customHeight="1">
      <c r="A22" s="1492"/>
    </row>
    <row r="23" spans="1:1" ht="93" customHeight="1">
      <c r="A23" s="1492"/>
    </row>
  </sheetData>
  <sheetProtection password="ACD2" sheet="1" objects="1" scenarios="1" formatColumns="0" formatRows="0"/>
  <mergeCells count="2">
    <mergeCell ref="B5:F6"/>
    <mergeCell ref="A5:A23"/>
  </mergeCells>
  <phoneticPr fontId="7" type="noConversion"/>
  <printOptions horizontalCentered="1"/>
  <pageMargins left="0.5" right="0.5" top="0.5" bottom="0.5" header="0.5" footer="0.25"/>
  <pageSetup scale="9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67" t="str">
        <f>CONCATENATE("PART ONE - PROJECT INFORMATION"," - ",$O$4," ",$F$23,", ",'Part I-Project Information'!F27,", ",'Part I-Project Information'!J28," County")</f>
        <v>PART ONE - PROJECT INFORMATION - 2014-006 North Grove Apartments, Athens, Clarke County</v>
      </c>
      <c r="B1" s="1568"/>
      <c r="C1" s="1568"/>
      <c r="D1" s="1568"/>
      <c r="E1" s="1568"/>
      <c r="F1" s="1568"/>
      <c r="G1" s="1568"/>
      <c r="H1" s="1568"/>
      <c r="I1" s="1568"/>
      <c r="J1" s="1568"/>
      <c r="K1" s="1568"/>
      <c r="L1" s="1568"/>
      <c r="M1" s="1568"/>
      <c r="N1" s="1568"/>
      <c r="O1" s="1568"/>
      <c r="P1" s="1569"/>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2517</v>
      </c>
      <c r="F3" s="365"/>
      <c r="G3" s="331" t="s">
        <v>465</v>
      </c>
      <c r="L3" s="364"/>
      <c r="O3" s="1594" t="s">
        <v>2891</v>
      </c>
      <c r="P3" s="1594"/>
    </row>
    <row r="4" spans="1:16" s="363" customFormat="1" ht="12" customHeight="1" thickBot="1">
      <c r="A4" s="621"/>
      <c r="B4" s="366"/>
      <c r="C4" s="738"/>
      <c r="D4" s="213" t="s">
        <v>3583</v>
      </c>
      <c r="F4" s="367"/>
      <c r="G4" s="331" t="s">
        <v>466</v>
      </c>
      <c r="H4" s="1153"/>
      <c r="I4" s="1153"/>
      <c r="J4" s="1153"/>
      <c r="O4" s="1571" t="s">
        <v>3857</v>
      </c>
      <c r="P4" s="1572"/>
    </row>
    <row r="5" spans="1:16" s="363" customFormat="1" ht="9" customHeight="1">
      <c r="A5" s="621"/>
      <c r="B5" s="366"/>
      <c r="C5" s="366"/>
      <c r="D5" s="366"/>
      <c r="E5" s="1153"/>
      <c r="H5" s="1153"/>
      <c r="I5" s="1153"/>
      <c r="J5" s="1153"/>
      <c r="K5" s="329"/>
      <c r="M5" s="1153"/>
    </row>
    <row r="6" spans="1:16" s="363" customFormat="1" ht="13.15" customHeight="1">
      <c r="A6" s="366" t="s">
        <v>656</v>
      </c>
      <c r="B6" s="366" t="s">
        <v>2530</v>
      </c>
      <c r="D6" s="332"/>
      <c r="E6" s="368"/>
      <c r="F6" s="369" t="s">
        <v>1835</v>
      </c>
      <c r="J6" s="1579">
        <f>'Part IV-Uses of Funds'!J173</f>
        <v>1000000</v>
      </c>
      <c r="K6" s="1580"/>
      <c r="M6" s="1153"/>
    </row>
    <row r="7" spans="1:16" s="1" customFormat="1" ht="13.15" customHeight="1">
      <c r="A7" s="5"/>
      <c r="B7" s="5"/>
      <c r="D7" s="31"/>
      <c r="E7" s="450"/>
      <c r="F7" s="363" t="s">
        <v>1368</v>
      </c>
      <c r="J7" s="1585">
        <f>'Part III-Sources of Funds'!P4</f>
        <v>0</v>
      </c>
      <c r="K7" s="1586"/>
      <c r="L7" s="363"/>
      <c r="M7" s="1153"/>
      <c r="N7" s="363"/>
      <c r="O7" s="363"/>
      <c r="P7" s="363"/>
    </row>
    <row r="8" spans="1:16" s="363" customFormat="1" ht="6" customHeight="1">
      <c r="A8" s="366"/>
      <c r="B8" s="366"/>
      <c r="D8" s="332"/>
      <c r="E8" s="368"/>
      <c r="F8" s="368"/>
      <c r="I8" s="370"/>
      <c r="N8" s="371"/>
    </row>
    <row r="9" spans="1:16" s="363" customFormat="1" ht="13.15" customHeight="1">
      <c r="A9" s="370" t="s">
        <v>789</v>
      </c>
      <c r="B9" s="366" t="s">
        <v>2177</v>
      </c>
      <c r="F9" s="1604" t="s">
        <v>3700</v>
      </c>
      <c r="G9" s="1605"/>
      <c r="H9" s="1606"/>
      <c r="I9" s="402"/>
      <c r="J9" s="662" t="s">
        <v>3219</v>
      </c>
      <c r="K9" s="375"/>
      <c r="L9" s="1153"/>
      <c r="O9" s="1581" t="s">
        <v>3798</v>
      </c>
      <c r="P9" s="1582"/>
    </row>
    <row r="10" spans="1:16" s="363" customFormat="1" ht="12.75" customHeight="1">
      <c r="A10" s="621"/>
      <c r="H10" s="1153"/>
      <c r="J10" s="663" t="s">
        <v>2998</v>
      </c>
      <c r="K10" s="329"/>
      <c r="M10" s="1153"/>
      <c r="O10" s="1583" t="s">
        <v>3699</v>
      </c>
      <c r="P10" s="1584"/>
    </row>
    <row r="11" spans="1:16" s="363" customFormat="1" ht="7.15" customHeight="1">
      <c r="I11" s="332"/>
      <c r="J11" s="332"/>
      <c r="K11" s="332"/>
      <c r="L11" s="332"/>
      <c r="M11" s="332"/>
      <c r="N11" s="332"/>
      <c r="O11" s="332"/>
      <c r="P11" s="332"/>
    </row>
    <row r="12" spans="1:16" s="363" customFormat="1" ht="13.15" customHeight="1">
      <c r="A12" s="370" t="s">
        <v>791</v>
      </c>
      <c r="B12" s="366" t="s">
        <v>1570</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2449</v>
      </c>
      <c r="F14" s="1506" t="s">
        <v>3701</v>
      </c>
      <c r="G14" s="1507"/>
      <c r="H14" s="1507"/>
      <c r="I14" s="1507"/>
      <c r="J14" s="1507"/>
      <c r="K14" s="1507"/>
      <c r="L14" s="1508"/>
      <c r="M14" s="1147" t="s">
        <v>2114</v>
      </c>
      <c r="N14" s="1506" t="s">
        <v>3702</v>
      </c>
      <c r="O14" s="1507"/>
      <c r="P14" s="1508"/>
    </row>
    <row r="15" spans="1:16" s="363" customFormat="1" ht="13.15" customHeight="1">
      <c r="B15" s="369" t="s">
        <v>2115</v>
      </c>
      <c r="F15" s="1506" t="s">
        <v>3703</v>
      </c>
      <c r="G15" s="1507"/>
      <c r="H15" s="1507"/>
      <c r="I15" s="1507"/>
      <c r="J15" s="1507"/>
      <c r="K15" s="1507"/>
      <c r="L15" s="1508"/>
      <c r="M15" s="1147" t="s">
        <v>1841</v>
      </c>
      <c r="O15" s="1544">
        <v>4049493873</v>
      </c>
      <c r="P15" s="1545"/>
    </row>
    <row r="16" spans="1:16" s="363" customFormat="1" ht="13.15" customHeight="1">
      <c r="B16" s="369" t="s">
        <v>658</v>
      </c>
      <c r="F16" s="1589" t="s">
        <v>1281</v>
      </c>
      <c r="G16" s="1590"/>
      <c r="H16" s="1591"/>
      <c r="M16" s="1147" t="s">
        <v>1925</v>
      </c>
      <c r="O16" s="1560">
        <v>4049493880</v>
      </c>
      <c r="P16" s="1562"/>
    </row>
    <row r="17" spans="1:16" s="363" customFormat="1" ht="13.15" customHeight="1">
      <c r="B17" s="369" t="s">
        <v>1922</v>
      </c>
      <c r="F17" s="1293" t="s">
        <v>901</v>
      </c>
      <c r="I17" s="1153" t="s">
        <v>2374</v>
      </c>
      <c r="J17" s="1563">
        <v>303272800</v>
      </c>
      <c r="K17" s="1564"/>
      <c r="M17" s="1147" t="s">
        <v>2113</v>
      </c>
      <c r="O17" s="1560">
        <v>7708619049</v>
      </c>
      <c r="P17" s="1562"/>
    </row>
    <row r="18" spans="1:16" s="363" customFormat="1" ht="13.15" customHeight="1">
      <c r="B18" s="369" t="s">
        <v>1840</v>
      </c>
      <c r="F18" s="1560">
        <v>4049493873</v>
      </c>
      <c r="G18" s="1561"/>
      <c r="H18" s="1562"/>
      <c r="I18" s="1150" t="s">
        <v>1839</v>
      </c>
      <c r="J18" s="1294"/>
      <c r="K18" s="1153" t="s">
        <v>2118</v>
      </c>
      <c r="L18" s="1506" t="s">
        <v>3704</v>
      </c>
      <c r="M18" s="1507"/>
      <c r="N18" s="1507"/>
      <c r="O18" s="1507"/>
      <c r="P18" s="1508"/>
    </row>
    <row r="19" spans="1:16" s="363" customFormat="1" ht="13.15" customHeight="1">
      <c r="A19" s="366"/>
      <c r="B19" s="356" t="s">
        <v>698</v>
      </c>
      <c r="D19" s="368"/>
      <c r="G19" s="368"/>
      <c r="H19" s="368"/>
      <c r="I19" s="372"/>
    </row>
    <row r="20" spans="1:16" s="363" customFormat="1" ht="6" customHeight="1">
      <c r="A20" s="621"/>
      <c r="B20" s="621"/>
      <c r="C20" s="373"/>
      <c r="D20" s="1157"/>
      <c r="E20" s="1157"/>
      <c r="F20" s="1157"/>
      <c r="H20" s="1153"/>
      <c r="I20" s="1157"/>
      <c r="J20" s="373"/>
      <c r="K20" s="1157"/>
      <c r="P20" s="374"/>
    </row>
    <row r="21" spans="1:16" s="363" customFormat="1" ht="13.15" customHeight="1">
      <c r="A21" s="370" t="s">
        <v>1915</v>
      </c>
      <c r="B21" s="366" t="s">
        <v>1571</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657</v>
      </c>
      <c r="D23" s="375"/>
      <c r="F23" s="1536" t="s">
        <v>3705</v>
      </c>
      <c r="G23" s="1573"/>
      <c r="H23" s="1573"/>
      <c r="I23" s="1573"/>
      <c r="J23" s="1573"/>
      <c r="K23" s="1573"/>
      <c r="L23" s="1537"/>
      <c r="M23" s="1147" t="s">
        <v>2331</v>
      </c>
      <c r="O23" s="1506" t="s">
        <v>3699</v>
      </c>
      <c r="P23" s="1508"/>
    </row>
    <row r="24" spans="1:16" s="363" customFormat="1" ht="13.15" customHeight="1">
      <c r="A24" s="376"/>
      <c r="B24" s="363" t="s">
        <v>2930</v>
      </c>
      <c r="D24" s="377"/>
      <c r="F24" s="1506" t="s">
        <v>3740</v>
      </c>
      <c r="G24" s="1507"/>
      <c r="H24" s="1507"/>
      <c r="I24" s="1507"/>
      <c r="J24" s="1507"/>
      <c r="K24" s="1507"/>
      <c r="L24" s="1508"/>
      <c r="M24" s="1147" t="s">
        <v>2187</v>
      </c>
      <c r="O24" s="1506" t="s">
        <v>3699</v>
      </c>
      <c r="P24" s="1508"/>
    </row>
    <row r="25" spans="1:16" s="363" customFormat="1" ht="13.15" customHeight="1">
      <c r="A25" s="376"/>
      <c r="B25" s="363" t="s">
        <v>3003</v>
      </c>
      <c r="D25" s="377"/>
      <c r="F25" s="1506"/>
      <c r="G25" s="1507"/>
      <c r="H25" s="1507"/>
      <c r="I25" s="1507"/>
      <c r="J25" s="1507"/>
      <c r="K25" s="1507"/>
      <c r="L25" s="1508"/>
      <c r="M25" s="1147" t="s">
        <v>3004</v>
      </c>
      <c r="O25" s="1587"/>
      <c r="P25" s="1588"/>
    </row>
    <row r="26" spans="1:16" s="363" customFormat="1" ht="13.15" customHeight="1">
      <c r="A26" s="376"/>
      <c r="B26" s="363" t="s">
        <v>3232</v>
      </c>
      <c r="D26" s="377"/>
      <c r="F26" s="1506" t="s">
        <v>3742</v>
      </c>
      <c r="G26" s="1507"/>
      <c r="H26" s="1507"/>
      <c r="I26" s="1507"/>
      <c r="J26" s="1507"/>
      <c r="K26" s="1507"/>
      <c r="L26" s="1508"/>
      <c r="M26" s="1147" t="s">
        <v>2430</v>
      </c>
      <c r="O26" s="1574">
        <v>15.499000000000001</v>
      </c>
      <c r="P26" s="1575"/>
    </row>
    <row r="27" spans="1:16" s="363" customFormat="1" ht="13.15" customHeight="1">
      <c r="A27" s="621"/>
      <c r="B27" s="363" t="s">
        <v>658</v>
      </c>
      <c r="F27" s="1506" t="s">
        <v>173</v>
      </c>
      <c r="G27" s="1507"/>
      <c r="H27" s="1508"/>
      <c r="I27" s="381" t="s">
        <v>2931</v>
      </c>
      <c r="J27" s="1563">
        <v>306015568</v>
      </c>
      <c r="K27" s="1564"/>
      <c r="L27" s="442" t="str">
        <f>IF(AND(NOT(F23=""),NOT(F27="Select from list"),J27=""),"Enter Zip!","")</f>
        <v/>
      </c>
      <c r="M27" s="379" t="s">
        <v>2442</v>
      </c>
      <c r="O27" s="1540" t="s">
        <v>3741</v>
      </c>
      <c r="P27" s="1541"/>
    </row>
    <row r="28" spans="1:16" s="363" customFormat="1" ht="13.15" customHeight="1">
      <c r="A28" s="621"/>
      <c r="B28" s="1157" t="s">
        <v>3207</v>
      </c>
      <c r="D28" s="1157"/>
      <c r="F28" s="1493" t="s">
        <v>3706</v>
      </c>
      <c r="G28" s="1494"/>
      <c r="H28" s="1495"/>
      <c r="I28" s="378" t="s">
        <v>659</v>
      </c>
      <c r="J28" s="1576" t="str">
        <f>IF($F$27="","",VLOOKUP($F$27,$N$179:$O$809,2,FALSE))</f>
        <v>Clarke</v>
      </c>
      <c r="K28" s="1577"/>
      <c r="M28" s="1147" t="s">
        <v>475</v>
      </c>
      <c r="N28" s="1295" t="s">
        <v>3698</v>
      </c>
      <c r="O28" s="371" t="s">
        <v>476</v>
      </c>
      <c r="P28" s="1295" t="s">
        <v>3699</v>
      </c>
    </row>
    <row r="29" spans="1:16" s="363" customFormat="1" ht="13.15" customHeight="1">
      <c r="A29" s="621"/>
      <c r="B29" s="366"/>
      <c r="C29" s="363" t="s">
        <v>1665</v>
      </c>
      <c r="F29" s="1296" t="s">
        <v>3699</v>
      </c>
      <c r="G29" s="1592" t="s">
        <v>3233</v>
      </c>
      <c r="H29" s="1593"/>
      <c r="I29" s="670" t="str">
        <f>IF($J$28="","",IF(VLOOKUP($J$28,C179:I338,7,FALSE)="Rural","Yes",IF(VLOOKUP($J$28,C179:I338,7,FALSE)="Urban","No","")))</f>
        <v>No</v>
      </c>
      <c r="J29" s="1150" t="s">
        <v>3257</v>
      </c>
      <c r="K29" s="1150" t="str">
        <f>IF(OR(F29="Yes",I29="Yes"),"Rural","Urban")</f>
        <v>Urban</v>
      </c>
      <c r="M29" s="1147" t="s">
        <v>2793</v>
      </c>
      <c r="N29" s="524" t="str">
        <f>VLOOKUP($J$28,$C$179:$F$338,4)</f>
        <v>MSA</v>
      </c>
      <c r="O29" s="1546" t="str">
        <f>IF($F$27="","",VLOOKUP($J$28,$C$179:$H$338,3,FALSE))</f>
        <v>Athens-Clarke Co.</v>
      </c>
      <c r="P29" s="1547"/>
    </row>
    <row r="30" spans="1:16" s="363" customFormat="1" ht="3" customHeight="1">
      <c r="A30" s="621"/>
      <c r="B30" s="366"/>
      <c r="C30" s="366"/>
      <c r="I30" s="369"/>
      <c r="J30" s="1157"/>
      <c r="L30" s="1163"/>
      <c r="M30" s="1163"/>
      <c r="N30" s="1163"/>
      <c r="O30" s="1163"/>
      <c r="P30" s="1163"/>
    </row>
    <row r="31" spans="1:16" s="363" customFormat="1" ht="13.15" customHeight="1">
      <c r="A31" s="621"/>
      <c r="C31" s="363" t="s">
        <v>3015</v>
      </c>
      <c r="F31" s="1578" t="s">
        <v>3150</v>
      </c>
      <c r="G31" s="1578"/>
      <c r="H31" s="1570" t="s">
        <v>785</v>
      </c>
      <c r="I31" s="1570"/>
      <c r="J31" s="1570" t="s">
        <v>786</v>
      </c>
      <c r="K31" s="1570"/>
      <c r="L31" s="655" t="s">
        <v>2932</v>
      </c>
    </row>
    <row r="32" spans="1:16" s="363" customFormat="1" ht="13.15" customHeight="1">
      <c r="A32" s="621"/>
      <c r="B32" s="363" t="s">
        <v>3149</v>
      </c>
      <c r="D32" s="366"/>
      <c r="F32" s="1538">
        <v>10</v>
      </c>
      <c r="G32" s="1539"/>
      <c r="H32" s="1538">
        <v>46</v>
      </c>
      <c r="I32" s="1539"/>
      <c r="J32" s="1538">
        <v>118</v>
      </c>
      <c r="K32" s="1539"/>
      <c r="L32" s="651" t="s">
        <v>1363</v>
      </c>
      <c r="N32" s="1542" t="s">
        <v>1364</v>
      </c>
      <c r="O32" s="1542"/>
      <c r="P32" s="1542"/>
    </row>
    <row r="33" spans="1:17" s="363" customFormat="1" ht="12.75" customHeight="1">
      <c r="A33" s="621"/>
      <c r="B33" s="369" t="s">
        <v>787</v>
      </c>
      <c r="F33" s="1538"/>
      <c r="G33" s="1539"/>
      <c r="H33" s="1538"/>
      <c r="I33" s="1539"/>
      <c r="J33" s="1538"/>
      <c r="K33" s="1539"/>
      <c r="L33" s="651" t="s">
        <v>3148</v>
      </c>
      <c r="N33" s="1543" t="s">
        <v>3147</v>
      </c>
      <c r="O33" s="1543"/>
    </row>
    <row r="34" spans="1:17" s="363" customFormat="1" ht="3" customHeight="1">
      <c r="A34" s="621"/>
      <c r="I34" s="1163"/>
      <c r="J34" s="1163"/>
      <c r="K34" s="1163"/>
      <c r="L34" s="1157"/>
      <c r="M34" s="1157"/>
      <c r="N34" s="1157"/>
      <c r="O34" s="1157"/>
      <c r="P34" s="1157"/>
    </row>
    <row r="35" spans="1:17" s="363" customFormat="1" ht="13.15" customHeight="1">
      <c r="A35" s="621"/>
      <c r="B35" s="366" t="s">
        <v>677</v>
      </c>
      <c r="F35" s="1511" t="s">
        <v>173</v>
      </c>
      <c r="G35" s="1512"/>
      <c r="H35" s="1512"/>
      <c r="I35" s="1512"/>
      <c r="J35" s="1513"/>
      <c r="K35" s="1514"/>
      <c r="M35" s="644" t="s">
        <v>2943</v>
      </c>
      <c r="N35" s="1493" t="s">
        <v>3787</v>
      </c>
      <c r="O35" s="1494"/>
      <c r="P35" s="1495"/>
    </row>
    <row r="36" spans="1:17" s="363" customFormat="1" ht="13.15" customHeight="1">
      <c r="A36" s="621"/>
      <c r="B36" s="363" t="s">
        <v>678</v>
      </c>
      <c r="F36" s="1525" t="s">
        <v>3743</v>
      </c>
      <c r="G36" s="1526"/>
      <c r="H36" s="1527"/>
      <c r="I36" s="1151" t="s">
        <v>2114</v>
      </c>
      <c r="J36" s="1493" t="s">
        <v>3744</v>
      </c>
      <c r="K36" s="1494"/>
      <c r="L36" s="1495"/>
      <c r="M36" s="369" t="s">
        <v>1923</v>
      </c>
      <c r="N36" s="1525" t="s">
        <v>3745</v>
      </c>
      <c r="O36" s="1526"/>
      <c r="P36" s="1527"/>
    </row>
    <row r="37" spans="1:17" s="363" customFormat="1" ht="13.15" customHeight="1">
      <c r="A37" s="621"/>
      <c r="B37" s="363" t="s">
        <v>2115</v>
      </c>
      <c r="F37" s="1525" t="s">
        <v>3746</v>
      </c>
      <c r="G37" s="1526"/>
      <c r="H37" s="1526"/>
      <c r="I37" s="1526"/>
      <c r="J37" s="1530"/>
      <c r="K37" s="1531"/>
      <c r="M37" s="1152" t="s">
        <v>658</v>
      </c>
      <c r="N37" s="1493" t="s">
        <v>173</v>
      </c>
      <c r="O37" s="1494"/>
      <c r="P37" s="1495"/>
    </row>
    <row r="38" spans="1:17" s="363" customFormat="1" ht="13.15" customHeight="1">
      <c r="A38" s="621"/>
      <c r="B38" s="1147" t="s">
        <v>2374</v>
      </c>
      <c r="F38" s="1609">
        <v>30606000</v>
      </c>
      <c r="G38" s="1610"/>
      <c r="H38" s="1150" t="s">
        <v>2116</v>
      </c>
      <c r="I38" s="1532">
        <v>7066133010</v>
      </c>
      <c r="J38" s="1533"/>
      <c r="K38" s="1534"/>
      <c r="M38" s="369" t="s">
        <v>1925</v>
      </c>
      <c r="N38" s="1528" t="s">
        <v>3747</v>
      </c>
      <c r="O38" s="1529"/>
    </row>
    <row r="39" spans="1:17" s="363" customFormat="1" ht="6" customHeight="1">
      <c r="A39" s="621"/>
      <c r="B39" s="621"/>
      <c r="C39" s="380"/>
      <c r="D39" s="381"/>
      <c r="E39" s="381"/>
      <c r="F39" s="1153"/>
      <c r="G39" s="1153"/>
      <c r="H39" s="1153"/>
      <c r="I39" s="1153"/>
      <c r="J39" s="381"/>
      <c r="K39" s="1153"/>
      <c r="L39" s="1153"/>
      <c r="N39" s="1157"/>
      <c r="O39" s="1157"/>
      <c r="P39" s="374"/>
    </row>
    <row r="40" spans="1:17" s="363" customFormat="1" ht="12" customHeight="1">
      <c r="A40" s="370" t="s">
        <v>1917</v>
      </c>
      <c r="B40" s="366" t="s">
        <v>1572</v>
      </c>
      <c r="F40" s="382"/>
      <c r="I40" s="1147"/>
      <c r="J40" s="1157"/>
      <c r="K40" s="1157"/>
      <c r="L40" s="1157"/>
      <c r="M40" s="1157"/>
      <c r="N40" s="1157"/>
      <c r="O40" s="1157"/>
      <c r="P40" s="1157"/>
    </row>
    <row r="41" spans="1:17" s="363" customFormat="1" ht="3" customHeight="1">
      <c r="A41" s="621"/>
      <c r="B41" s="366"/>
      <c r="C41" s="366"/>
      <c r="I41" s="1147"/>
      <c r="J41" s="1157"/>
      <c r="K41" s="1157"/>
      <c r="L41" s="1157"/>
      <c r="M41" s="1157"/>
      <c r="N41" s="1157"/>
      <c r="O41" s="1157"/>
      <c r="P41" s="1157"/>
      <c r="Q41" s="1157"/>
    </row>
    <row r="42" spans="1:17" s="363" customFormat="1" ht="13.15" customHeight="1">
      <c r="A42" s="621"/>
      <c r="B42" s="621" t="s">
        <v>2117</v>
      </c>
      <c r="C42" s="366" t="s">
        <v>766</v>
      </c>
      <c r="I42" s="1157"/>
      <c r="J42" s="1157"/>
      <c r="K42" s="652"/>
      <c r="L42" s="1157"/>
      <c r="M42" s="654"/>
      <c r="N42" s="654"/>
      <c r="O42" s="654"/>
      <c r="P42" s="654"/>
      <c r="Q42" s="1153"/>
    </row>
    <row r="43" spans="1:17" ht="13.15" customHeight="1">
      <c r="B43" s="621"/>
      <c r="C43" s="363" t="s">
        <v>2443</v>
      </c>
      <c r="D43" s="363"/>
      <c r="E43" s="363"/>
      <c r="F43" s="384">
        <f>'Part VI-Revenues &amp; Expenses'!$M$74</f>
        <v>0</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7"/>
      <c r="F45" s="384">
        <f>'Part VI-Revenues &amp; Expenses'!$M$77</f>
        <v>128</v>
      </c>
      <c r="G45" s="623" t="s">
        <v>3000</v>
      </c>
      <c r="H45" s="363" t="s">
        <v>366</v>
      </c>
      <c r="M45" s="1297">
        <v>34963</v>
      </c>
      <c r="Q45" s="1153"/>
    </row>
    <row r="46" spans="1:17" s="363" customFormat="1" ht="3.6" customHeight="1">
      <c r="A46" s="621"/>
      <c r="P46" s="1157"/>
    </row>
    <row r="47" spans="1:17" s="363" customFormat="1" ht="12.75">
      <c r="A47" s="621"/>
      <c r="B47" s="621" t="s">
        <v>2120</v>
      </c>
      <c r="C47" s="366" t="s">
        <v>2444</v>
      </c>
      <c r="F47" s="1294" t="s">
        <v>3699</v>
      </c>
      <c r="I47" s="1157"/>
      <c r="J47" s="1157"/>
      <c r="K47" s="1157"/>
      <c r="L47" s="1157"/>
      <c r="M47" s="654"/>
      <c r="N47" s="654"/>
      <c r="O47" s="654"/>
      <c r="P47" s="652"/>
      <c r="Q47" s="1157"/>
    </row>
    <row r="48" spans="1:17" s="363" customFormat="1" ht="3" customHeight="1">
      <c r="A48" s="621"/>
      <c r="I48" s="1157"/>
      <c r="J48" s="652"/>
      <c r="K48" s="653"/>
      <c r="L48" s="652"/>
      <c r="M48" s="653"/>
      <c r="N48" s="653"/>
      <c r="O48" s="653"/>
      <c r="P48" s="653"/>
      <c r="Q48" s="1157"/>
    </row>
    <row r="49" spans="1:19" s="363" customFormat="1" ht="13.15" customHeight="1">
      <c r="A49" s="621"/>
      <c r="B49" s="376" t="s">
        <v>798</v>
      </c>
      <c r="C49" s="375" t="s">
        <v>2423</v>
      </c>
      <c r="D49" s="1157"/>
      <c r="I49" s="1600" t="s">
        <v>1510</v>
      </c>
      <c r="J49" s="376" t="s">
        <v>2252</v>
      </c>
      <c r="K49" s="386" t="s">
        <v>2450</v>
      </c>
      <c r="M49" s="1157"/>
      <c r="N49" s="1157"/>
      <c r="O49" s="1157"/>
      <c r="P49" s="1153"/>
      <c r="Q49" s="1153"/>
      <c r="R49" s="1153"/>
      <c r="S49" s="1157"/>
    </row>
    <row r="50" spans="1:19" s="363" customFormat="1" ht="13.15" customHeight="1">
      <c r="A50" s="621"/>
      <c r="B50" s="1146"/>
      <c r="C50" s="373" t="s">
        <v>2424</v>
      </c>
      <c r="D50" s="1157"/>
      <c r="E50" s="1157"/>
      <c r="H50" s="387">
        <f>SUM(H51:H52)</f>
        <v>127</v>
      </c>
      <c r="I50" s="1601"/>
      <c r="J50" s="621"/>
      <c r="K50" s="373" t="s">
        <v>3222</v>
      </c>
      <c r="M50" s="1157"/>
      <c r="N50" s="1157"/>
      <c r="O50" s="1157"/>
      <c r="P50" s="387">
        <f>'Part VI-Revenues &amp; Expenses'!$M$96</f>
        <v>131502</v>
      </c>
    </row>
    <row r="51" spans="1:19" s="363" customFormat="1" ht="13.15" customHeight="1">
      <c r="A51" s="621"/>
      <c r="B51" s="383"/>
      <c r="D51" s="388" t="s">
        <v>404</v>
      </c>
      <c r="E51" s="1157"/>
      <c r="H51" s="387">
        <f>'Part VI-Revenues &amp; Expenses'!$M$57</f>
        <v>20</v>
      </c>
      <c r="I51" s="387">
        <f>'Part VI-Revenues &amp; Expenses'!$M$65</f>
        <v>0</v>
      </c>
      <c r="K51" s="373" t="s">
        <v>3223</v>
      </c>
      <c r="M51" s="1157"/>
      <c r="N51" s="1157"/>
      <c r="O51" s="1157"/>
      <c r="P51" s="387">
        <f>'Part VI-Revenues &amp; Expenses'!$M$97</f>
        <v>0</v>
      </c>
    </row>
    <row r="52" spans="1:19" s="363" customFormat="1" ht="13.15" customHeight="1">
      <c r="A52" s="621"/>
      <c r="D52" s="388" t="s">
        <v>1948</v>
      </c>
      <c r="E52" s="388"/>
      <c r="H52" s="387">
        <f>'Part VI-Revenues &amp; Expenses'!$M$56</f>
        <v>107</v>
      </c>
      <c r="I52" s="387">
        <f>'Part VI-Revenues &amp; Expenses'!$M$64</f>
        <v>0</v>
      </c>
      <c r="K52" s="373" t="s">
        <v>3224</v>
      </c>
      <c r="M52" s="1157"/>
      <c r="N52" s="1157"/>
      <c r="O52" s="1157"/>
      <c r="P52" s="387">
        <f>+P50+P51</f>
        <v>131502</v>
      </c>
    </row>
    <row r="53" spans="1:19" s="363" customFormat="1" ht="13.15" customHeight="1">
      <c r="A53" s="621"/>
      <c r="C53" s="373" t="s">
        <v>266</v>
      </c>
      <c r="D53" s="1157"/>
      <c r="E53" s="1157"/>
      <c r="H53" s="387">
        <f>'Part VI-Revenues &amp; Expenses'!$M$59</f>
        <v>0</v>
      </c>
      <c r="J53" s="621"/>
      <c r="K53" s="373" t="s">
        <v>3225</v>
      </c>
      <c r="M53" s="1157"/>
      <c r="N53" s="1157"/>
      <c r="O53" s="1157"/>
      <c r="P53" s="387">
        <f>'Part VI-Revenues &amp; Expenses'!$M$99</f>
        <v>974</v>
      </c>
    </row>
    <row r="54" spans="1:19" s="363" customFormat="1" ht="13.15" customHeight="1">
      <c r="A54" s="621"/>
      <c r="C54" s="373" t="s">
        <v>2569</v>
      </c>
      <c r="D54" s="1157"/>
      <c r="E54" s="1157"/>
      <c r="H54" s="387">
        <f>+H50+H53</f>
        <v>127</v>
      </c>
      <c r="J54" s="621"/>
      <c r="K54" s="373" t="s">
        <v>1512</v>
      </c>
      <c r="M54" s="1157"/>
      <c r="N54" s="1157"/>
      <c r="O54" s="1157"/>
      <c r="P54" s="387">
        <f>+P52+P53</f>
        <v>132476</v>
      </c>
    </row>
    <row r="55" spans="1:19" s="363" customFormat="1" ht="13.15" customHeight="1">
      <c r="A55" s="621"/>
      <c r="C55" s="373" t="s">
        <v>2570</v>
      </c>
      <c r="D55" s="1157"/>
      <c r="E55" s="1157"/>
      <c r="H55" s="387">
        <f>'Part VI-Revenues &amp; Expenses'!$M$61</f>
        <v>1</v>
      </c>
      <c r="J55" s="621"/>
    </row>
    <row r="56" spans="1:19" s="363" customFormat="1" ht="13.15" customHeight="1">
      <c r="A56" s="621"/>
      <c r="C56" s="373" t="s">
        <v>1916</v>
      </c>
      <c r="D56" s="1157"/>
      <c r="E56" s="1157"/>
      <c r="H56" s="387">
        <f>+H54+H55</f>
        <v>128</v>
      </c>
      <c r="J56" s="1157"/>
    </row>
    <row r="57" spans="1:19" s="363" customFormat="1" ht="3" customHeight="1">
      <c r="A57" s="621"/>
      <c r="I57" s="1153"/>
      <c r="L57" s="1153"/>
      <c r="M57" s="1153"/>
      <c r="N57" s="1157"/>
      <c r="P57" s="374"/>
    </row>
    <row r="58" spans="1:19" s="363" customFormat="1" ht="13.15" customHeight="1">
      <c r="A58" s="621"/>
      <c r="B58" s="621" t="s">
        <v>1856</v>
      </c>
      <c r="C58" s="375" t="s">
        <v>2445</v>
      </c>
      <c r="D58" s="388" t="s">
        <v>2131</v>
      </c>
      <c r="G58" s="1157"/>
      <c r="H58" s="1298">
        <v>15</v>
      </c>
      <c r="K58" s="373" t="s">
        <v>1191</v>
      </c>
      <c r="O58" s="1157"/>
      <c r="P58" s="1298">
        <v>3026</v>
      </c>
    </row>
    <row r="59" spans="1:19" s="363" customFormat="1" ht="13.15" customHeight="1">
      <c r="A59" s="621"/>
      <c r="B59" s="621"/>
      <c r="D59" s="1146" t="s">
        <v>2132</v>
      </c>
      <c r="H59" s="1298">
        <v>1</v>
      </c>
      <c r="I59" s="1157"/>
      <c r="K59" s="373" t="s">
        <v>265</v>
      </c>
      <c r="O59" s="1157"/>
      <c r="P59" s="387">
        <f>+P54+P58</f>
        <v>135502</v>
      </c>
    </row>
    <row r="60" spans="1:19" s="363" customFormat="1" ht="13.15" customHeight="1">
      <c r="A60" s="621"/>
      <c r="B60" s="621"/>
      <c r="D60" s="1146" t="s">
        <v>2133</v>
      </c>
      <c r="H60" s="387">
        <f>+H58+H59</f>
        <v>16</v>
      </c>
      <c r="I60" s="1157"/>
    </row>
    <row r="61" spans="1:19" s="363" customFormat="1" ht="3" customHeight="1">
      <c r="A61" s="621"/>
      <c r="B61" s="621"/>
      <c r="C61" s="1157"/>
      <c r="D61" s="1157"/>
      <c r="E61" s="1157"/>
      <c r="F61" s="1157"/>
      <c r="G61" s="1153"/>
      <c r="I61" s="373"/>
      <c r="J61" s="1157"/>
      <c r="P61" s="374"/>
    </row>
    <row r="62" spans="1:19" s="363" customFormat="1" ht="13.15" customHeight="1">
      <c r="A62" s="621"/>
      <c r="B62" s="621" t="s">
        <v>1857</v>
      </c>
      <c r="C62" s="375" t="s">
        <v>3390</v>
      </c>
      <c r="D62" s="1157"/>
      <c r="E62" s="1157"/>
      <c r="F62" s="1157"/>
      <c r="G62" s="1157"/>
      <c r="H62" s="1298">
        <v>340</v>
      </c>
      <c r="K62" s="363" t="s">
        <v>3397</v>
      </c>
    </row>
    <row r="63" spans="1:19" s="363" customFormat="1" ht="6.75" customHeight="1">
      <c r="A63" s="621"/>
      <c r="B63" s="621"/>
      <c r="C63" s="373"/>
      <c r="D63" s="1157"/>
      <c r="E63" s="1157"/>
      <c r="F63" s="1157"/>
      <c r="G63" s="1153"/>
      <c r="H63" s="1157"/>
      <c r="I63" s="373"/>
      <c r="J63" s="373"/>
      <c r="K63" s="1157"/>
      <c r="P63" s="374"/>
    </row>
    <row r="64" spans="1:19" s="363" customFormat="1" ht="13.15" customHeight="1">
      <c r="A64" s="621" t="s">
        <v>562</v>
      </c>
      <c r="B64" s="389" t="s">
        <v>1261</v>
      </c>
      <c r="D64" s="389"/>
      <c r="E64" s="389"/>
      <c r="F64" s="1157"/>
      <c r="G64" s="1153"/>
      <c r="H64" s="668"/>
      <c r="K64" s="1157"/>
      <c r="P64" s="374"/>
    </row>
    <row r="65" spans="1:16" s="363" customFormat="1" ht="3" customHeight="1">
      <c r="A65" s="621"/>
      <c r="C65" s="1148"/>
      <c r="D65" s="1148"/>
      <c r="E65" s="1148"/>
      <c r="F65" s="1157"/>
      <c r="G65" s="1153"/>
      <c r="K65" s="1157"/>
      <c r="P65" s="374"/>
    </row>
    <row r="66" spans="1:16" s="363" customFormat="1" ht="13.15" customHeight="1">
      <c r="A66" s="621"/>
      <c r="B66" s="621" t="s">
        <v>2117</v>
      </c>
      <c r="C66" s="329" t="s">
        <v>2922</v>
      </c>
      <c r="D66" s="1148"/>
      <c r="E66" s="1148"/>
      <c r="F66" s="1157"/>
      <c r="G66" s="1153"/>
      <c r="H66" s="1607" t="s">
        <v>3748</v>
      </c>
      <c r="I66" s="1608"/>
      <c r="K66" s="1535" t="s">
        <v>1895</v>
      </c>
      <c r="L66" s="1535"/>
      <c r="N66" s="1506" t="s">
        <v>1028</v>
      </c>
      <c r="O66" s="1507"/>
      <c r="P66" s="1508"/>
    </row>
    <row r="67" spans="1:16" s="363" customFormat="1" ht="3" customHeight="1">
      <c r="A67" s="621"/>
      <c r="B67" s="621"/>
      <c r="D67" s="1146"/>
      <c r="E67" s="1146"/>
      <c r="F67" s="1146"/>
      <c r="G67" s="1146"/>
      <c r="I67" s="1153"/>
      <c r="K67" s="1147"/>
      <c r="L67" s="1147"/>
      <c r="M67" s="1153"/>
      <c r="N67" s="1157"/>
      <c r="P67" s="374"/>
    </row>
    <row r="68" spans="1:16" s="363" customFormat="1" ht="13.15" customHeight="1">
      <c r="A68" s="621"/>
      <c r="B68" s="621" t="s">
        <v>2120</v>
      </c>
      <c r="C68" s="375" t="s">
        <v>1502</v>
      </c>
      <c r="D68" s="1157"/>
      <c r="E68" s="388"/>
      <c r="F68" s="1146" t="s">
        <v>849</v>
      </c>
      <c r="H68" s="1298">
        <v>7</v>
      </c>
      <c r="K68" s="1535" t="s">
        <v>552</v>
      </c>
      <c r="L68" s="1535"/>
      <c r="P68" s="391">
        <f>IF('Part VI-Revenues &amp; Expenses'!$M$62=0,0,H68/'Part VI-Revenues &amp; Expenses'!$M$62)</f>
        <v>5.46875E-2</v>
      </c>
    </row>
    <row r="69" spans="1:16" s="363" customFormat="1" ht="12.75" customHeight="1">
      <c r="A69" s="621"/>
      <c r="B69" s="621"/>
      <c r="D69" s="1146" t="s">
        <v>3388</v>
      </c>
      <c r="E69" s="1146"/>
      <c r="F69" s="1146" t="s">
        <v>849</v>
      </c>
      <c r="H69" s="1298">
        <v>3</v>
      </c>
      <c r="K69" s="1157" t="s">
        <v>3389</v>
      </c>
      <c r="L69" s="1157"/>
      <c r="P69" s="391">
        <f>IF(H68=0,0,H69/H68)</f>
        <v>0.42857142857142855</v>
      </c>
    </row>
    <row r="70" spans="1:16" s="363" customFormat="1" ht="3" customHeight="1">
      <c r="A70" s="621"/>
      <c r="B70" s="621"/>
      <c r="D70" s="1146"/>
      <c r="E70" s="1146"/>
      <c r="F70" s="1146"/>
      <c r="I70" s="1153"/>
      <c r="K70" s="1147"/>
      <c r="L70" s="1147"/>
      <c r="M70" s="1153"/>
      <c r="P70" s="1153"/>
    </row>
    <row r="71" spans="1:16" s="363" customFormat="1" ht="13.15" customHeight="1">
      <c r="A71" s="621"/>
      <c r="B71" s="621" t="s">
        <v>798</v>
      </c>
      <c r="C71" s="375" t="s">
        <v>1971</v>
      </c>
      <c r="D71" s="388"/>
      <c r="E71" s="388"/>
      <c r="F71" s="1146" t="s">
        <v>849</v>
      </c>
      <c r="H71" s="1298">
        <v>3</v>
      </c>
      <c r="K71" s="1535" t="s">
        <v>552</v>
      </c>
      <c r="L71" s="1535"/>
      <c r="P71" s="391">
        <f>IF('Part VI-Revenues &amp; Expenses'!$M$62=0,0,H71/'Part VI-Revenues &amp; Expenses'!$M$62)</f>
        <v>2.34375E-2</v>
      </c>
    </row>
    <row r="72" spans="1:16" s="363" customFormat="1" ht="6.75" customHeight="1">
      <c r="A72" s="621"/>
      <c r="B72" s="621"/>
      <c r="D72" s="1146"/>
      <c r="E72" s="1146"/>
      <c r="F72" s="1146"/>
      <c r="G72" s="1146"/>
      <c r="I72" s="1153"/>
      <c r="J72" s="1153"/>
      <c r="K72" s="1153"/>
      <c r="L72" s="1153"/>
      <c r="M72" s="1153"/>
      <c r="N72" s="1157"/>
      <c r="P72" s="374"/>
    </row>
    <row r="73" spans="1:16" s="363" customFormat="1" ht="13.15" customHeight="1">
      <c r="A73" s="392" t="s">
        <v>822</v>
      </c>
      <c r="B73" s="1148" t="s">
        <v>2532</v>
      </c>
      <c r="D73" s="1146"/>
      <c r="E73" s="1146"/>
      <c r="F73" s="1146"/>
      <c r="G73" s="1146"/>
      <c r="H73" s="1146"/>
      <c r="I73" s="1153"/>
      <c r="M73" s="1153"/>
      <c r="N73" s="1157"/>
      <c r="P73" s="374"/>
    </row>
    <row r="74" spans="1:16" s="363" customFormat="1" ht="3" customHeight="1">
      <c r="A74" s="621"/>
      <c r="B74" s="621"/>
      <c r="C74" s="1148"/>
      <c r="D74" s="1146"/>
      <c r="E74" s="1146"/>
      <c r="F74" s="1146"/>
      <c r="L74" s="1153"/>
      <c r="M74" s="1153"/>
      <c r="N74" s="1157"/>
      <c r="P74" s="374"/>
    </row>
    <row r="75" spans="1:16" s="363" customFormat="1" ht="13.15" customHeight="1">
      <c r="A75" s="621"/>
      <c r="B75" s="621" t="s">
        <v>2117</v>
      </c>
      <c r="C75" s="329" t="s">
        <v>2531</v>
      </c>
      <c r="D75" s="1146"/>
      <c r="E75" s="1146"/>
      <c r="F75" s="1146"/>
      <c r="H75" s="1611" t="s">
        <v>923</v>
      </c>
      <c r="I75" s="1612"/>
      <c r="J75" s="1613"/>
      <c r="M75" s="1153"/>
      <c r="N75" s="1157"/>
      <c r="P75" s="374"/>
    </row>
    <row r="76" spans="1:16" s="363" customFormat="1" ht="3" customHeight="1">
      <c r="A76" s="621"/>
      <c r="B76" s="621"/>
      <c r="D76" s="1146"/>
      <c r="E76" s="1146"/>
      <c r="F76" s="1146"/>
      <c r="G76" s="1146"/>
      <c r="I76" s="1153"/>
      <c r="J76" s="1153"/>
      <c r="K76" s="1153"/>
      <c r="L76" s="1153"/>
      <c r="M76" s="1153"/>
      <c r="N76" s="1157"/>
      <c r="P76" s="374"/>
    </row>
    <row r="77" spans="1:16" s="363" customFormat="1" ht="13.15" customHeight="1">
      <c r="B77" s="621" t="s">
        <v>2120</v>
      </c>
      <c r="C77" s="366" t="s">
        <v>1639</v>
      </c>
      <c r="K77" s="369" t="s">
        <v>922</v>
      </c>
      <c r="N77" s="393"/>
      <c r="P77" s="1294" t="s">
        <v>3699</v>
      </c>
    </row>
    <row r="78" spans="1:16" s="363" customFormat="1" ht="6.75" customHeight="1">
      <c r="A78" s="621"/>
      <c r="B78" s="621"/>
      <c r="C78" s="366"/>
      <c r="D78" s="1146"/>
      <c r="E78" s="1146"/>
      <c r="F78" s="1146"/>
      <c r="G78" s="1146"/>
      <c r="I78" s="1153"/>
      <c r="J78" s="1153"/>
      <c r="K78" s="1153"/>
      <c r="L78" s="1153"/>
      <c r="M78" s="1153"/>
      <c r="N78" s="1157"/>
      <c r="P78" s="374"/>
    </row>
    <row r="79" spans="1:16" s="363" customFormat="1" ht="13.15" customHeight="1">
      <c r="A79" s="392" t="s">
        <v>308</v>
      </c>
      <c r="B79" s="1148" t="s">
        <v>2178</v>
      </c>
      <c r="D79" s="1146"/>
    </row>
    <row r="80" spans="1:16" s="363" customFormat="1" ht="3" customHeight="1">
      <c r="A80" s="621"/>
      <c r="B80" s="621"/>
      <c r="D80" s="1146"/>
      <c r="N80" s="1157"/>
      <c r="P80" s="374"/>
    </row>
    <row r="81" spans="1:16" s="363" customFormat="1" ht="13.15" customHeight="1">
      <c r="A81" s="392"/>
      <c r="B81" s="621" t="s">
        <v>2117</v>
      </c>
      <c r="C81" s="366" t="s">
        <v>2949</v>
      </c>
      <c r="F81" s="388" t="s">
        <v>2781</v>
      </c>
      <c r="H81" s="1294" t="s">
        <v>3699</v>
      </c>
    </row>
    <row r="82" spans="1:16" s="363" customFormat="1" ht="3" customHeight="1">
      <c r="A82" s="621"/>
      <c r="B82" s="621"/>
      <c r="C82" s="1148"/>
      <c r="F82" s="1146"/>
      <c r="H82" s="1146"/>
      <c r="J82" s="1153"/>
      <c r="K82" s="1153"/>
      <c r="L82" s="1153"/>
      <c r="M82" s="1153"/>
      <c r="N82" s="1153"/>
      <c r="P82" s="374"/>
    </row>
    <row r="83" spans="1:16" s="363" customFormat="1" ht="13.15" customHeight="1">
      <c r="A83" s="392"/>
      <c r="B83" s="621" t="s">
        <v>2120</v>
      </c>
      <c r="C83" s="366" t="s">
        <v>2950</v>
      </c>
      <c r="F83" s="1147" t="s">
        <v>2880</v>
      </c>
      <c r="H83" s="1294" t="s">
        <v>3699</v>
      </c>
      <c r="I83" s="610" t="s">
        <v>2951</v>
      </c>
      <c r="J83" s="1153"/>
      <c r="K83" s="1153"/>
      <c r="L83" s="1153"/>
      <c r="M83" s="1153"/>
      <c r="N83" s="1153"/>
      <c r="O83" s="1153"/>
    </row>
    <row r="84" spans="1:16" s="363" customFormat="1" ht="6.75" customHeight="1">
      <c r="A84" s="621"/>
      <c r="B84" s="621"/>
      <c r="C84" s="366"/>
      <c r="D84" s="1146"/>
      <c r="E84" s="1146"/>
      <c r="F84" s="1146"/>
      <c r="G84" s="1146"/>
      <c r="I84" s="1153"/>
      <c r="J84" s="1153"/>
      <c r="K84" s="1153"/>
      <c r="L84" s="1153"/>
      <c r="M84" s="1153"/>
      <c r="N84" s="1157"/>
      <c r="P84" s="374"/>
    </row>
    <row r="85" spans="1:16" s="363" customFormat="1" ht="13.15" customHeight="1">
      <c r="A85" s="392" t="s">
        <v>445</v>
      </c>
      <c r="B85" s="1148" t="s">
        <v>3235</v>
      </c>
      <c r="D85" s="1146"/>
      <c r="H85" s="1493" t="s">
        <v>3292</v>
      </c>
      <c r="I85" s="1495"/>
      <c r="J85" s="1153"/>
    </row>
    <row r="86" spans="1:16" s="363" customFormat="1" ht="6.75" customHeight="1">
      <c r="A86" s="621"/>
      <c r="D86" s="381"/>
      <c r="E86" s="1157"/>
      <c r="I86" s="381"/>
      <c r="J86" s="373"/>
      <c r="K86" s="1157"/>
      <c r="P86" s="374"/>
    </row>
    <row r="87" spans="1:16" s="363" customFormat="1" ht="13.15" customHeight="1">
      <c r="A87" s="392" t="s">
        <v>381</v>
      </c>
      <c r="B87" s="386" t="s">
        <v>1259</v>
      </c>
      <c r="D87" s="1157"/>
      <c r="E87" s="1157"/>
      <c r="F87" s="1157"/>
      <c r="G87" s="1157"/>
      <c r="H87" s="1157"/>
      <c r="I87" s="381"/>
      <c r="J87" s="373"/>
      <c r="K87" s="1157"/>
      <c r="P87" s="374"/>
    </row>
    <row r="88" spans="1:16" s="363" customFormat="1" ht="3" customHeight="1">
      <c r="A88" s="392"/>
      <c r="B88" s="621"/>
      <c r="C88" s="386"/>
      <c r="D88" s="1157"/>
      <c r="E88" s="1157"/>
      <c r="F88" s="1157"/>
      <c r="G88" s="1157"/>
      <c r="H88" s="1157"/>
      <c r="I88" s="381"/>
      <c r="J88" s="373"/>
      <c r="K88" s="1157"/>
    </row>
    <row r="89" spans="1:16" s="363" customFormat="1" ht="13.15" customHeight="1">
      <c r="A89" s="621"/>
      <c r="B89" s="621"/>
      <c r="C89" s="373" t="s">
        <v>584</v>
      </c>
      <c r="D89" s="1157"/>
      <c r="E89" s="1506"/>
      <c r="F89" s="1507"/>
      <c r="G89" s="1507"/>
      <c r="H89" s="1507"/>
      <c r="I89" s="1507"/>
      <c r="J89" s="1507"/>
      <c r="K89" s="1507"/>
      <c r="L89" s="1508"/>
      <c r="M89" s="1505" t="s">
        <v>585</v>
      </c>
      <c r="N89" s="1505"/>
      <c r="O89" s="1509"/>
      <c r="P89" s="1510"/>
    </row>
    <row r="90" spans="1:16" s="363" customFormat="1" ht="13.15" customHeight="1">
      <c r="C90" s="369" t="s">
        <v>1082</v>
      </c>
      <c r="D90" s="377"/>
      <c r="E90" s="1506"/>
      <c r="F90" s="1507"/>
      <c r="G90" s="1507"/>
      <c r="H90" s="1507"/>
      <c r="I90" s="1507"/>
      <c r="J90" s="1507"/>
      <c r="K90" s="1507"/>
      <c r="L90" s="1508"/>
      <c r="M90" s="1505" t="s">
        <v>861</v>
      </c>
      <c r="N90" s="1505"/>
      <c r="O90" s="1536"/>
      <c r="P90" s="1537"/>
    </row>
    <row r="91" spans="1:16" s="363" customFormat="1" ht="13.15" customHeight="1">
      <c r="C91" s="369" t="s">
        <v>658</v>
      </c>
      <c r="E91" s="1506"/>
      <c r="F91" s="1518"/>
      <c r="G91" s="1519"/>
      <c r="H91" s="1150" t="s">
        <v>1922</v>
      </c>
      <c r="I91" s="1294"/>
      <c r="J91" s="394" t="s">
        <v>2374</v>
      </c>
      <c r="K91" s="1563"/>
      <c r="L91" s="1519"/>
      <c r="M91" s="332"/>
      <c r="N91" s="332"/>
      <c r="O91" s="332"/>
      <c r="P91" s="332"/>
    </row>
    <row r="92" spans="1:16" s="363" customFormat="1" ht="13.15" customHeight="1">
      <c r="C92" s="363" t="s">
        <v>2333</v>
      </c>
      <c r="E92" s="1506"/>
      <c r="F92" s="1518"/>
      <c r="G92" s="1519"/>
      <c r="H92" s="1153" t="s">
        <v>2114</v>
      </c>
      <c r="I92" s="1506"/>
      <c r="J92" s="1518"/>
      <c r="K92" s="1519"/>
      <c r="L92" s="1167" t="s">
        <v>2118</v>
      </c>
      <c r="M92" s="1506"/>
      <c r="N92" s="1518"/>
      <c r="O92" s="1518"/>
      <c r="P92" s="1519"/>
    </row>
    <row r="93" spans="1:16" s="363" customFormat="1" ht="13.15" customHeight="1">
      <c r="C93" s="369" t="s">
        <v>2332</v>
      </c>
      <c r="E93" s="1560"/>
      <c r="F93" s="1561"/>
      <c r="G93" s="1562"/>
      <c r="H93" s="1153" t="s">
        <v>1925</v>
      </c>
      <c r="I93" s="1532"/>
      <c r="J93" s="1519"/>
      <c r="K93" s="394" t="s">
        <v>1926</v>
      </c>
      <c r="L93" s="1532"/>
      <c r="M93" s="1519"/>
      <c r="N93" s="394" t="s">
        <v>2113</v>
      </c>
      <c r="O93" s="1532"/>
      <c r="P93" s="1519"/>
    </row>
    <row r="94" spans="1:16" s="363" customFormat="1" ht="3" customHeight="1">
      <c r="A94" s="621"/>
      <c r="B94" s="621"/>
      <c r="G94" s="381"/>
      <c r="H94" s="1153"/>
      <c r="I94" s="1153"/>
      <c r="M94" s="374"/>
    </row>
    <row r="95" spans="1:16" s="363" customFormat="1" ht="13.15" customHeight="1">
      <c r="A95" s="392" t="s">
        <v>382</v>
      </c>
      <c r="B95" s="1148" t="s">
        <v>1781</v>
      </c>
      <c r="D95" s="381"/>
      <c r="E95" s="381"/>
      <c r="F95" s="1153"/>
      <c r="G95" s="1153"/>
      <c r="H95" s="1153"/>
      <c r="I95" s="1153"/>
      <c r="J95" s="381"/>
      <c r="K95" s="1153"/>
      <c r="L95" s="1153"/>
      <c r="N95" s="1157"/>
      <c r="O95" s="1157"/>
      <c r="P95" s="374"/>
    </row>
    <row r="96" spans="1:16" s="363" customFormat="1" ht="3.6" customHeight="1">
      <c r="A96" s="392"/>
      <c r="B96" s="1148"/>
      <c r="D96" s="381"/>
      <c r="E96" s="381"/>
      <c r="F96" s="1153"/>
      <c r="G96" s="1153"/>
      <c r="H96" s="1153"/>
      <c r="I96" s="1153"/>
      <c r="J96" s="381"/>
      <c r="K96" s="1153"/>
      <c r="L96" s="1153"/>
      <c r="N96" s="1157"/>
      <c r="O96" s="1157"/>
      <c r="P96" s="374"/>
    </row>
    <row r="97" spans="1:16" s="363" customFormat="1" ht="13.15" customHeight="1">
      <c r="B97" s="388" t="s">
        <v>2290</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2117</v>
      </c>
      <c r="C99" s="1148" t="s">
        <v>1503</v>
      </c>
      <c r="D99" s="1146"/>
      <c r="E99" s="1146"/>
      <c r="F99" s="1153"/>
      <c r="G99" s="1153"/>
      <c r="H99" s="1299">
        <v>1</v>
      </c>
      <c r="N99" s="1157"/>
      <c r="O99" s="1157"/>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2120</v>
      </c>
      <c r="C101" s="1148" t="s">
        <v>435</v>
      </c>
      <c r="D101" s="1146"/>
      <c r="E101" s="1146"/>
      <c r="F101" s="1153"/>
      <c r="G101" s="1153"/>
      <c r="H101" s="1300">
        <v>1000000</v>
      </c>
      <c r="J101" s="381"/>
      <c r="K101" s="1147"/>
      <c r="N101" s="1157"/>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798</v>
      </c>
      <c r="C103" s="1148" t="s">
        <v>318</v>
      </c>
      <c r="D103" s="1146"/>
      <c r="E103" s="1146"/>
      <c r="F103" s="1153"/>
      <c r="G103" s="1153"/>
      <c r="H103" s="1153"/>
      <c r="I103" s="1153"/>
      <c r="J103" s="381"/>
      <c r="K103" s="1153"/>
      <c r="L103" s="1153"/>
      <c r="N103" s="1157"/>
      <c r="O103" s="1157"/>
    </row>
    <row r="104" spans="1:16" s="363" customFormat="1" ht="13.15" customHeight="1">
      <c r="B104" s="621"/>
      <c r="C104" s="1146" t="s">
        <v>2272</v>
      </c>
      <c r="D104" s="1146"/>
      <c r="F104" s="1146" t="s">
        <v>1201</v>
      </c>
      <c r="G104" s="1153"/>
      <c r="H104" s="1153"/>
      <c r="I104" s="1153"/>
      <c r="J104" s="1146" t="s">
        <v>2272</v>
      </c>
      <c r="K104" s="1146"/>
      <c r="M104" s="1146" t="s">
        <v>1201</v>
      </c>
      <c r="N104" s="1153"/>
      <c r="O104" s="1153"/>
      <c r="P104" s="1153"/>
    </row>
    <row r="105" spans="1:16" s="363" customFormat="1" ht="13.15" customHeight="1">
      <c r="A105" s="621"/>
      <c r="B105" s="621"/>
      <c r="C105" s="1520" t="s">
        <v>3788</v>
      </c>
      <c r="D105" s="1521"/>
      <c r="E105" s="1521"/>
      <c r="F105" s="1301" t="s">
        <v>3705</v>
      </c>
      <c r="G105" s="1302"/>
      <c r="H105" s="1302"/>
      <c r="I105" s="1303"/>
      <c r="J105" s="1520"/>
      <c r="K105" s="1521"/>
      <c r="L105" s="1521"/>
      <c r="M105" s="1521"/>
      <c r="N105" s="1521"/>
      <c r="O105" s="1521"/>
      <c r="P105" s="1557"/>
    </row>
    <row r="106" spans="1:16" s="363" customFormat="1" ht="13.15" customHeight="1">
      <c r="A106" s="621"/>
      <c r="B106" s="621"/>
      <c r="C106" s="1499" t="s">
        <v>3707</v>
      </c>
      <c r="D106" s="1500"/>
      <c r="E106" s="1501"/>
      <c r="F106" s="1301" t="s">
        <v>3705</v>
      </c>
      <c r="G106" s="1302"/>
      <c r="H106" s="1302"/>
      <c r="I106" s="1303"/>
      <c r="J106" s="1524"/>
      <c r="K106" s="1522"/>
      <c r="L106" s="1522"/>
      <c r="M106" s="1522"/>
      <c r="N106" s="1522"/>
      <c r="O106" s="1522"/>
      <c r="P106" s="1523"/>
    </row>
    <row r="107" spans="1:16" s="363" customFormat="1" ht="13.15" customHeight="1">
      <c r="A107" s="621"/>
      <c r="B107" s="621"/>
      <c r="C107" s="1499" t="s">
        <v>3708</v>
      </c>
      <c r="D107" s="1500"/>
      <c r="E107" s="1501"/>
      <c r="F107" s="1301" t="s">
        <v>3705</v>
      </c>
      <c r="G107" s="1302"/>
      <c r="H107" s="1302"/>
      <c r="I107" s="1303"/>
      <c r="J107" s="1524"/>
      <c r="K107" s="1522"/>
      <c r="L107" s="1522"/>
      <c r="M107" s="1522"/>
      <c r="N107" s="1522"/>
      <c r="O107" s="1522"/>
      <c r="P107" s="1523"/>
    </row>
    <row r="108" spans="1:16" s="363" customFormat="1" ht="13.15" customHeight="1">
      <c r="A108" s="621"/>
      <c r="B108" s="621"/>
      <c r="C108" s="1499" t="s">
        <v>3709</v>
      </c>
      <c r="D108" s="1500"/>
      <c r="E108" s="1501"/>
      <c r="F108" s="1301" t="s">
        <v>3705</v>
      </c>
      <c r="G108" s="1302"/>
      <c r="H108" s="1302"/>
      <c r="I108" s="1303"/>
      <c r="J108" s="1524"/>
      <c r="K108" s="1522"/>
      <c r="L108" s="1522"/>
      <c r="M108" s="1522"/>
      <c r="N108" s="1522"/>
      <c r="O108" s="1522"/>
      <c r="P108" s="1523"/>
    </row>
    <row r="109" spans="1:16" s="363" customFormat="1" ht="13.15" customHeight="1">
      <c r="A109" s="621"/>
      <c r="B109" s="621"/>
      <c r="C109" s="1516" t="s">
        <v>3749</v>
      </c>
      <c r="D109" s="1497"/>
      <c r="E109" s="1517"/>
      <c r="F109" s="1496" t="s">
        <v>3705</v>
      </c>
      <c r="G109" s="1497"/>
      <c r="H109" s="1497"/>
      <c r="I109" s="1498"/>
      <c r="J109" s="1515"/>
      <c r="K109" s="1503"/>
      <c r="L109" s="1503"/>
      <c r="M109" s="1503"/>
      <c r="N109" s="1503"/>
      <c r="O109" s="1503"/>
      <c r="P109" s="1504"/>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2252</v>
      </c>
      <c r="C111" s="1502" t="s">
        <v>1975</v>
      </c>
      <c r="D111" s="1502"/>
      <c r="E111" s="1502"/>
      <c r="F111" s="1502"/>
      <c r="G111" s="1502"/>
      <c r="H111" s="1502"/>
      <c r="I111" s="1502"/>
      <c r="J111" s="1502"/>
      <c r="K111" s="1502"/>
      <c r="L111" s="1502"/>
      <c r="M111" s="1502"/>
      <c r="N111" s="1502"/>
      <c r="O111" s="1502"/>
      <c r="P111" s="1502"/>
    </row>
    <row r="112" spans="1:16" s="363" customFormat="1" ht="13.15" customHeight="1">
      <c r="A112" s="621"/>
      <c r="B112" s="621"/>
      <c r="C112" s="1502"/>
      <c r="D112" s="1502"/>
      <c r="E112" s="1502"/>
      <c r="F112" s="1502"/>
      <c r="G112" s="1502"/>
      <c r="H112" s="1502"/>
      <c r="I112" s="1502"/>
      <c r="J112" s="1502"/>
      <c r="K112" s="1502"/>
      <c r="L112" s="1502"/>
      <c r="M112" s="1502"/>
      <c r="N112" s="1502"/>
      <c r="O112" s="1502"/>
      <c r="P112" s="1502"/>
    </row>
    <row r="113" spans="1:16" s="363" customFormat="1" ht="13.15" customHeight="1">
      <c r="B113" s="621"/>
      <c r="C113" s="1146" t="s">
        <v>2272</v>
      </c>
      <c r="D113" s="1146"/>
      <c r="F113" s="1146" t="s">
        <v>1201</v>
      </c>
      <c r="G113" s="1153"/>
      <c r="H113" s="1153"/>
      <c r="I113" s="1153"/>
      <c r="J113" s="1146" t="s">
        <v>2272</v>
      </c>
      <c r="K113" s="1146"/>
      <c r="M113" s="1146" t="s">
        <v>1201</v>
      </c>
      <c r="N113" s="1153"/>
      <c r="O113" s="1153"/>
      <c r="P113" s="1153"/>
    </row>
    <row r="114" spans="1:16" s="363" customFormat="1" ht="13.15" customHeight="1">
      <c r="A114" s="621"/>
      <c r="B114" s="621"/>
      <c r="C114" s="1520">
        <v>1</v>
      </c>
      <c r="D114" s="1521"/>
      <c r="E114" s="1521"/>
      <c r="F114" s="1521"/>
      <c r="G114" s="1521"/>
      <c r="H114" s="1521"/>
      <c r="I114" s="1557"/>
      <c r="J114" s="1520">
        <v>6</v>
      </c>
      <c r="K114" s="1521"/>
      <c r="L114" s="1521"/>
      <c r="M114" s="1521"/>
      <c r="N114" s="1521"/>
      <c r="O114" s="1521"/>
      <c r="P114" s="1557"/>
    </row>
    <row r="115" spans="1:16" s="363" customFormat="1" ht="13.15" customHeight="1">
      <c r="A115" s="621"/>
      <c r="B115" s="621"/>
      <c r="C115" s="1524">
        <v>2</v>
      </c>
      <c r="D115" s="1522"/>
      <c r="E115" s="1522"/>
      <c r="F115" s="1522"/>
      <c r="G115" s="1522"/>
      <c r="H115" s="1522"/>
      <c r="I115" s="1523"/>
      <c r="J115" s="1524">
        <v>7</v>
      </c>
      <c r="K115" s="1522"/>
      <c r="L115" s="1522"/>
      <c r="M115" s="1522"/>
      <c r="N115" s="1522"/>
      <c r="O115" s="1522"/>
      <c r="P115" s="1523"/>
    </row>
    <row r="116" spans="1:16" s="363" customFormat="1" ht="13.15" customHeight="1">
      <c r="A116" s="621"/>
      <c r="B116" s="621"/>
      <c r="C116" s="1524">
        <v>3</v>
      </c>
      <c r="D116" s="1522"/>
      <c r="E116" s="1522"/>
      <c r="F116" s="1522"/>
      <c r="G116" s="1522"/>
      <c r="H116" s="1522"/>
      <c r="I116" s="1523"/>
      <c r="J116" s="1524">
        <v>8</v>
      </c>
      <c r="K116" s="1522"/>
      <c r="L116" s="1522"/>
      <c r="M116" s="1522"/>
      <c r="N116" s="1522"/>
      <c r="O116" s="1522"/>
      <c r="P116" s="1523"/>
    </row>
    <row r="117" spans="1:16" s="363" customFormat="1" ht="13.15" customHeight="1">
      <c r="A117" s="621"/>
      <c r="B117" s="621"/>
      <c r="C117" s="1524">
        <v>4</v>
      </c>
      <c r="D117" s="1522"/>
      <c r="E117" s="1522"/>
      <c r="F117" s="1522"/>
      <c r="G117" s="1522"/>
      <c r="H117" s="1522"/>
      <c r="I117" s="1523"/>
      <c r="J117" s="1524">
        <v>9</v>
      </c>
      <c r="K117" s="1522"/>
      <c r="L117" s="1522"/>
      <c r="M117" s="1522"/>
      <c r="N117" s="1522"/>
      <c r="O117" s="1522"/>
      <c r="P117" s="1523"/>
    </row>
    <row r="118" spans="1:16" s="363" customFormat="1" ht="13.15" customHeight="1">
      <c r="A118" s="621"/>
      <c r="B118" s="621"/>
      <c r="C118" s="1515">
        <v>5</v>
      </c>
      <c r="D118" s="1503"/>
      <c r="E118" s="1503"/>
      <c r="F118" s="1503"/>
      <c r="G118" s="1503"/>
      <c r="H118" s="1503"/>
      <c r="I118" s="1504"/>
      <c r="J118" s="1515">
        <v>10</v>
      </c>
      <c r="K118" s="1503"/>
      <c r="L118" s="1503"/>
      <c r="M118" s="1503"/>
      <c r="N118" s="1503"/>
      <c r="O118" s="1503"/>
      <c r="P118" s="1504"/>
    </row>
    <row r="119" spans="1:16" s="363" customFormat="1" ht="6.6" customHeight="1">
      <c r="A119" s="621"/>
      <c r="B119" s="621"/>
      <c r="C119" s="1146"/>
      <c r="D119" s="1146"/>
      <c r="E119" s="1146"/>
      <c r="F119" s="1153"/>
      <c r="G119" s="1153"/>
      <c r="H119" s="1153"/>
      <c r="I119" s="1153"/>
      <c r="J119" s="381"/>
      <c r="K119" s="1153"/>
      <c r="L119" s="1153"/>
      <c r="N119" s="1157"/>
      <c r="O119" s="1157"/>
      <c r="P119" s="374"/>
    </row>
    <row r="120" spans="1:16" s="363" customFormat="1" ht="13.15" customHeight="1">
      <c r="A120" s="392" t="s">
        <v>383</v>
      </c>
      <c r="B120" s="389" t="s">
        <v>2581</v>
      </c>
      <c r="D120" s="389"/>
      <c r="E120" s="389"/>
      <c r="F120" s="389"/>
      <c r="H120" s="1294" t="s">
        <v>3698</v>
      </c>
      <c r="M120" s="1153"/>
      <c r="N120" s="1157"/>
      <c r="O120" s="1157"/>
      <c r="P120" s="374"/>
    </row>
    <row r="121" spans="1:16" s="363" customFormat="1" ht="3" customHeight="1">
      <c r="A121" s="392"/>
      <c r="B121" s="621"/>
      <c r="C121" s="1148"/>
      <c r="D121" s="1148"/>
      <c r="E121" s="1148"/>
      <c r="F121" s="1148"/>
      <c r="G121" s="1153"/>
      <c r="M121" s="1153"/>
      <c r="N121" s="1157"/>
      <c r="O121" s="1157"/>
    </row>
    <row r="122" spans="1:16" s="363" customFormat="1" ht="13.15" customHeight="1">
      <c r="A122" s="621"/>
      <c r="B122" s="621" t="s">
        <v>2117</v>
      </c>
      <c r="C122" s="370" t="s">
        <v>1831</v>
      </c>
      <c r="H122" s="1294" t="s">
        <v>3698</v>
      </c>
      <c r="M122" s="1153"/>
      <c r="N122" s="1157"/>
      <c r="O122" s="1157"/>
      <c r="P122" s="374"/>
    </row>
    <row r="123" spans="1:16" s="363" customFormat="1" ht="13.15" customHeight="1">
      <c r="A123" s="621"/>
      <c r="B123" s="621"/>
      <c r="C123" s="1146" t="s">
        <v>2583</v>
      </c>
      <c r="D123" s="1146"/>
      <c r="E123" s="1146"/>
      <c r="F123" s="1153"/>
      <c r="H123" s="1304">
        <v>1995</v>
      </c>
      <c r="N123" s="1157"/>
      <c r="O123" s="1157"/>
      <c r="P123" s="374"/>
    </row>
    <row r="124" spans="1:16" s="363" customFormat="1" ht="13.15" customHeight="1">
      <c r="A124" s="621"/>
      <c r="B124" s="621"/>
      <c r="C124" s="397" t="s">
        <v>1830</v>
      </c>
      <c r="D124" s="369"/>
      <c r="H124" s="1506" t="s">
        <v>3789</v>
      </c>
      <c r="I124" s="1508"/>
      <c r="P124" s="374"/>
    </row>
    <row r="125" spans="1:16" s="363" customFormat="1" ht="13.15" customHeight="1">
      <c r="A125" s="621"/>
      <c r="B125" s="621"/>
      <c r="C125" s="1146" t="s">
        <v>2584</v>
      </c>
      <c r="D125" s="1146"/>
      <c r="E125" s="1146"/>
      <c r="F125" s="1153"/>
      <c r="H125" s="1304">
        <v>1996</v>
      </c>
      <c r="K125" s="332" t="s">
        <v>2392</v>
      </c>
      <c r="O125" s="1506" t="s">
        <v>3750</v>
      </c>
      <c r="P125" s="1508"/>
    </row>
    <row r="126" spans="1:16" s="363" customFormat="1" ht="13.15" customHeight="1">
      <c r="A126" s="621"/>
      <c r="B126" s="621"/>
      <c r="C126" s="1146" t="s">
        <v>2582</v>
      </c>
      <c r="F126" s="1153"/>
      <c r="H126" s="1299" t="s">
        <v>3698</v>
      </c>
      <c r="K126" s="332" t="s">
        <v>2393</v>
      </c>
      <c r="O126" s="1506" t="s">
        <v>3751</v>
      </c>
      <c r="P126" s="1508"/>
    </row>
    <row r="127" spans="1:16" s="363" customFormat="1" ht="13.15" customHeight="1">
      <c r="A127" s="621"/>
      <c r="B127" s="621"/>
      <c r="C127" s="1146" t="s">
        <v>2304</v>
      </c>
      <c r="D127" s="1146"/>
      <c r="E127" s="1146"/>
      <c r="F127" s="1153"/>
      <c r="H127" s="1509">
        <v>40908</v>
      </c>
      <c r="I127" s="1510"/>
      <c r="N127" s="1157"/>
      <c r="O127" s="1157"/>
      <c r="P127" s="374"/>
    </row>
    <row r="128" spans="1:16" s="363" customFormat="1" ht="3" customHeight="1">
      <c r="A128" s="621"/>
      <c r="B128" s="621"/>
      <c r="C128" s="1146"/>
      <c r="D128" s="1146"/>
      <c r="E128" s="1146"/>
      <c r="F128" s="1153"/>
      <c r="N128" s="1157"/>
      <c r="O128" s="1157"/>
      <c r="P128" s="374"/>
    </row>
    <row r="129" spans="1:16" s="363" customFormat="1" ht="13.15" customHeight="1">
      <c r="A129" s="621"/>
      <c r="B129" s="621" t="s">
        <v>2120</v>
      </c>
      <c r="C129" s="1148" t="s">
        <v>2657</v>
      </c>
      <c r="D129" s="1146"/>
      <c r="E129" s="1146"/>
      <c r="F129" s="1153"/>
      <c r="H129" s="1299" t="s">
        <v>3699</v>
      </c>
      <c r="N129" s="1157"/>
      <c r="O129" s="1157"/>
      <c r="P129" s="374"/>
    </row>
    <row r="130" spans="1:16" s="363" customFormat="1" ht="3" customHeight="1">
      <c r="A130" s="621"/>
      <c r="B130" s="621"/>
      <c r="C130" s="1146"/>
      <c r="D130" s="1146"/>
      <c r="E130" s="1146"/>
      <c r="F130" s="1153"/>
      <c r="G130" s="1153"/>
      <c r="M130" s="1153"/>
      <c r="N130" s="1157"/>
      <c r="O130" s="1157"/>
      <c r="P130" s="374"/>
    </row>
    <row r="131" spans="1:16" s="363" customFormat="1" ht="13.15" customHeight="1">
      <c r="A131" s="621"/>
      <c r="B131" s="621" t="s">
        <v>798</v>
      </c>
      <c r="C131" s="1148" t="s">
        <v>2933</v>
      </c>
      <c r="D131" s="1146"/>
      <c r="E131" s="1146"/>
      <c r="F131" s="1153"/>
      <c r="G131" s="1153"/>
      <c r="N131" s="1157"/>
      <c r="O131" s="1157"/>
      <c r="P131" s="374"/>
    </row>
    <row r="132" spans="1:16" s="363" customFormat="1" ht="13.15" customHeight="1">
      <c r="A132" s="621"/>
      <c r="B132" s="621"/>
      <c r="C132" s="1146" t="s">
        <v>767</v>
      </c>
      <c r="D132" s="1146"/>
      <c r="E132" s="1146"/>
      <c r="F132" s="1153"/>
      <c r="G132" s="1153"/>
      <c r="H132" s="1299" t="s">
        <v>3699</v>
      </c>
      <c r="K132" s="1146" t="s">
        <v>1640</v>
      </c>
      <c r="L132" s="1146"/>
      <c r="M132" s="1153"/>
      <c r="N132" s="1153"/>
      <c r="O132" s="1299" t="s">
        <v>3699</v>
      </c>
      <c r="P132" s="374"/>
    </row>
    <row r="133" spans="1:16" s="363" customFormat="1" ht="6" customHeight="1">
      <c r="A133" s="621"/>
      <c r="B133" s="621"/>
      <c r="C133" s="1146"/>
      <c r="D133" s="1146"/>
      <c r="E133" s="1146"/>
      <c r="F133" s="1153"/>
      <c r="G133" s="1153"/>
      <c r="H133" s="1153"/>
      <c r="I133" s="1153"/>
      <c r="J133" s="381"/>
      <c r="K133" s="1153"/>
      <c r="L133" s="1153"/>
      <c r="N133" s="1157"/>
      <c r="O133" s="1157"/>
      <c r="P133" s="374"/>
    </row>
    <row r="134" spans="1:16" s="363" customFormat="1" ht="13.15" customHeight="1">
      <c r="A134" s="392" t="s">
        <v>1846</v>
      </c>
      <c r="B134" s="389" t="s">
        <v>1260</v>
      </c>
      <c r="D134" s="389"/>
      <c r="E134" s="389"/>
      <c r="F134" s="389"/>
      <c r="G134" s="1153"/>
      <c r="H134" s="1153"/>
      <c r="I134" s="1153"/>
      <c r="J134" s="381"/>
      <c r="K134" s="1153"/>
      <c r="L134" s="1153"/>
      <c r="N134" s="1157"/>
      <c r="O134" s="1157"/>
      <c r="P134" s="374"/>
    </row>
    <row r="135" spans="1:16" s="363" customFormat="1" ht="1.9" customHeight="1">
      <c r="A135" s="392"/>
      <c r="B135" s="621"/>
      <c r="C135" s="1148"/>
      <c r="D135" s="1148"/>
      <c r="E135" s="1148"/>
      <c r="F135" s="1148"/>
      <c r="G135" s="1153"/>
      <c r="H135" s="1153"/>
      <c r="I135" s="1153"/>
      <c r="J135" s="381"/>
      <c r="K135" s="1153"/>
      <c r="L135" s="1153"/>
      <c r="N135" s="1157"/>
      <c r="O135" s="1157"/>
    </row>
    <row r="136" spans="1:16" s="363" customFormat="1" ht="13.15" customHeight="1">
      <c r="A136" s="621"/>
      <c r="B136" s="621" t="s">
        <v>2117</v>
      </c>
      <c r="C136" s="380" t="s">
        <v>1949</v>
      </c>
      <c r="F136" s="1153"/>
      <c r="G136" s="1153"/>
      <c r="H136" s="1153"/>
      <c r="I136" s="1153"/>
      <c r="J136" s="381"/>
      <c r="K136" s="1153"/>
      <c r="L136" s="1153"/>
      <c r="N136" s="1157"/>
      <c r="O136" s="1157"/>
      <c r="P136" s="374"/>
    </row>
    <row r="137" spans="1:16" s="363" customFormat="1" ht="12.6" customHeight="1">
      <c r="A137" s="621"/>
      <c r="B137" s="621"/>
      <c r="C137" s="388" t="s">
        <v>1632</v>
      </c>
      <c r="D137" s="381"/>
      <c r="E137" s="381"/>
      <c r="F137" s="1153"/>
      <c r="G137" s="1153"/>
      <c r="H137" s="1153"/>
      <c r="I137" s="1153"/>
      <c r="K137" s="1299" t="s">
        <v>3699</v>
      </c>
      <c r="N137" s="1157"/>
      <c r="O137" s="1157"/>
      <c r="P137" s="374"/>
    </row>
    <row r="138" spans="1:16" s="363" customFormat="1" ht="12.6" customHeight="1">
      <c r="A138" s="621"/>
      <c r="B138" s="621"/>
      <c r="C138" s="363" t="s">
        <v>655</v>
      </c>
      <c r="K138" s="1298"/>
      <c r="L138" s="369" t="s">
        <v>1918</v>
      </c>
      <c r="P138" s="398">
        <f>IF('Part VI-Revenues &amp; Expenses'!$M$60=0,0,K138/'Part VI-Revenues &amp; Expenses'!$M$60)</f>
        <v>0</v>
      </c>
    </row>
    <row r="139" spans="1:16" s="363" customFormat="1" ht="12.6" customHeight="1">
      <c r="A139" s="621"/>
      <c r="B139" s="621"/>
      <c r="C139" s="363" t="s">
        <v>2305</v>
      </c>
      <c r="K139" s="1298"/>
      <c r="L139" s="369" t="s">
        <v>1918</v>
      </c>
      <c r="P139" s="398">
        <f>IF('Part VI-Revenues &amp; Expenses'!$M$60=0,0,K139/'Part VI-Revenues &amp; Expenses'!$M$60)</f>
        <v>0</v>
      </c>
    </row>
    <row r="140" spans="1:16" s="363" customFormat="1" ht="12.6" customHeight="1">
      <c r="A140" s="621"/>
      <c r="B140" s="621"/>
      <c r="C140" s="363" t="s">
        <v>1919</v>
      </c>
      <c r="E140" s="1506"/>
      <c r="F140" s="1507"/>
      <c r="G140" s="1507"/>
      <c r="H140" s="1507"/>
      <c r="I140" s="1507"/>
      <c r="J140" s="1507"/>
      <c r="K140" s="1508"/>
      <c r="L140" s="399" t="s">
        <v>1920</v>
      </c>
      <c r="M140" s="1506"/>
      <c r="N140" s="1507"/>
      <c r="O140" s="1507"/>
      <c r="P140" s="1508"/>
    </row>
    <row r="141" spans="1:16" s="363" customFormat="1" ht="12.6" customHeight="1">
      <c r="A141" s="621"/>
      <c r="B141" s="621"/>
      <c r="C141" s="369" t="s">
        <v>1921</v>
      </c>
      <c r="D141" s="377"/>
      <c r="E141" s="1506"/>
      <c r="F141" s="1507"/>
      <c r="G141" s="1507"/>
      <c r="H141" s="1507"/>
      <c r="I141" s="1507"/>
      <c r="J141" s="1507"/>
      <c r="K141" s="1614"/>
      <c r="L141" s="1147" t="s">
        <v>1923</v>
      </c>
      <c r="M141" s="1536"/>
      <c r="N141" s="1573"/>
      <c r="O141" s="1573"/>
      <c r="P141" s="1537"/>
    </row>
    <row r="142" spans="1:16" s="363" customFormat="1" ht="12.6" customHeight="1">
      <c r="A142" s="621"/>
      <c r="B142" s="621"/>
      <c r="C142" s="369" t="s">
        <v>658</v>
      </c>
      <c r="E142" s="1506"/>
      <c r="F142" s="1507"/>
      <c r="G142" s="1507"/>
      <c r="H142" s="1508"/>
      <c r="I142" s="394" t="s">
        <v>2374</v>
      </c>
      <c r="J142" s="1563"/>
      <c r="K142" s="1564"/>
      <c r="L142" s="399" t="s">
        <v>1926</v>
      </c>
      <c r="M142" s="1560"/>
      <c r="N142" s="1561"/>
      <c r="O142" s="1562"/>
    </row>
    <row r="143" spans="1:16" s="363" customFormat="1" ht="12.6" customHeight="1">
      <c r="A143" s="621"/>
      <c r="B143" s="621"/>
      <c r="C143" s="369" t="s">
        <v>1924</v>
      </c>
      <c r="E143" s="1560"/>
      <c r="F143" s="1561"/>
      <c r="G143" s="1562"/>
      <c r="H143" s="400" t="s">
        <v>1925</v>
      </c>
      <c r="I143" s="1560"/>
      <c r="J143" s="1561"/>
      <c r="K143" s="1562"/>
      <c r="L143" s="1152" t="s">
        <v>2113</v>
      </c>
      <c r="M143" s="1560"/>
      <c r="N143" s="1561"/>
      <c r="O143" s="1562"/>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2120</v>
      </c>
      <c r="C145" s="1148" t="s">
        <v>2941</v>
      </c>
      <c r="D145" s="1148"/>
      <c r="E145" s="1148"/>
      <c r="F145" s="1148"/>
      <c r="G145" s="1148"/>
      <c r="I145" s="1299" t="s">
        <v>3699</v>
      </c>
      <c r="J145" s="1598" t="s">
        <v>811</v>
      </c>
      <c r="K145" s="1599"/>
      <c r="L145" s="1299"/>
      <c r="M145" s="1595" t="s">
        <v>2474</v>
      </c>
      <c r="N145" s="1596"/>
      <c r="O145" s="1597"/>
      <c r="P145" s="1304"/>
    </row>
    <row r="146" spans="1:16" s="363" customFormat="1" ht="6" customHeight="1">
      <c r="A146" s="621"/>
      <c r="B146" s="621"/>
      <c r="C146" s="1148"/>
      <c r="D146" s="1148"/>
      <c r="E146" s="366"/>
      <c r="F146" s="1148"/>
      <c r="G146" s="1148"/>
      <c r="J146" s="373"/>
      <c r="K146" s="402"/>
      <c r="M146" s="1157"/>
      <c r="O146" s="1153"/>
      <c r="P146" s="374"/>
    </row>
    <row r="147" spans="1:16" s="363" customFormat="1" ht="12.6" customHeight="1">
      <c r="A147" s="621"/>
      <c r="B147" s="621"/>
      <c r="C147" s="1148" t="s">
        <v>2942</v>
      </c>
      <c r="D147" s="1148"/>
      <c r="E147" s="1148"/>
      <c r="F147" s="1148"/>
      <c r="G147" s="1148"/>
      <c r="I147" s="1299" t="s">
        <v>3698</v>
      </c>
      <c r="J147" s="1598" t="s">
        <v>811</v>
      </c>
      <c r="K147" s="1599"/>
      <c r="L147" s="1299">
        <v>2036</v>
      </c>
      <c r="M147" s="1595" t="s">
        <v>2474</v>
      </c>
      <c r="N147" s="1596"/>
      <c r="O147" s="1597"/>
      <c r="P147" s="1304">
        <v>5</v>
      </c>
    </row>
    <row r="148" spans="1:16" s="363" customFormat="1" ht="6" customHeight="1">
      <c r="A148" s="621"/>
      <c r="B148" s="621"/>
      <c r="C148" s="1148"/>
      <c r="D148" s="1148"/>
      <c r="E148" s="366"/>
      <c r="F148" s="1148"/>
      <c r="G148" s="1148"/>
      <c r="J148" s="373"/>
      <c r="K148" s="402"/>
      <c r="M148" s="1157"/>
      <c r="O148" s="1153"/>
      <c r="P148" s="374"/>
    </row>
    <row r="149" spans="1:16" s="363" customFormat="1" ht="12.6" customHeight="1">
      <c r="A149" s="621"/>
      <c r="B149" s="621" t="s">
        <v>798</v>
      </c>
      <c r="C149" s="1148" t="s">
        <v>1879</v>
      </c>
      <c r="D149" s="1148"/>
      <c r="E149" s="1148"/>
      <c r="F149" s="1148"/>
      <c r="G149" s="1148"/>
      <c r="I149" s="1299" t="s">
        <v>3699</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2252</v>
      </c>
      <c r="C151" s="1559" t="s">
        <v>2112</v>
      </c>
      <c r="D151" s="1559"/>
      <c r="E151" s="1559"/>
      <c r="F151" s="1559"/>
      <c r="G151" s="1148"/>
      <c r="I151" s="1299" t="s">
        <v>3698</v>
      </c>
      <c r="J151" s="404" t="s">
        <v>3134</v>
      </c>
      <c r="L151" s="1558" t="s">
        <v>1573</v>
      </c>
      <c r="M151" s="1558"/>
      <c r="N151" s="1148"/>
      <c r="O151" s="1148"/>
      <c r="P151" s="1305">
        <v>127</v>
      </c>
    </row>
    <row r="152" spans="1:16" s="363" customFormat="1" ht="12.6" customHeight="1">
      <c r="B152" s="621"/>
      <c r="L152" s="1535" t="s">
        <v>850</v>
      </c>
      <c r="M152" s="1535"/>
      <c r="N152" s="1148"/>
      <c r="O152" s="1148"/>
      <c r="P152" s="1305">
        <v>115</v>
      </c>
    </row>
    <row r="153" spans="1:16" s="363" customFormat="1" ht="12.6" customHeight="1">
      <c r="A153" s="621"/>
      <c r="B153" s="621"/>
      <c r="L153" s="1535" t="s">
        <v>1914</v>
      </c>
      <c r="M153" s="1535"/>
      <c r="N153" s="1148"/>
      <c r="O153" s="1148"/>
      <c r="P153" s="403">
        <f>IF(P151="","",P152/P151)</f>
        <v>0.90551181102362199</v>
      </c>
    </row>
    <row r="154" spans="1:16" s="363" customFormat="1" ht="13.15" customHeight="1">
      <c r="A154" s="621"/>
      <c r="B154" s="621" t="s">
        <v>1856</v>
      </c>
      <c r="C154" s="329" t="s">
        <v>1717</v>
      </c>
      <c r="D154" s="1146"/>
      <c r="E154" s="1146"/>
      <c r="F154" s="1146"/>
      <c r="G154" s="1146"/>
      <c r="H154" s="1153"/>
      <c r="J154" s="373"/>
      <c r="K154" s="381"/>
      <c r="M154" s="1157"/>
      <c r="O154" s="1153"/>
      <c r="P154" s="374"/>
    </row>
    <row r="155" spans="1:16" s="363" customFormat="1" ht="12.6" customHeight="1">
      <c r="A155" s="621"/>
      <c r="B155" s="621"/>
      <c r="C155" s="1157" t="s">
        <v>2354</v>
      </c>
      <c r="D155" s="375"/>
      <c r="E155" s="1157"/>
      <c r="F155" s="1157"/>
      <c r="I155" s="1299" t="s">
        <v>3699</v>
      </c>
      <c r="L155" s="1157" t="s">
        <v>3260</v>
      </c>
      <c r="M155" s="1157"/>
      <c r="P155" s="1299" t="s">
        <v>3699</v>
      </c>
    </row>
    <row r="156" spans="1:16" s="363" customFormat="1" ht="12.6" customHeight="1">
      <c r="A156" s="621"/>
      <c r="B156" s="621"/>
      <c r="C156" s="1157" t="s">
        <v>2356</v>
      </c>
      <c r="I156" s="1299" t="s">
        <v>3698</v>
      </c>
      <c r="L156" s="1157" t="s">
        <v>1718</v>
      </c>
      <c r="M156" s="1157"/>
      <c r="N156" s="1157"/>
      <c r="P156" s="1299" t="s">
        <v>3699</v>
      </c>
    </row>
    <row r="157" spans="1:16" s="363" customFormat="1" ht="12.6" customHeight="1">
      <c r="A157" s="621"/>
      <c r="C157" s="1157" t="s">
        <v>2976</v>
      </c>
      <c r="I157" s="1299" t="s">
        <v>3699</v>
      </c>
      <c r="L157" s="1157" t="s">
        <v>3405</v>
      </c>
      <c r="M157" s="1157"/>
      <c r="N157" s="1157"/>
      <c r="P157" s="1299" t="s">
        <v>3699</v>
      </c>
    </row>
    <row r="158" spans="1:16" s="363" customFormat="1" ht="12.6" customHeight="1">
      <c r="A158" s="621"/>
      <c r="B158" s="621"/>
      <c r="C158" s="1157" t="s">
        <v>1367</v>
      </c>
      <c r="D158" s="405"/>
      <c r="I158" s="1299" t="s">
        <v>3699</v>
      </c>
      <c r="K158" s="375"/>
      <c r="L158" s="1157" t="s">
        <v>2918</v>
      </c>
      <c r="N158" s="1602"/>
      <c r="O158" s="1603"/>
      <c r="P158" s="1299"/>
    </row>
    <row r="159" spans="1:16" s="363" customFormat="1" ht="12.6" customHeight="1">
      <c r="A159" s="621"/>
      <c r="B159" s="366"/>
      <c r="C159" s="1157" t="s">
        <v>1933</v>
      </c>
      <c r="I159" s="1299" t="s">
        <v>3699</v>
      </c>
      <c r="J159" s="404" t="s">
        <v>3135</v>
      </c>
      <c r="O159" s="1565"/>
      <c r="P159" s="1566"/>
    </row>
    <row r="160" spans="1:16" s="363" customFormat="1" ht="12.6" customHeight="1">
      <c r="A160" s="621"/>
      <c r="B160" s="621"/>
      <c r="C160" s="1157" t="s">
        <v>3575</v>
      </c>
      <c r="I160" s="1299" t="s">
        <v>3699</v>
      </c>
      <c r="J160" s="404" t="s">
        <v>3135</v>
      </c>
      <c r="O160" s="1565"/>
      <c r="P160" s="1566"/>
    </row>
    <row r="161" spans="1:21" s="363" customFormat="1" ht="12.6" customHeight="1">
      <c r="A161" s="621"/>
      <c r="B161" s="621"/>
      <c r="C161" s="1157" t="s">
        <v>3576</v>
      </c>
      <c r="I161" s="1299" t="s">
        <v>3699</v>
      </c>
      <c r="J161" s="404" t="s">
        <v>3135</v>
      </c>
      <c r="O161" s="1565"/>
      <c r="P161" s="1566"/>
    </row>
    <row r="162" spans="1:21" s="363" customFormat="1" ht="3" customHeight="1">
      <c r="A162" s="621"/>
      <c r="B162" s="621"/>
      <c r="P162" s="373"/>
    </row>
    <row r="163" spans="1:21" s="363" customFormat="1" ht="13.15" customHeight="1">
      <c r="B163" s="621" t="s">
        <v>1857</v>
      </c>
      <c r="C163" s="370" t="s">
        <v>788</v>
      </c>
    </row>
    <row r="164" spans="1:21" s="363" customFormat="1" ht="12.6" customHeight="1">
      <c r="A164" s="621"/>
      <c r="B164" s="621"/>
      <c r="C164" s="369" t="s">
        <v>679</v>
      </c>
      <c r="D164" s="1146"/>
      <c r="E164" s="1146"/>
      <c r="F164" s="1153"/>
      <c r="G164" s="1153"/>
      <c r="H164" s="1509">
        <v>42095</v>
      </c>
      <c r="I164" s="1510"/>
      <c r="N164" s="1157"/>
      <c r="O164" s="1157"/>
      <c r="P164" s="374"/>
    </row>
    <row r="165" spans="1:21" s="363" customFormat="1" ht="12.6" customHeight="1">
      <c r="A165" s="621"/>
      <c r="B165" s="621"/>
      <c r="C165" s="369" t="s">
        <v>291</v>
      </c>
      <c r="D165" s="1146"/>
      <c r="E165" s="1146"/>
      <c r="F165" s="1153"/>
      <c r="G165" s="1153"/>
      <c r="H165" s="1509">
        <v>42461</v>
      </c>
      <c r="I165" s="1510"/>
      <c r="N165" s="1157"/>
      <c r="O165" s="1157"/>
      <c r="P165" s="374"/>
    </row>
    <row r="166" spans="1:21" s="363" customFormat="1" ht="12.6" customHeight="1">
      <c r="A166" s="621"/>
      <c r="B166" s="621"/>
      <c r="C166" s="369" t="s">
        <v>2443</v>
      </c>
      <c r="D166" s="1146"/>
      <c r="E166" s="1146"/>
      <c r="F166" s="1153"/>
      <c r="G166" s="1153"/>
      <c r="H166" s="1509"/>
      <c r="I166" s="1510"/>
      <c r="N166" s="1157"/>
      <c r="O166" s="1157"/>
      <c r="P166" s="374"/>
    </row>
    <row r="167" spans="1:21" s="363" customFormat="1" ht="6" customHeight="1">
      <c r="B167" s="366"/>
      <c r="C167" s="1157"/>
      <c r="H167" s="1157"/>
      <c r="L167" s="383"/>
      <c r="M167" s="383"/>
      <c r="N167" s="383"/>
      <c r="O167" s="383"/>
      <c r="P167" s="371"/>
    </row>
    <row r="168" spans="1:21" ht="12" customHeight="1">
      <c r="A168" s="392" t="s">
        <v>3234</v>
      </c>
      <c r="C168" s="392" t="s">
        <v>607</v>
      </c>
      <c r="K168" s="392" t="s">
        <v>2398</v>
      </c>
      <c r="L168" s="392" t="s">
        <v>82</v>
      </c>
    </row>
    <row r="169" spans="1:21" ht="106.5" customHeight="1">
      <c r="A169" s="1551" t="s">
        <v>3853</v>
      </c>
      <c r="B169" s="1552"/>
      <c r="C169" s="1552"/>
      <c r="D169" s="1552"/>
      <c r="E169" s="1552"/>
      <c r="F169" s="1552"/>
      <c r="G169" s="1552"/>
      <c r="H169" s="1552"/>
      <c r="I169" s="1552"/>
      <c r="J169" s="1553"/>
      <c r="K169" s="1554"/>
      <c r="L169" s="1555"/>
      <c r="M169" s="1555"/>
      <c r="N169" s="1555"/>
      <c r="O169" s="1555"/>
      <c r="P169" s="1556"/>
      <c r="Q169" s="1491" t="s">
        <v>2923</v>
      </c>
      <c r="R169" s="1491"/>
      <c r="S169" s="1491"/>
      <c r="T169" s="1491"/>
      <c r="U169" s="1491"/>
    </row>
    <row r="170" spans="1:21" ht="12" customHeight="1">
      <c r="Q170" s="1491"/>
      <c r="R170" s="1491"/>
      <c r="S170" s="1491"/>
      <c r="T170" s="1491"/>
      <c r="U170" s="1491"/>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1922</v>
      </c>
      <c r="C178" s="739" t="s">
        <v>1283</v>
      </c>
      <c r="D178" s="739" t="s">
        <v>1284</v>
      </c>
      <c r="E178" s="740" t="s">
        <v>1285</v>
      </c>
      <c r="F178" s="740" t="s">
        <v>1218</v>
      </c>
      <c r="G178" s="739" t="s">
        <v>444</v>
      </c>
      <c r="H178" s="741" t="s">
        <v>1226</v>
      </c>
      <c r="I178" s="741" t="s">
        <v>3209</v>
      </c>
      <c r="J178" s="739" t="s">
        <v>2560</v>
      </c>
      <c r="K178" s="739"/>
      <c r="L178" s="730"/>
      <c r="M178" s="731"/>
      <c r="N178" s="742" t="s">
        <v>658</v>
      </c>
      <c r="O178" s="721" t="s">
        <v>659</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891</v>
      </c>
      <c r="C179" s="708" t="s">
        <v>1286</v>
      </c>
      <c r="D179" s="708" t="s">
        <v>1287</v>
      </c>
      <c r="E179" s="743" t="s">
        <v>1288</v>
      </c>
      <c r="F179" s="743" t="s">
        <v>2794</v>
      </c>
      <c r="G179" s="744" t="s">
        <v>1227</v>
      </c>
      <c r="H179" s="745" t="s">
        <v>442</v>
      </c>
      <c r="I179" s="1306" t="s">
        <v>2780</v>
      </c>
      <c r="J179" s="732" t="s">
        <v>1627</v>
      </c>
      <c r="K179" s="733"/>
      <c r="L179" s="730"/>
      <c r="M179" s="731"/>
      <c r="N179" s="1195" t="s">
        <v>2561</v>
      </c>
      <c r="O179" s="1195" t="s">
        <v>2084</v>
      </c>
      <c r="P179" s="348"/>
      <c r="Q179" s="383"/>
      <c r="T179" s="1195"/>
      <c r="U179" s="1195"/>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892</v>
      </c>
      <c r="C180" s="708" t="s">
        <v>1900</v>
      </c>
      <c r="D180" s="708" t="s">
        <v>1287</v>
      </c>
      <c r="E180" s="743" t="s">
        <v>1901</v>
      </c>
      <c r="F180" s="743" t="s">
        <v>2794</v>
      </c>
      <c r="G180" s="744" t="s">
        <v>1228</v>
      </c>
      <c r="H180" s="745" t="s">
        <v>442</v>
      </c>
      <c r="I180" s="1306" t="s">
        <v>2780</v>
      </c>
      <c r="J180" s="732" t="s">
        <v>1629</v>
      </c>
      <c r="K180" s="733"/>
      <c r="L180" s="730"/>
      <c r="M180" s="731"/>
      <c r="N180" s="1195" t="s">
        <v>1628</v>
      </c>
      <c r="O180" s="1195" t="s">
        <v>2653</v>
      </c>
      <c r="P180" s="348"/>
      <c r="Q180" s="383"/>
      <c r="T180" s="1195"/>
      <c r="U180" s="1195"/>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893</v>
      </c>
      <c r="C181" s="708" t="s">
        <v>1902</v>
      </c>
      <c r="D181" s="708" t="s">
        <v>1287</v>
      </c>
      <c r="E181" s="743" t="s">
        <v>1903</v>
      </c>
      <c r="F181" s="743" t="s">
        <v>2794</v>
      </c>
      <c r="G181" s="744" t="s">
        <v>1229</v>
      </c>
      <c r="H181" s="745" t="s">
        <v>442</v>
      </c>
      <c r="I181" s="1306" t="s">
        <v>2780</v>
      </c>
      <c r="J181" s="732" t="s">
        <v>486</v>
      </c>
      <c r="K181" s="733"/>
      <c r="L181" s="730"/>
      <c r="M181" s="731"/>
      <c r="N181" s="1195" t="s">
        <v>1000</v>
      </c>
      <c r="O181" s="1195" t="s">
        <v>1399</v>
      </c>
      <c r="P181" s="348"/>
      <c r="Q181" s="383"/>
      <c r="T181" s="1195"/>
      <c r="U181" s="1195"/>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894</v>
      </c>
      <c r="C182" s="708" t="s">
        <v>1904</v>
      </c>
      <c r="D182" s="708" t="s">
        <v>1287</v>
      </c>
      <c r="E182" s="746" t="s">
        <v>1905</v>
      </c>
      <c r="F182" s="746" t="s">
        <v>2795</v>
      </c>
      <c r="G182" s="744" t="s">
        <v>1230</v>
      </c>
      <c r="H182" s="745" t="s">
        <v>443</v>
      </c>
      <c r="I182" s="1307" t="s">
        <v>2780</v>
      </c>
      <c r="J182" s="732" t="s">
        <v>2217</v>
      </c>
      <c r="K182" s="733"/>
      <c r="L182" s="730"/>
      <c r="M182" s="731"/>
      <c r="N182" s="1195" t="s">
        <v>487</v>
      </c>
      <c r="O182" s="1195" t="s">
        <v>2701</v>
      </c>
      <c r="P182" s="348"/>
      <c r="Q182" s="383"/>
      <c r="T182" s="1195"/>
      <c r="U182" s="1195"/>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895</v>
      </c>
      <c r="C183" s="708" t="s">
        <v>1906</v>
      </c>
      <c r="D183" s="708" t="s">
        <v>1420</v>
      </c>
      <c r="E183" s="746" t="s">
        <v>163</v>
      </c>
      <c r="F183" s="746" t="s">
        <v>2794</v>
      </c>
      <c r="G183" s="744" t="s">
        <v>1231</v>
      </c>
      <c r="H183" s="745" t="s">
        <v>442</v>
      </c>
      <c r="I183" s="1306" t="s">
        <v>2780</v>
      </c>
      <c r="J183" s="732" t="s">
        <v>2219</v>
      </c>
      <c r="K183" s="733"/>
      <c r="L183" s="730"/>
      <c r="M183" s="731"/>
      <c r="N183" s="1195" t="s">
        <v>2218</v>
      </c>
      <c r="O183" s="1195" t="s">
        <v>350</v>
      </c>
      <c r="P183" s="348"/>
      <c r="Q183" s="383"/>
      <c r="T183" s="1195"/>
      <c r="U183" s="1195"/>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896</v>
      </c>
      <c r="C184" s="708" t="s">
        <v>1395</v>
      </c>
      <c r="D184" s="708" t="s">
        <v>1396</v>
      </c>
      <c r="E184" s="743" t="s">
        <v>1397</v>
      </c>
      <c r="F184" s="743" t="s">
        <v>2794</v>
      </c>
      <c r="G184" s="744" t="s">
        <v>1950</v>
      </c>
      <c r="H184" s="745" t="s">
        <v>442</v>
      </c>
      <c r="I184" s="1306" t="s">
        <v>2780</v>
      </c>
      <c r="J184" s="732" t="s">
        <v>2221</v>
      </c>
      <c r="K184" s="733"/>
      <c r="L184" s="730"/>
      <c r="M184" s="731"/>
      <c r="N184" s="1195" t="s">
        <v>2220</v>
      </c>
      <c r="O184" s="1195" t="s">
        <v>191</v>
      </c>
      <c r="P184" s="348"/>
      <c r="Q184" s="383"/>
      <c r="T184" s="1195"/>
      <c r="U184" s="1195"/>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897</v>
      </c>
      <c r="C185" s="708" t="s">
        <v>1398</v>
      </c>
      <c r="D185" s="708" t="s">
        <v>1420</v>
      </c>
      <c r="E185" s="746" t="s">
        <v>814</v>
      </c>
      <c r="F185" s="746" t="s">
        <v>2795</v>
      </c>
      <c r="G185" s="744" t="s">
        <v>2757</v>
      </c>
      <c r="H185" s="745" t="s">
        <v>443</v>
      </c>
      <c r="I185" s="1306" t="s">
        <v>1267</v>
      </c>
      <c r="J185" s="732" t="s">
        <v>2223</v>
      </c>
      <c r="K185" s="733"/>
      <c r="L185" s="730"/>
      <c r="M185" s="731"/>
      <c r="N185" s="1195" t="s">
        <v>2222</v>
      </c>
      <c r="O185" s="1195" t="s">
        <v>115</v>
      </c>
      <c r="P185" s="348"/>
      <c r="Q185" s="383"/>
      <c r="T185" s="1195"/>
      <c r="U185" s="1195"/>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898</v>
      </c>
      <c r="C186" s="708" t="s">
        <v>1399</v>
      </c>
      <c r="D186" s="708" t="s">
        <v>1396</v>
      </c>
      <c r="E186" s="746" t="s">
        <v>814</v>
      </c>
      <c r="F186" s="746" t="s">
        <v>2795</v>
      </c>
      <c r="G186" s="744" t="s">
        <v>2757</v>
      </c>
      <c r="H186" s="745" t="s">
        <v>443</v>
      </c>
      <c r="I186" s="1306" t="s">
        <v>1267</v>
      </c>
      <c r="J186" s="732" t="s">
        <v>2225</v>
      </c>
      <c r="K186" s="733"/>
      <c r="L186" s="730"/>
      <c r="M186" s="731"/>
      <c r="N186" s="1195" t="s">
        <v>2224</v>
      </c>
      <c r="O186" s="1195" t="s">
        <v>1402</v>
      </c>
      <c r="P186" s="348"/>
      <c r="Q186" s="1308"/>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899</v>
      </c>
      <c r="C187" s="708" t="s">
        <v>1400</v>
      </c>
      <c r="D187" s="708" t="s">
        <v>1287</v>
      </c>
      <c r="E187" s="743" t="s">
        <v>1401</v>
      </c>
      <c r="F187" s="743" t="s">
        <v>2794</v>
      </c>
      <c r="G187" s="744" t="s">
        <v>2758</v>
      </c>
      <c r="H187" s="745" t="s">
        <v>442</v>
      </c>
      <c r="I187" s="1306" t="s">
        <v>2780</v>
      </c>
      <c r="J187" s="732" t="s">
        <v>2096</v>
      </c>
      <c r="K187" s="710"/>
      <c r="L187" s="730"/>
      <c r="M187" s="731"/>
      <c r="N187" s="1195" t="s">
        <v>1905</v>
      </c>
      <c r="O187" s="1195" t="s">
        <v>1011</v>
      </c>
      <c r="P187" s="348"/>
      <c r="Q187" s="1308"/>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900</v>
      </c>
      <c r="C188" s="708" t="s">
        <v>1402</v>
      </c>
      <c r="D188" s="708" t="s">
        <v>1287</v>
      </c>
      <c r="E188" s="743" t="s">
        <v>1403</v>
      </c>
      <c r="F188" s="743" t="s">
        <v>2794</v>
      </c>
      <c r="G188" s="744" t="s">
        <v>2759</v>
      </c>
      <c r="H188" s="745" t="s">
        <v>442</v>
      </c>
      <c r="I188" s="1306" t="s">
        <v>2780</v>
      </c>
      <c r="J188" s="732" t="s">
        <v>187</v>
      </c>
      <c r="K188" s="710"/>
      <c r="L188" s="708"/>
      <c r="M188" s="731"/>
      <c r="N188" s="1195" t="s">
        <v>2097</v>
      </c>
      <c r="O188" s="1195" t="s">
        <v>450</v>
      </c>
      <c r="P188" s="348"/>
      <c r="Q188" s="1308"/>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901</v>
      </c>
      <c r="C189" s="708" t="s">
        <v>1404</v>
      </c>
      <c r="D189" s="708" t="s">
        <v>1420</v>
      </c>
      <c r="E189" s="746" t="s">
        <v>1405</v>
      </c>
      <c r="F189" s="746" t="s">
        <v>2795</v>
      </c>
      <c r="G189" s="744" t="s">
        <v>2760</v>
      </c>
      <c r="H189" s="745" t="s">
        <v>443</v>
      </c>
      <c r="I189" s="1306" t="s">
        <v>1267</v>
      </c>
      <c r="J189" s="732" t="s">
        <v>189</v>
      </c>
      <c r="K189" s="710"/>
      <c r="L189" s="730"/>
      <c r="M189" s="731"/>
      <c r="N189" s="1195" t="s">
        <v>188</v>
      </c>
      <c r="O189" s="1195" t="s">
        <v>1551</v>
      </c>
      <c r="P189" s="348"/>
      <c r="Q189" s="1308"/>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902</v>
      </c>
      <c r="C190" s="708" t="s">
        <v>1406</v>
      </c>
      <c r="D190" s="708" t="s">
        <v>1287</v>
      </c>
      <c r="E190" s="746" t="s">
        <v>1407</v>
      </c>
      <c r="F190" s="746" t="s">
        <v>2794</v>
      </c>
      <c r="G190" s="744" t="s">
        <v>2761</v>
      </c>
      <c r="H190" s="745" t="s">
        <v>442</v>
      </c>
      <c r="I190" s="1306" t="s">
        <v>2780</v>
      </c>
      <c r="J190" s="732" t="s">
        <v>467</v>
      </c>
      <c r="K190" s="733"/>
      <c r="L190" s="730"/>
      <c r="M190" s="731"/>
      <c r="N190" s="1195" t="s">
        <v>190</v>
      </c>
      <c r="O190" s="1195" t="s">
        <v>2557</v>
      </c>
      <c r="P190" s="348"/>
      <c r="Q190" s="1308"/>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903</v>
      </c>
      <c r="C191" s="708" t="s">
        <v>1408</v>
      </c>
      <c r="D191" s="708" t="s">
        <v>1287</v>
      </c>
      <c r="E191" s="743" t="s">
        <v>12</v>
      </c>
      <c r="F191" s="743" t="s">
        <v>2795</v>
      </c>
      <c r="G191" s="744" t="s">
        <v>2762</v>
      </c>
      <c r="H191" s="745" t="s">
        <v>443</v>
      </c>
      <c r="I191" s="1307" t="s">
        <v>2780</v>
      </c>
      <c r="J191" s="732" t="s">
        <v>469</v>
      </c>
      <c r="K191" s="733"/>
      <c r="L191" s="730"/>
      <c r="M191" s="731"/>
      <c r="N191" s="1195" t="s">
        <v>468</v>
      </c>
      <c r="O191" s="1195" t="s">
        <v>1902</v>
      </c>
      <c r="P191" s="348"/>
      <c r="Q191" s="1308"/>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904</v>
      </c>
      <c r="C192" s="708" t="s">
        <v>1409</v>
      </c>
      <c r="D192" s="708" t="s">
        <v>1287</v>
      </c>
      <c r="E192" s="743" t="s">
        <v>1814</v>
      </c>
      <c r="F192" s="743" t="s">
        <v>2795</v>
      </c>
      <c r="G192" s="744" t="s">
        <v>2763</v>
      </c>
      <c r="H192" s="745" t="s">
        <v>443</v>
      </c>
      <c r="I192" s="1307" t="s">
        <v>2780</v>
      </c>
      <c r="J192" s="732" t="s">
        <v>471</v>
      </c>
      <c r="K192" s="733"/>
      <c r="L192" s="730"/>
      <c r="M192" s="731"/>
      <c r="N192" s="1195" t="s">
        <v>470</v>
      </c>
      <c r="O192" s="1195" t="s">
        <v>1282</v>
      </c>
      <c r="P192" s="348"/>
      <c r="Q192" s="1308"/>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905</v>
      </c>
      <c r="C193" s="708" t="s">
        <v>1410</v>
      </c>
      <c r="D193" s="708" t="s">
        <v>1287</v>
      </c>
      <c r="E193" s="746" t="s">
        <v>1411</v>
      </c>
      <c r="F193" s="746" t="s">
        <v>2795</v>
      </c>
      <c r="G193" s="744" t="s">
        <v>1558</v>
      </c>
      <c r="H193" s="745" t="s">
        <v>443</v>
      </c>
      <c r="I193" s="1307" t="s">
        <v>2780</v>
      </c>
      <c r="J193" s="732" t="s">
        <v>473</v>
      </c>
      <c r="K193" s="733"/>
      <c r="L193" s="730"/>
      <c r="M193" s="731"/>
      <c r="N193" s="1195" t="s">
        <v>472</v>
      </c>
      <c r="O193" s="1195" t="s">
        <v>191</v>
      </c>
      <c r="P193" s="348"/>
      <c r="Q193" s="1308"/>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906</v>
      </c>
      <c r="C194" s="708" t="s">
        <v>1412</v>
      </c>
      <c r="D194" s="708" t="s">
        <v>1287</v>
      </c>
      <c r="E194" s="746" t="s">
        <v>1413</v>
      </c>
      <c r="F194" s="746" t="s">
        <v>2794</v>
      </c>
      <c r="G194" s="744" t="s">
        <v>2778</v>
      </c>
      <c r="H194" s="745" t="s">
        <v>442</v>
      </c>
      <c r="I194" s="1306" t="s">
        <v>2780</v>
      </c>
      <c r="J194" s="732" t="s">
        <v>2409</v>
      </c>
      <c r="K194" s="733"/>
      <c r="L194" s="730"/>
      <c r="M194" s="731"/>
      <c r="N194" s="1195" t="s">
        <v>474</v>
      </c>
      <c r="O194" s="1195" t="s">
        <v>125</v>
      </c>
      <c r="P194" s="348"/>
      <c r="Q194" s="1308"/>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907</v>
      </c>
      <c r="C195" s="708" t="s">
        <v>1414</v>
      </c>
      <c r="D195" s="708" t="s">
        <v>1420</v>
      </c>
      <c r="E195" s="746" t="s">
        <v>815</v>
      </c>
      <c r="F195" s="746" t="s">
        <v>2795</v>
      </c>
      <c r="G195" s="744" t="s">
        <v>2779</v>
      </c>
      <c r="H195" s="745" t="s">
        <v>443</v>
      </c>
      <c r="I195" s="1307" t="s">
        <v>2780</v>
      </c>
      <c r="J195" s="732" t="s">
        <v>2411</v>
      </c>
      <c r="K195" s="733"/>
      <c r="L195" s="730"/>
      <c r="M195" s="731"/>
      <c r="N195" s="1195" t="s">
        <v>2410</v>
      </c>
      <c r="O195" s="1195" t="s">
        <v>2654</v>
      </c>
      <c r="P195" s="348"/>
      <c r="Q195" s="1308"/>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908</v>
      </c>
      <c r="C196" s="708" t="s">
        <v>1416</v>
      </c>
      <c r="D196" s="708" t="s">
        <v>1420</v>
      </c>
      <c r="E196" s="746" t="s">
        <v>1098</v>
      </c>
      <c r="F196" s="746" t="s">
        <v>2795</v>
      </c>
      <c r="G196" s="744" t="s">
        <v>1336</v>
      </c>
      <c r="H196" s="745" t="s">
        <v>443</v>
      </c>
      <c r="I196" s="1307" t="s">
        <v>2780</v>
      </c>
      <c r="J196" s="732" t="s">
        <v>387</v>
      </c>
      <c r="K196" s="733"/>
      <c r="L196" s="730"/>
      <c r="M196" s="731"/>
      <c r="N196" s="1195" t="s">
        <v>1976</v>
      </c>
      <c r="O196" s="1195" t="s">
        <v>2316</v>
      </c>
      <c r="P196" s="348"/>
      <c r="Q196" s="1308"/>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909</v>
      </c>
      <c r="C197" s="708" t="s">
        <v>1417</v>
      </c>
      <c r="D197" s="708" t="s">
        <v>1287</v>
      </c>
      <c r="E197" s="743" t="s">
        <v>1418</v>
      </c>
      <c r="F197" s="743" t="s">
        <v>2794</v>
      </c>
      <c r="G197" s="744" t="s">
        <v>1337</v>
      </c>
      <c r="H197" s="745" t="s">
        <v>442</v>
      </c>
      <c r="I197" s="1306" t="s">
        <v>2780</v>
      </c>
      <c r="J197" s="732" t="s">
        <v>389</v>
      </c>
      <c r="K197" s="733"/>
      <c r="L197" s="730"/>
      <c r="M197" s="731"/>
      <c r="N197" s="1195" t="s">
        <v>388</v>
      </c>
      <c r="O197" s="1195" t="s">
        <v>2316</v>
      </c>
      <c r="P197" s="348"/>
      <c r="Q197" s="1308"/>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910</v>
      </c>
      <c r="C198" s="708" t="s">
        <v>1419</v>
      </c>
      <c r="D198" s="708" t="s">
        <v>1287</v>
      </c>
      <c r="E198" s="746" t="s">
        <v>779</v>
      </c>
      <c r="F198" s="746" t="s">
        <v>2794</v>
      </c>
      <c r="G198" s="744" t="s">
        <v>1338</v>
      </c>
      <c r="H198" s="745" t="s">
        <v>442</v>
      </c>
      <c r="I198" s="1306" t="s">
        <v>2780</v>
      </c>
      <c r="J198" s="732" t="s">
        <v>2726</v>
      </c>
      <c r="K198" s="733"/>
      <c r="L198" s="730"/>
      <c r="M198" s="731"/>
      <c r="N198" s="1195" t="s">
        <v>1286</v>
      </c>
      <c r="O198" s="1195" t="s">
        <v>2700</v>
      </c>
      <c r="P198" s="348"/>
      <c r="Q198" s="1308"/>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911</v>
      </c>
      <c r="C199" s="708" t="s">
        <v>780</v>
      </c>
      <c r="D199" s="708" t="s">
        <v>1287</v>
      </c>
      <c r="E199" s="743" t="s">
        <v>781</v>
      </c>
      <c r="F199" s="743" t="s">
        <v>2794</v>
      </c>
      <c r="G199" s="744" t="s">
        <v>1829</v>
      </c>
      <c r="H199" s="745" t="s">
        <v>442</v>
      </c>
      <c r="I199" s="1306" t="s">
        <v>2780</v>
      </c>
      <c r="J199" s="732" t="s">
        <v>2728</v>
      </c>
      <c r="K199" s="733"/>
      <c r="L199" s="730"/>
      <c r="M199" s="731"/>
      <c r="N199" s="1195" t="s">
        <v>2727</v>
      </c>
      <c r="O199" s="1195" t="s">
        <v>2705</v>
      </c>
      <c r="P199" s="348"/>
      <c r="Q199" s="1308"/>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912</v>
      </c>
      <c r="C200" s="708" t="s">
        <v>782</v>
      </c>
      <c r="D200" s="708" t="s">
        <v>1420</v>
      </c>
      <c r="E200" s="746" t="s">
        <v>814</v>
      </c>
      <c r="F200" s="746" t="s">
        <v>2795</v>
      </c>
      <c r="G200" s="744" t="s">
        <v>2757</v>
      </c>
      <c r="H200" s="745" t="s">
        <v>443</v>
      </c>
      <c r="I200" s="1306" t="s">
        <v>1267</v>
      </c>
      <c r="J200" s="732" t="s">
        <v>2730</v>
      </c>
      <c r="K200" s="733"/>
      <c r="L200" s="730"/>
      <c r="M200" s="731"/>
      <c r="N200" s="1195" t="s">
        <v>2729</v>
      </c>
      <c r="O200" s="1195" t="s">
        <v>1161</v>
      </c>
      <c r="P200" s="348"/>
      <c r="Q200" s="1308"/>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913</v>
      </c>
      <c r="C201" s="708" t="s">
        <v>1625</v>
      </c>
      <c r="D201" s="708" t="s">
        <v>1396</v>
      </c>
      <c r="E201" s="746" t="s">
        <v>1626</v>
      </c>
      <c r="F201" s="746" t="s">
        <v>2795</v>
      </c>
      <c r="G201" s="744" t="s">
        <v>1798</v>
      </c>
      <c r="H201" s="745" t="s">
        <v>443</v>
      </c>
      <c r="I201" s="1307" t="s">
        <v>2780</v>
      </c>
      <c r="J201" s="732" t="s">
        <v>2732</v>
      </c>
      <c r="K201" s="733"/>
      <c r="L201" s="730"/>
      <c r="M201" s="731"/>
      <c r="N201" s="1195" t="s">
        <v>2731</v>
      </c>
      <c r="O201" s="1195" t="s">
        <v>341</v>
      </c>
      <c r="P201" s="348"/>
      <c r="Q201" s="1308"/>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914</v>
      </c>
      <c r="C202" s="708" t="s">
        <v>164</v>
      </c>
      <c r="D202" s="708" t="s">
        <v>1287</v>
      </c>
      <c r="E202" s="743" t="s">
        <v>165</v>
      </c>
      <c r="F202" s="743" t="s">
        <v>2794</v>
      </c>
      <c r="G202" s="744" t="s">
        <v>1799</v>
      </c>
      <c r="H202" s="745" t="s">
        <v>442</v>
      </c>
      <c r="I202" s="1306" t="s">
        <v>2780</v>
      </c>
      <c r="J202" s="732" t="s">
        <v>2734</v>
      </c>
      <c r="K202" s="733"/>
      <c r="L202" s="730"/>
      <c r="M202" s="731"/>
      <c r="N202" s="1195" t="s">
        <v>2733</v>
      </c>
      <c r="O202" s="1195" t="s">
        <v>2651</v>
      </c>
      <c r="P202" s="348"/>
      <c r="Q202" s="1308"/>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915</v>
      </c>
      <c r="C203" s="708" t="s">
        <v>166</v>
      </c>
      <c r="D203" s="708" t="s">
        <v>1287</v>
      </c>
      <c r="E203" s="746" t="s">
        <v>1411</v>
      </c>
      <c r="F203" s="746" t="s">
        <v>2795</v>
      </c>
      <c r="G203" s="744" t="s">
        <v>1558</v>
      </c>
      <c r="H203" s="745" t="s">
        <v>443</v>
      </c>
      <c r="I203" s="1306" t="s">
        <v>1267</v>
      </c>
      <c r="J203" s="732" t="s">
        <v>2736</v>
      </c>
      <c r="K203" s="733"/>
      <c r="L203" s="730"/>
      <c r="M203" s="731"/>
      <c r="N203" s="1195" t="s">
        <v>2735</v>
      </c>
      <c r="O203" s="1195" t="s">
        <v>1417</v>
      </c>
      <c r="P203" s="348"/>
      <c r="Q203" s="1308"/>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1427</v>
      </c>
      <c r="C204" s="708" t="s">
        <v>167</v>
      </c>
      <c r="D204" s="708" t="s">
        <v>1420</v>
      </c>
      <c r="E204" s="746" t="s">
        <v>168</v>
      </c>
      <c r="F204" s="746" t="s">
        <v>2795</v>
      </c>
      <c r="G204" s="744" t="s">
        <v>1800</v>
      </c>
      <c r="H204" s="745" t="s">
        <v>443</v>
      </c>
      <c r="I204" s="1307" t="s">
        <v>2780</v>
      </c>
      <c r="J204" s="732" t="s">
        <v>2737</v>
      </c>
      <c r="K204" s="733"/>
      <c r="L204" s="730"/>
      <c r="M204" s="731"/>
      <c r="N204" s="1195" t="s">
        <v>2738</v>
      </c>
      <c r="O204" s="1195" t="s">
        <v>2772</v>
      </c>
      <c r="P204" s="348"/>
      <c r="Q204" s="1308"/>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1428</v>
      </c>
      <c r="C205" s="708" t="s">
        <v>169</v>
      </c>
      <c r="D205" s="708" t="s">
        <v>1396</v>
      </c>
      <c r="E205" s="743" t="s">
        <v>170</v>
      </c>
      <c r="F205" s="743" t="s">
        <v>2794</v>
      </c>
      <c r="G205" s="744" t="s">
        <v>1801</v>
      </c>
      <c r="H205" s="745" t="s">
        <v>442</v>
      </c>
      <c r="I205" s="1306" t="s">
        <v>2780</v>
      </c>
      <c r="J205" s="732" t="s">
        <v>2739</v>
      </c>
      <c r="K205" s="733"/>
      <c r="L205" s="730"/>
      <c r="M205" s="731"/>
      <c r="N205" s="1195" t="s">
        <v>2740</v>
      </c>
      <c r="O205" s="1195" t="s">
        <v>2050</v>
      </c>
      <c r="P205" s="1309"/>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1429</v>
      </c>
      <c r="C206" s="708" t="s">
        <v>171</v>
      </c>
      <c r="D206" s="708" t="s">
        <v>1396</v>
      </c>
      <c r="E206" s="746" t="s">
        <v>814</v>
      </c>
      <c r="F206" s="746" t="s">
        <v>2795</v>
      </c>
      <c r="G206" s="744" t="s">
        <v>2757</v>
      </c>
      <c r="H206" s="745" t="s">
        <v>443</v>
      </c>
      <c r="I206" s="1306" t="s">
        <v>1267</v>
      </c>
      <c r="J206" s="732" t="s">
        <v>436</v>
      </c>
      <c r="K206" s="733"/>
      <c r="L206" s="730"/>
      <c r="M206" s="731"/>
      <c r="N206" s="1195" t="s">
        <v>173</v>
      </c>
      <c r="O206" s="1195" t="s">
        <v>172</v>
      </c>
      <c r="P206" s="348"/>
      <c r="Q206" s="1308"/>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1430</v>
      </c>
      <c r="C207" s="708" t="s">
        <v>172</v>
      </c>
      <c r="D207" s="708" t="s">
        <v>1420</v>
      </c>
      <c r="E207" s="743" t="s">
        <v>2180</v>
      </c>
      <c r="F207" s="743" t="s">
        <v>2795</v>
      </c>
      <c r="G207" s="744" t="s">
        <v>660</v>
      </c>
      <c r="H207" s="745" t="s">
        <v>443</v>
      </c>
      <c r="I207" s="1307" t="s">
        <v>1267</v>
      </c>
      <c r="J207" s="732" t="s">
        <v>437</v>
      </c>
      <c r="K207" s="733"/>
      <c r="L207" s="708"/>
      <c r="M207" s="731"/>
      <c r="N207" s="1195" t="s">
        <v>1281</v>
      </c>
      <c r="O207" s="1195" t="s">
        <v>1282</v>
      </c>
      <c r="P207" s="348"/>
      <c r="Q207" s="1308"/>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1431</v>
      </c>
      <c r="C208" s="708" t="s">
        <v>2648</v>
      </c>
      <c r="D208" s="708" t="s">
        <v>1287</v>
      </c>
      <c r="E208" s="743" t="s">
        <v>2649</v>
      </c>
      <c r="F208" s="743" t="s">
        <v>2794</v>
      </c>
      <c r="G208" s="744" t="s">
        <v>661</v>
      </c>
      <c r="H208" s="745" t="s">
        <v>442</v>
      </c>
      <c r="I208" s="1307" t="s">
        <v>2780</v>
      </c>
      <c r="J208" s="732" t="s">
        <v>829</v>
      </c>
      <c r="K208" s="710"/>
      <c r="L208" s="730"/>
      <c r="M208" s="731"/>
      <c r="N208" s="1195" t="s">
        <v>830</v>
      </c>
      <c r="O208" s="1195" t="s">
        <v>204</v>
      </c>
      <c r="P208" s="348"/>
      <c r="Q208" s="1308"/>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1432</v>
      </c>
      <c r="C209" s="708" t="s">
        <v>2650</v>
      </c>
      <c r="D209" s="708" t="s">
        <v>1420</v>
      </c>
      <c r="E209" s="746" t="s">
        <v>814</v>
      </c>
      <c r="F209" s="746" t="s">
        <v>2795</v>
      </c>
      <c r="G209" s="744" t="s">
        <v>2757</v>
      </c>
      <c r="H209" s="745" t="s">
        <v>443</v>
      </c>
      <c r="I209" s="1306" t="s">
        <v>1267</v>
      </c>
      <c r="J209" s="732" t="s">
        <v>831</v>
      </c>
      <c r="K209" s="710"/>
      <c r="L209" s="730"/>
      <c r="M209" s="731"/>
      <c r="N209" s="1195" t="s">
        <v>2208</v>
      </c>
      <c r="O209" s="1195" t="s">
        <v>1398</v>
      </c>
      <c r="P209" s="1309"/>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1433</v>
      </c>
      <c r="C210" s="708" t="s">
        <v>2651</v>
      </c>
      <c r="D210" s="708" t="s">
        <v>1287</v>
      </c>
      <c r="E210" s="743" t="s">
        <v>2652</v>
      </c>
      <c r="F210" s="743" t="s">
        <v>2794</v>
      </c>
      <c r="G210" s="744" t="s">
        <v>662</v>
      </c>
      <c r="H210" s="745" t="s">
        <v>442</v>
      </c>
      <c r="I210" s="1307" t="s">
        <v>2780</v>
      </c>
      <c r="J210" s="732" t="s">
        <v>2209</v>
      </c>
      <c r="K210" s="710"/>
      <c r="L210" s="730"/>
      <c r="M210" s="731"/>
      <c r="N210" s="1195" t="s">
        <v>1415</v>
      </c>
      <c r="O210" s="1195" t="s">
        <v>1173</v>
      </c>
      <c r="P210" s="348"/>
      <c r="Q210" s="1308"/>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1434</v>
      </c>
      <c r="C211" s="708" t="s">
        <v>2653</v>
      </c>
      <c r="D211" s="708" t="s">
        <v>1396</v>
      </c>
      <c r="E211" s="746" t="s">
        <v>814</v>
      </c>
      <c r="F211" s="746" t="s">
        <v>2795</v>
      </c>
      <c r="G211" s="744" t="s">
        <v>2757</v>
      </c>
      <c r="H211" s="745" t="s">
        <v>443</v>
      </c>
      <c r="I211" s="1306" t="s">
        <v>1267</v>
      </c>
      <c r="J211" s="732" t="s">
        <v>2210</v>
      </c>
      <c r="K211" s="710"/>
      <c r="L211" s="730"/>
      <c r="M211" s="731"/>
      <c r="N211" s="1195" t="s">
        <v>2211</v>
      </c>
      <c r="O211" s="1195" t="s">
        <v>2653</v>
      </c>
      <c r="P211" s="348"/>
      <c r="Q211" s="1308"/>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1435</v>
      </c>
      <c r="C212" s="708" t="s">
        <v>2654</v>
      </c>
      <c r="D212" s="708" t="s">
        <v>1287</v>
      </c>
      <c r="E212" s="743" t="s">
        <v>2655</v>
      </c>
      <c r="F212" s="743" t="s">
        <v>2794</v>
      </c>
      <c r="G212" s="744" t="s">
        <v>663</v>
      </c>
      <c r="H212" s="745" t="s">
        <v>442</v>
      </c>
      <c r="I212" s="1307" t="s">
        <v>2780</v>
      </c>
      <c r="J212" s="732" t="s">
        <v>2212</v>
      </c>
      <c r="K212" s="710"/>
      <c r="L212" s="730"/>
      <c r="M212" s="731"/>
      <c r="N212" s="1195" t="s">
        <v>2134</v>
      </c>
      <c r="O212" s="1195" t="s">
        <v>2312</v>
      </c>
      <c r="P212" s="348"/>
      <c r="Q212" s="1308"/>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1436</v>
      </c>
      <c r="C213" s="708" t="s">
        <v>2656</v>
      </c>
      <c r="D213" s="708" t="s">
        <v>1287</v>
      </c>
      <c r="E213" s="743" t="s">
        <v>2699</v>
      </c>
      <c r="F213" s="743" t="s">
        <v>2794</v>
      </c>
      <c r="G213" s="744" t="s">
        <v>664</v>
      </c>
      <c r="H213" s="745" t="s">
        <v>442</v>
      </c>
      <c r="I213" s="1307" t="s">
        <v>2780</v>
      </c>
      <c r="J213" s="732" t="s">
        <v>2243</v>
      </c>
      <c r="K213" s="710"/>
      <c r="L213" s="730"/>
      <c r="M213" s="731"/>
      <c r="N213" s="1195" t="s">
        <v>2213</v>
      </c>
      <c r="O213" s="1195" t="s">
        <v>346</v>
      </c>
      <c r="P213" s="348"/>
      <c r="Q213" s="1308"/>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1437</v>
      </c>
      <c r="C214" s="708" t="s">
        <v>2700</v>
      </c>
      <c r="D214" s="708" t="s">
        <v>1420</v>
      </c>
      <c r="E214" s="746" t="s">
        <v>815</v>
      </c>
      <c r="F214" s="746" t="s">
        <v>2795</v>
      </c>
      <c r="G214" s="744" t="s">
        <v>2779</v>
      </c>
      <c r="H214" s="745" t="s">
        <v>443</v>
      </c>
      <c r="I214" s="1307" t="s">
        <v>2780</v>
      </c>
      <c r="J214" s="732" t="s">
        <v>2245</v>
      </c>
      <c r="K214" s="710"/>
      <c r="L214" s="730"/>
      <c r="M214" s="731"/>
      <c r="N214" s="1195" t="s">
        <v>2244</v>
      </c>
      <c r="O214" s="1195" t="s">
        <v>668</v>
      </c>
      <c r="P214" s="348"/>
      <c r="Q214" s="1308"/>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1438</v>
      </c>
      <c r="C215" s="708" t="s">
        <v>2701</v>
      </c>
      <c r="D215" s="708" t="s">
        <v>1287</v>
      </c>
      <c r="E215" s="743" t="s">
        <v>2702</v>
      </c>
      <c r="F215" s="743" t="s">
        <v>2794</v>
      </c>
      <c r="G215" s="744" t="s">
        <v>665</v>
      </c>
      <c r="H215" s="745" t="s">
        <v>442</v>
      </c>
      <c r="I215" s="1307" t="s">
        <v>2780</v>
      </c>
      <c r="J215" s="732" t="s">
        <v>2247</v>
      </c>
      <c r="K215" s="710"/>
      <c r="L215" s="730"/>
      <c r="M215" s="731"/>
      <c r="N215" s="1195" t="s">
        <v>2246</v>
      </c>
      <c r="O215" s="1195" t="s">
        <v>1743</v>
      </c>
      <c r="P215" s="348"/>
      <c r="Q215" s="1308"/>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1439</v>
      </c>
      <c r="C216" s="708" t="s">
        <v>2703</v>
      </c>
      <c r="D216" s="708" t="s">
        <v>1420</v>
      </c>
      <c r="E216" s="746" t="s">
        <v>814</v>
      </c>
      <c r="F216" s="746" t="s">
        <v>2795</v>
      </c>
      <c r="G216" s="744" t="s">
        <v>2757</v>
      </c>
      <c r="H216" s="745" t="s">
        <v>443</v>
      </c>
      <c r="I216" s="1306" t="s">
        <v>1267</v>
      </c>
      <c r="J216" s="732" t="s">
        <v>2249</v>
      </c>
      <c r="K216" s="710"/>
      <c r="L216" s="730"/>
      <c r="M216" s="731"/>
      <c r="N216" s="1195" t="s">
        <v>2248</v>
      </c>
      <c r="O216" s="1195" t="s">
        <v>204</v>
      </c>
      <c r="P216" s="348"/>
      <c r="Q216" s="1308"/>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1440</v>
      </c>
      <c r="C217" s="708" t="s">
        <v>2704</v>
      </c>
      <c r="D217" s="708" t="s">
        <v>1420</v>
      </c>
      <c r="E217" s="746" t="s">
        <v>1405</v>
      </c>
      <c r="F217" s="746" t="s">
        <v>2795</v>
      </c>
      <c r="G217" s="744" t="s">
        <v>2760</v>
      </c>
      <c r="H217" s="745" t="s">
        <v>443</v>
      </c>
      <c r="I217" s="1307" t="s">
        <v>2780</v>
      </c>
      <c r="J217" s="732" t="s">
        <v>2720</v>
      </c>
      <c r="K217" s="710"/>
      <c r="L217" s="730"/>
      <c r="M217" s="731"/>
      <c r="N217" s="1195" t="s">
        <v>1906</v>
      </c>
      <c r="O217" s="1195" t="s">
        <v>125</v>
      </c>
      <c r="P217" s="348"/>
      <c r="Q217" s="1308"/>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1441</v>
      </c>
      <c r="C218" s="708" t="s">
        <v>2705</v>
      </c>
      <c r="D218" s="708" t="s">
        <v>1287</v>
      </c>
      <c r="E218" s="743" t="s">
        <v>201</v>
      </c>
      <c r="F218" s="743" t="s">
        <v>2794</v>
      </c>
      <c r="G218" s="744" t="s">
        <v>666</v>
      </c>
      <c r="H218" s="745" t="s">
        <v>442</v>
      </c>
      <c r="I218" s="1307" t="s">
        <v>2780</v>
      </c>
      <c r="J218" s="732" t="s">
        <v>1065</v>
      </c>
      <c r="K218" s="710"/>
      <c r="L218" s="730"/>
      <c r="M218" s="731"/>
      <c r="N218" s="1195" t="s">
        <v>2721</v>
      </c>
      <c r="O218" s="1195" t="s">
        <v>171</v>
      </c>
      <c r="P218" s="348"/>
      <c r="Q218" s="1308"/>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1442</v>
      </c>
      <c r="C219" s="708" t="s">
        <v>202</v>
      </c>
      <c r="D219" s="708" t="s">
        <v>1396</v>
      </c>
      <c r="E219" s="746" t="s">
        <v>1626</v>
      </c>
      <c r="F219" s="746" t="s">
        <v>2795</v>
      </c>
      <c r="G219" s="744" t="s">
        <v>1798</v>
      </c>
      <c r="H219" s="745" t="s">
        <v>443</v>
      </c>
      <c r="I219" s="1307" t="s">
        <v>2780</v>
      </c>
      <c r="J219" s="732" t="s">
        <v>2137</v>
      </c>
      <c r="K219" s="710"/>
      <c r="L219" s="730"/>
      <c r="M219" s="731"/>
      <c r="N219" s="1195" t="s">
        <v>1066</v>
      </c>
      <c r="O219" s="1195" t="s">
        <v>450</v>
      </c>
      <c r="P219" s="348"/>
      <c r="Q219" s="1308"/>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1443</v>
      </c>
      <c r="C220" s="708" t="s">
        <v>203</v>
      </c>
      <c r="D220" s="708" t="s">
        <v>1396</v>
      </c>
      <c r="E220" s="746" t="s">
        <v>814</v>
      </c>
      <c r="F220" s="746" t="s">
        <v>2795</v>
      </c>
      <c r="G220" s="744" t="s">
        <v>2757</v>
      </c>
      <c r="H220" s="745" t="s">
        <v>443</v>
      </c>
      <c r="I220" s="1306" t="s">
        <v>1267</v>
      </c>
      <c r="J220" s="732" t="s">
        <v>16</v>
      </c>
      <c r="K220" s="710"/>
      <c r="L220" s="730"/>
      <c r="M220" s="731"/>
      <c r="N220" s="1195" t="s">
        <v>1399</v>
      </c>
      <c r="O220" s="1195" t="s">
        <v>346</v>
      </c>
      <c r="P220" s="348"/>
      <c r="Q220" s="1308"/>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1444</v>
      </c>
      <c r="C221" s="708" t="s">
        <v>204</v>
      </c>
      <c r="D221" s="708" t="s">
        <v>1287</v>
      </c>
      <c r="E221" s="743" t="s">
        <v>205</v>
      </c>
      <c r="F221" s="743" t="s">
        <v>2794</v>
      </c>
      <c r="G221" s="744" t="s">
        <v>667</v>
      </c>
      <c r="H221" s="745" t="s">
        <v>442</v>
      </c>
      <c r="I221" s="1307" t="s">
        <v>2780</v>
      </c>
      <c r="J221" s="732" t="s">
        <v>2382</v>
      </c>
      <c r="K221" s="710"/>
      <c r="L221" s="730"/>
      <c r="M221" s="731"/>
      <c r="N221" s="1195" t="s">
        <v>17</v>
      </c>
      <c r="O221" s="1195" t="s">
        <v>1778</v>
      </c>
      <c r="P221" s="348"/>
      <c r="Q221" s="1308"/>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1445</v>
      </c>
      <c r="C222" s="708" t="s">
        <v>206</v>
      </c>
      <c r="D222" s="708" t="s">
        <v>1420</v>
      </c>
      <c r="E222" s="746" t="s">
        <v>814</v>
      </c>
      <c r="F222" s="746" t="s">
        <v>2795</v>
      </c>
      <c r="G222" s="744" t="s">
        <v>2757</v>
      </c>
      <c r="H222" s="745" t="s">
        <v>443</v>
      </c>
      <c r="I222" s="1306" t="s">
        <v>1267</v>
      </c>
      <c r="J222" s="732" t="s">
        <v>2384</v>
      </c>
      <c r="K222" s="710"/>
      <c r="L222" s="730"/>
      <c r="M222" s="731"/>
      <c r="N222" s="1195" t="s">
        <v>2383</v>
      </c>
      <c r="O222" s="1195" t="s">
        <v>1286</v>
      </c>
      <c r="P222" s="348"/>
      <c r="Q222" s="1308"/>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1446</v>
      </c>
      <c r="C223" s="708" t="s">
        <v>207</v>
      </c>
      <c r="D223" s="708" t="s">
        <v>1287</v>
      </c>
      <c r="E223" s="743" t="s">
        <v>1008</v>
      </c>
      <c r="F223" s="743" t="s">
        <v>2794</v>
      </c>
      <c r="G223" s="744" t="s">
        <v>2092</v>
      </c>
      <c r="H223" s="745" t="s">
        <v>442</v>
      </c>
      <c r="I223" s="1307" t="s">
        <v>2780</v>
      </c>
      <c r="J223" s="732" t="s">
        <v>2386</v>
      </c>
      <c r="K223" s="710"/>
      <c r="L223" s="730"/>
      <c r="M223" s="731"/>
      <c r="N223" s="708" t="s">
        <v>2385</v>
      </c>
      <c r="O223" s="708" t="s">
        <v>2391</v>
      </c>
      <c r="P223" s="1310"/>
      <c r="Q223" s="1308"/>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1447</v>
      </c>
      <c r="C224" s="708" t="s">
        <v>1009</v>
      </c>
      <c r="D224" s="708" t="s">
        <v>1287</v>
      </c>
      <c r="E224" s="743" t="s">
        <v>1010</v>
      </c>
      <c r="F224" s="743" t="s">
        <v>2794</v>
      </c>
      <c r="G224" s="744" t="s">
        <v>2093</v>
      </c>
      <c r="H224" s="745" t="s">
        <v>442</v>
      </c>
      <c r="I224" s="1307" t="s">
        <v>2780</v>
      </c>
      <c r="J224" s="732" t="s">
        <v>2416</v>
      </c>
      <c r="K224" s="710"/>
      <c r="L224" s="730"/>
      <c r="M224" s="731"/>
      <c r="N224" s="1195" t="s">
        <v>2742</v>
      </c>
      <c r="O224" s="1195" t="s">
        <v>668</v>
      </c>
      <c r="P224" s="348"/>
      <c r="Q224" s="1308"/>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1448</v>
      </c>
      <c r="C225" s="708" t="s">
        <v>1011</v>
      </c>
      <c r="D225" s="708" t="s">
        <v>1287</v>
      </c>
      <c r="E225" s="746" t="s">
        <v>1905</v>
      </c>
      <c r="F225" s="746" t="s">
        <v>2795</v>
      </c>
      <c r="G225" s="744" t="s">
        <v>1230</v>
      </c>
      <c r="H225" s="745" t="s">
        <v>443</v>
      </c>
      <c r="I225" s="1307" t="s">
        <v>1267</v>
      </c>
      <c r="J225" s="732" t="s">
        <v>1896</v>
      </c>
      <c r="K225" s="710"/>
      <c r="L225" s="730"/>
      <c r="M225" s="731"/>
      <c r="N225" s="1195" t="s">
        <v>2387</v>
      </c>
      <c r="O225" s="1195" t="s">
        <v>124</v>
      </c>
      <c r="P225" s="348"/>
      <c r="Q225" s="1308"/>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1449</v>
      </c>
      <c r="C226" s="708" t="s">
        <v>927</v>
      </c>
      <c r="D226" s="708" t="s">
        <v>1420</v>
      </c>
      <c r="E226" s="746" t="s">
        <v>814</v>
      </c>
      <c r="F226" s="746" t="s">
        <v>2795</v>
      </c>
      <c r="G226" s="744" t="s">
        <v>2757</v>
      </c>
      <c r="H226" s="745" t="s">
        <v>443</v>
      </c>
      <c r="I226" s="1306" t="s">
        <v>1267</v>
      </c>
      <c r="J226" s="732" t="s">
        <v>1898</v>
      </c>
      <c r="K226" s="710"/>
      <c r="L226" s="730"/>
      <c r="M226" s="731"/>
      <c r="N226" s="1195" t="s">
        <v>1871</v>
      </c>
      <c r="O226" s="1195" t="s">
        <v>2656</v>
      </c>
      <c r="P226" s="348"/>
      <c r="Q226" s="1308"/>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1450</v>
      </c>
      <c r="C227" s="708" t="s">
        <v>928</v>
      </c>
      <c r="D227" s="708" t="s">
        <v>1287</v>
      </c>
      <c r="E227" s="743" t="s">
        <v>929</v>
      </c>
      <c r="F227" s="743" t="s">
        <v>2794</v>
      </c>
      <c r="G227" s="744" t="s">
        <v>2094</v>
      </c>
      <c r="H227" s="745" t="s">
        <v>442</v>
      </c>
      <c r="I227" s="1307" t="s">
        <v>2780</v>
      </c>
      <c r="J227" s="732" t="s">
        <v>2296</v>
      </c>
      <c r="K227" s="710"/>
      <c r="L227" s="730"/>
      <c r="M227" s="731"/>
      <c r="N227" s="1195" t="s">
        <v>1897</v>
      </c>
      <c r="O227" s="1195" t="s">
        <v>1398</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1451</v>
      </c>
      <c r="C228" s="708" t="s">
        <v>930</v>
      </c>
      <c r="D228" s="708" t="s">
        <v>1287</v>
      </c>
      <c r="E228" s="743" t="s">
        <v>1814</v>
      </c>
      <c r="F228" s="743" t="s">
        <v>2795</v>
      </c>
      <c r="G228" s="744" t="s">
        <v>2763</v>
      </c>
      <c r="H228" s="745" t="s">
        <v>443</v>
      </c>
      <c r="I228" s="1307" t="s">
        <v>2780</v>
      </c>
      <c r="J228" s="732" t="s">
        <v>2297</v>
      </c>
      <c r="K228" s="710"/>
      <c r="L228" s="730"/>
      <c r="M228" s="731"/>
      <c r="N228" s="1195" t="s">
        <v>1899</v>
      </c>
      <c r="O228" s="1195" t="s">
        <v>2143</v>
      </c>
      <c r="P228" s="1309"/>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1452</v>
      </c>
      <c r="C229" s="708" t="s">
        <v>931</v>
      </c>
      <c r="D229" s="708" t="s">
        <v>1287</v>
      </c>
      <c r="E229" s="746" t="s">
        <v>1411</v>
      </c>
      <c r="F229" s="746" t="s">
        <v>2795</v>
      </c>
      <c r="G229" s="744" t="s">
        <v>1558</v>
      </c>
      <c r="H229" s="745" t="s">
        <v>443</v>
      </c>
      <c r="I229" s="1307" t="s">
        <v>2780</v>
      </c>
      <c r="J229" s="732" t="s">
        <v>2607</v>
      </c>
      <c r="K229" s="733"/>
      <c r="L229" s="730"/>
      <c r="M229" s="731"/>
      <c r="N229" s="1195" t="s">
        <v>878</v>
      </c>
      <c r="O229" s="1195" t="s">
        <v>2769</v>
      </c>
      <c r="P229" s="348"/>
      <c r="Q229" s="1308"/>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932</v>
      </c>
      <c r="D230" s="708" t="s">
        <v>1420</v>
      </c>
      <c r="E230" s="743" t="s">
        <v>933</v>
      </c>
      <c r="F230" s="743" t="s">
        <v>2794</v>
      </c>
      <c r="G230" s="744" t="s">
        <v>1421</v>
      </c>
      <c r="H230" s="745" t="s">
        <v>442</v>
      </c>
      <c r="I230" s="1307" t="s">
        <v>2780</v>
      </c>
      <c r="J230" s="732" t="s">
        <v>2609</v>
      </c>
      <c r="K230" s="733"/>
      <c r="L230" s="730"/>
      <c r="M230" s="731"/>
      <c r="N230" s="1195" t="s">
        <v>2298</v>
      </c>
      <c r="O230" s="1195" t="s">
        <v>2771</v>
      </c>
      <c r="P230" s="348"/>
      <c r="Q230" s="1308"/>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2389</v>
      </c>
      <c r="D231" s="708" t="s">
        <v>1287</v>
      </c>
      <c r="E231" s="743" t="s">
        <v>2390</v>
      </c>
      <c r="F231" s="743" t="s">
        <v>2794</v>
      </c>
      <c r="G231" s="744" t="s">
        <v>1422</v>
      </c>
      <c r="H231" s="745" t="s">
        <v>442</v>
      </c>
      <c r="I231" s="1307" t="s">
        <v>2780</v>
      </c>
      <c r="J231" s="732" t="s">
        <v>2611</v>
      </c>
      <c r="K231" s="733"/>
      <c r="L231" s="730"/>
      <c r="M231" s="731"/>
      <c r="N231" s="708" t="s">
        <v>2608</v>
      </c>
      <c r="O231" s="708" t="s">
        <v>1158</v>
      </c>
      <c r="P231" s="1310"/>
      <c r="Q231" s="1308"/>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2391</v>
      </c>
      <c r="D232" s="708" t="s">
        <v>1287</v>
      </c>
      <c r="E232" s="743" t="s">
        <v>699</v>
      </c>
      <c r="F232" s="743" t="s">
        <v>2794</v>
      </c>
      <c r="G232" s="744" t="s">
        <v>1423</v>
      </c>
      <c r="H232" s="745" t="s">
        <v>442</v>
      </c>
      <c r="I232" s="1307" t="s">
        <v>2780</v>
      </c>
      <c r="J232" s="732" t="s">
        <v>2613</v>
      </c>
      <c r="K232" s="733"/>
      <c r="L232" s="730"/>
      <c r="M232" s="731"/>
      <c r="N232" s="1195" t="s">
        <v>2743</v>
      </c>
      <c r="O232" s="1195" t="s">
        <v>337</v>
      </c>
      <c r="P232" s="348"/>
      <c r="Q232" s="1308"/>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700</v>
      </c>
      <c r="D233" s="708" t="s">
        <v>1396</v>
      </c>
      <c r="E233" s="743" t="s">
        <v>701</v>
      </c>
      <c r="F233" s="743" t="s">
        <v>2794</v>
      </c>
      <c r="G233" s="744" t="s">
        <v>1424</v>
      </c>
      <c r="H233" s="745" t="s">
        <v>442</v>
      </c>
      <c r="I233" s="1307" t="s">
        <v>2780</v>
      </c>
      <c r="J233" s="732" t="s">
        <v>2614</v>
      </c>
      <c r="K233" s="733"/>
      <c r="L233" s="730"/>
      <c r="M233" s="731"/>
      <c r="N233" s="1195" t="s">
        <v>2610</v>
      </c>
      <c r="O233" s="1195" t="s">
        <v>2053</v>
      </c>
      <c r="P233" s="348"/>
      <c r="Q233" s="1308"/>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702</v>
      </c>
      <c r="D234" s="708" t="s">
        <v>1420</v>
      </c>
      <c r="E234" s="746" t="s">
        <v>814</v>
      </c>
      <c r="F234" s="746" t="s">
        <v>2795</v>
      </c>
      <c r="G234" s="744" t="s">
        <v>2757</v>
      </c>
      <c r="H234" s="745" t="s">
        <v>443</v>
      </c>
      <c r="I234" s="1306" t="s">
        <v>1267</v>
      </c>
      <c r="J234" s="732" t="s">
        <v>2375</v>
      </c>
      <c r="K234" s="733"/>
      <c r="L234" s="730"/>
      <c r="M234" s="731"/>
      <c r="N234" s="1195" t="s">
        <v>2612</v>
      </c>
      <c r="O234" s="1195" t="s">
        <v>928</v>
      </c>
      <c r="P234" s="348"/>
      <c r="Q234" s="1308"/>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703</v>
      </c>
      <c r="D235" s="708" t="s">
        <v>1396</v>
      </c>
      <c r="E235" s="746" t="s">
        <v>2415</v>
      </c>
      <c r="F235" s="746" t="s">
        <v>2795</v>
      </c>
      <c r="G235" s="744" t="s">
        <v>1425</v>
      </c>
      <c r="H235" s="745" t="s">
        <v>443</v>
      </c>
      <c r="I235" s="1307" t="s">
        <v>1267</v>
      </c>
      <c r="J235" s="732" t="s">
        <v>755</v>
      </c>
      <c r="K235" s="733"/>
      <c r="L235" s="730"/>
      <c r="M235" s="731"/>
      <c r="N235" s="1195" t="s">
        <v>2615</v>
      </c>
      <c r="O235" s="1195" t="s">
        <v>166</v>
      </c>
      <c r="P235" s="348"/>
      <c r="Q235" s="1308"/>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704</v>
      </c>
      <c r="D236" s="708" t="s">
        <v>1396</v>
      </c>
      <c r="E236" s="746" t="s">
        <v>814</v>
      </c>
      <c r="F236" s="746" t="s">
        <v>2795</v>
      </c>
      <c r="G236" s="744" t="s">
        <v>2757</v>
      </c>
      <c r="H236" s="745" t="s">
        <v>443</v>
      </c>
      <c r="I236" s="1306" t="s">
        <v>1267</v>
      </c>
      <c r="J236" s="732" t="s">
        <v>757</v>
      </c>
      <c r="K236" s="733"/>
      <c r="L236" s="730"/>
      <c r="M236" s="731"/>
      <c r="N236" s="1195" t="s">
        <v>2376</v>
      </c>
      <c r="O236" s="1195" t="s">
        <v>700</v>
      </c>
      <c r="P236" s="348"/>
      <c r="Q236" s="1308"/>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705</v>
      </c>
      <c r="D237" s="708" t="s">
        <v>1396</v>
      </c>
      <c r="E237" s="746" t="s">
        <v>706</v>
      </c>
      <c r="F237" s="746" t="s">
        <v>2794</v>
      </c>
      <c r="G237" s="744" t="s">
        <v>1426</v>
      </c>
      <c r="H237" s="745" t="s">
        <v>442</v>
      </c>
      <c r="I237" s="1307" t="s">
        <v>2780</v>
      </c>
      <c r="J237" s="732" t="s">
        <v>759</v>
      </c>
      <c r="K237" s="733"/>
      <c r="L237" s="730"/>
      <c r="M237" s="731"/>
      <c r="N237" s="1195" t="s">
        <v>756</v>
      </c>
      <c r="O237" s="1195" t="s">
        <v>2648</v>
      </c>
      <c r="P237" s="348"/>
      <c r="Q237" s="1308"/>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1282</v>
      </c>
      <c r="D238" s="708" t="s">
        <v>1420</v>
      </c>
      <c r="E238" s="746" t="s">
        <v>814</v>
      </c>
      <c r="F238" s="746" t="s">
        <v>2795</v>
      </c>
      <c r="G238" s="744" t="s">
        <v>2757</v>
      </c>
      <c r="H238" s="745" t="s">
        <v>443</v>
      </c>
      <c r="I238" s="1306" t="s">
        <v>1267</v>
      </c>
      <c r="J238" s="732" t="s">
        <v>761</v>
      </c>
      <c r="K238" s="733"/>
      <c r="L238" s="730"/>
      <c r="M238" s="731"/>
      <c r="N238" s="1195" t="s">
        <v>758</v>
      </c>
      <c r="O238" s="1195" t="s">
        <v>1173</v>
      </c>
      <c r="P238" s="348"/>
      <c r="Q238" s="1308"/>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707</v>
      </c>
      <c r="D239" s="708" t="s">
        <v>1396</v>
      </c>
      <c r="E239" s="743" t="s">
        <v>708</v>
      </c>
      <c r="F239" s="743" t="s">
        <v>2794</v>
      </c>
      <c r="G239" s="744" t="s">
        <v>252</v>
      </c>
      <c r="H239" s="745" t="s">
        <v>442</v>
      </c>
      <c r="I239" s="1307" t="s">
        <v>2780</v>
      </c>
      <c r="J239" s="732" t="s">
        <v>2366</v>
      </c>
      <c r="K239" s="733"/>
      <c r="L239" s="730"/>
      <c r="M239" s="731"/>
      <c r="N239" s="708" t="s">
        <v>760</v>
      </c>
      <c r="O239" s="708" t="s">
        <v>2771</v>
      </c>
      <c r="P239" s="1310"/>
      <c r="Q239" s="1308"/>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709</v>
      </c>
      <c r="D240" s="708" t="s">
        <v>1420</v>
      </c>
      <c r="E240" s="746" t="s">
        <v>710</v>
      </c>
      <c r="F240" s="746" t="s">
        <v>2794</v>
      </c>
      <c r="G240" s="744" t="s">
        <v>253</v>
      </c>
      <c r="H240" s="745" t="s">
        <v>442</v>
      </c>
      <c r="I240" s="1307" t="s">
        <v>2780</v>
      </c>
      <c r="J240" s="732" t="s">
        <v>2367</v>
      </c>
      <c r="K240" s="733"/>
      <c r="L240" s="730"/>
      <c r="M240" s="731"/>
      <c r="N240" s="1195" t="s">
        <v>2744</v>
      </c>
      <c r="O240" s="1195" t="s">
        <v>2650</v>
      </c>
      <c r="P240" s="348"/>
      <c r="Q240" s="1308"/>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711</v>
      </c>
      <c r="D241" s="708" t="s">
        <v>1287</v>
      </c>
      <c r="E241" s="743" t="s">
        <v>12</v>
      </c>
      <c r="F241" s="743" t="s">
        <v>2795</v>
      </c>
      <c r="G241" s="744" t="s">
        <v>2762</v>
      </c>
      <c r="H241" s="745" t="s">
        <v>443</v>
      </c>
      <c r="I241" s="1307" t="s">
        <v>1267</v>
      </c>
      <c r="J241" s="732" t="s">
        <v>2369</v>
      </c>
      <c r="K241" s="733"/>
      <c r="L241" s="730"/>
      <c r="M241" s="731"/>
      <c r="N241" s="1195" t="s">
        <v>2368</v>
      </c>
      <c r="O241" s="1195" t="s">
        <v>1778</v>
      </c>
      <c r="P241" s="348"/>
      <c r="Q241" s="1308"/>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712</v>
      </c>
      <c r="D242" s="708" t="s">
        <v>1396</v>
      </c>
      <c r="E242" s="743" t="s">
        <v>713</v>
      </c>
      <c r="F242" s="743" t="s">
        <v>2794</v>
      </c>
      <c r="G242" s="744" t="s">
        <v>254</v>
      </c>
      <c r="H242" s="745" t="s">
        <v>442</v>
      </c>
      <c r="I242" s="1307" t="s">
        <v>2780</v>
      </c>
      <c r="J242" s="732" t="s">
        <v>729</v>
      </c>
      <c r="K242" s="733"/>
      <c r="L242" s="730"/>
      <c r="M242" s="731"/>
      <c r="N242" s="1195" t="s">
        <v>2370</v>
      </c>
      <c r="O242" s="1195" t="s">
        <v>2765</v>
      </c>
      <c r="P242" s="348"/>
      <c r="Q242" s="1308"/>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714</v>
      </c>
      <c r="D243" s="708" t="s">
        <v>1287</v>
      </c>
      <c r="E243" s="743" t="s">
        <v>715</v>
      </c>
      <c r="F243" s="743" t="s">
        <v>2794</v>
      </c>
      <c r="G243" s="744" t="s">
        <v>422</v>
      </c>
      <c r="H243" s="745" t="s">
        <v>442</v>
      </c>
      <c r="I243" s="1307" t="s">
        <v>2780</v>
      </c>
      <c r="J243" s="732" t="s">
        <v>842</v>
      </c>
      <c r="K243" s="733"/>
      <c r="L243" s="730"/>
      <c r="M243" s="731"/>
      <c r="N243" s="1195" t="s">
        <v>730</v>
      </c>
      <c r="O243" s="1195" t="s">
        <v>782</v>
      </c>
      <c r="P243" s="348"/>
      <c r="Q243" s="1308"/>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716</v>
      </c>
      <c r="D244" s="708" t="s">
        <v>1420</v>
      </c>
      <c r="E244" s="743" t="s">
        <v>717</v>
      </c>
      <c r="F244" s="743" t="s">
        <v>2794</v>
      </c>
      <c r="G244" s="744" t="s">
        <v>423</v>
      </c>
      <c r="H244" s="745" t="s">
        <v>442</v>
      </c>
      <c r="I244" s="1307" t="s">
        <v>2780</v>
      </c>
      <c r="J244" s="732" t="s">
        <v>2418</v>
      </c>
      <c r="K244" s="733"/>
      <c r="L244" s="730"/>
      <c r="M244" s="731"/>
      <c r="N244" s="1195" t="s">
        <v>2417</v>
      </c>
      <c r="O244" s="1195" t="s">
        <v>334</v>
      </c>
      <c r="P244" s="348"/>
      <c r="Q244" s="1308"/>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1420</v>
      </c>
      <c r="E245" s="746" t="s">
        <v>814</v>
      </c>
      <c r="F245" s="746" t="s">
        <v>2795</v>
      </c>
      <c r="G245" s="744" t="s">
        <v>2757</v>
      </c>
      <c r="H245" s="745" t="s">
        <v>443</v>
      </c>
      <c r="I245" s="1306" t="s">
        <v>1267</v>
      </c>
      <c r="J245" s="732" t="s">
        <v>2448</v>
      </c>
      <c r="K245" s="733"/>
      <c r="L245" s="730"/>
      <c r="M245" s="731"/>
      <c r="N245" s="1195" t="s">
        <v>2480</v>
      </c>
      <c r="O245" s="1195" t="s">
        <v>932</v>
      </c>
      <c r="P245" s="348"/>
      <c r="Q245" s="1308"/>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1396</v>
      </c>
      <c r="E246" s="743" t="s">
        <v>126</v>
      </c>
      <c r="F246" s="743" t="s">
        <v>2794</v>
      </c>
      <c r="G246" s="744" t="s">
        <v>424</v>
      </c>
      <c r="H246" s="745" t="s">
        <v>442</v>
      </c>
      <c r="I246" s="1307" t="s">
        <v>2780</v>
      </c>
      <c r="J246" s="732" t="s">
        <v>48</v>
      </c>
      <c r="K246" s="733"/>
      <c r="L246" s="730"/>
      <c r="M246" s="731"/>
      <c r="N246" s="1195" t="s">
        <v>49</v>
      </c>
      <c r="O246" s="1195" t="s">
        <v>341</v>
      </c>
      <c r="P246" s="348"/>
      <c r="Q246" s="1308"/>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1396</v>
      </c>
      <c r="E247" s="743" t="s">
        <v>1297</v>
      </c>
      <c r="F247" s="743" t="s">
        <v>2795</v>
      </c>
      <c r="G247" s="744" t="s">
        <v>425</v>
      </c>
      <c r="H247" s="745" t="s">
        <v>443</v>
      </c>
      <c r="I247" s="1307" t="s">
        <v>1267</v>
      </c>
      <c r="J247" s="732" t="s">
        <v>673</v>
      </c>
      <c r="K247" s="733"/>
      <c r="L247" s="730"/>
      <c r="M247" s="731"/>
      <c r="N247" s="1195" t="s">
        <v>674</v>
      </c>
      <c r="O247" s="1195" t="s">
        <v>2773</v>
      </c>
      <c r="P247" s="348"/>
      <c r="Q247" s="1308"/>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1420</v>
      </c>
      <c r="E248" s="743" t="s">
        <v>331</v>
      </c>
      <c r="F248" s="743" t="s">
        <v>2794</v>
      </c>
      <c r="G248" s="744" t="s">
        <v>426</v>
      </c>
      <c r="H248" s="745" t="s">
        <v>442</v>
      </c>
      <c r="I248" s="1307" t="s">
        <v>2780</v>
      </c>
      <c r="J248" s="732" t="s">
        <v>320</v>
      </c>
      <c r="K248" s="733"/>
      <c r="L248" s="730"/>
      <c r="M248" s="731"/>
      <c r="N248" s="1195" t="s">
        <v>321</v>
      </c>
      <c r="O248" s="1195" t="s">
        <v>332</v>
      </c>
      <c r="P248" s="348"/>
      <c r="Q248" s="1308"/>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1396</v>
      </c>
      <c r="E249" s="746" t="s">
        <v>816</v>
      </c>
      <c r="F249" s="746" t="s">
        <v>2795</v>
      </c>
      <c r="G249" s="744" t="s">
        <v>427</v>
      </c>
      <c r="H249" s="745" t="s">
        <v>443</v>
      </c>
      <c r="I249" s="1307" t="s">
        <v>2780</v>
      </c>
      <c r="J249" s="732" t="s">
        <v>2522</v>
      </c>
      <c r="K249" s="733"/>
      <c r="L249" s="730"/>
      <c r="M249" s="731"/>
      <c r="N249" s="1195" t="s">
        <v>2523</v>
      </c>
      <c r="O249" s="1195" t="s">
        <v>204</v>
      </c>
      <c r="P249" s="348"/>
      <c r="Q249" s="1308"/>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1420</v>
      </c>
      <c r="E250" s="746" t="s">
        <v>168</v>
      </c>
      <c r="F250" s="746" t="s">
        <v>2795</v>
      </c>
      <c r="G250" s="744" t="s">
        <v>1800</v>
      </c>
      <c r="H250" s="745" t="s">
        <v>443</v>
      </c>
      <c r="I250" s="1307" t="s">
        <v>2780</v>
      </c>
      <c r="J250" s="732" t="s">
        <v>2550</v>
      </c>
      <c r="K250" s="733"/>
      <c r="L250" s="730"/>
      <c r="M250" s="731"/>
      <c r="N250" s="1195" t="s">
        <v>2551</v>
      </c>
      <c r="O250" s="1195" t="s">
        <v>1777</v>
      </c>
      <c r="P250" s="348"/>
      <c r="Q250" s="1308"/>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1420</v>
      </c>
      <c r="E251" s="743" t="s">
        <v>335</v>
      </c>
      <c r="F251" s="743" t="s">
        <v>2794</v>
      </c>
      <c r="G251" s="744" t="s">
        <v>428</v>
      </c>
      <c r="H251" s="745" t="s">
        <v>442</v>
      </c>
      <c r="I251" s="1307" t="s">
        <v>2780</v>
      </c>
      <c r="J251" s="732" t="s">
        <v>2552</v>
      </c>
      <c r="K251" s="733"/>
      <c r="L251" s="730"/>
      <c r="M251" s="731"/>
      <c r="N251" s="1195" t="s">
        <v>3484</v>
      </c>
      <c r="O251" s="1195" t="s">
        <v>668</v>
      </c>
      <c r="P251" s="348"/>
      <c r="Q251" s="1308"/>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1420</v>
      </c>
      <c r="E252" s="746" t="s">
        <v>814</v>
      </c>
      <c r="F252" s="746" t="s">
        <v>2795</v>
      </c>
      <c r="G252" s="744" t="s">
        <v>2757</v>
      </c>
      <c r="H252" s="745" t="s">
        <v>443</v>
      </c>
      <c r="I252" s="1306" t="s">
        <v>1267</v>
      </c>
      <c r="J252" s="732" t="s">
        <v>2553</v>
      </c>
      <c r="K252" s="733"/>
      <c r="L252" s="730"/>
      <c r="M252" s="731"/>
      <c r="N252" s="1195" t="s">
        <v>669</v>
      </c>
      <c r="O252" s="1195" t="s">
        <v>1412</v>
      </c>
      <c r="P252" s="348"/>
      <c r="Q252" s="1308"/>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1420</v>
      </c>
      <c r="E253" s="746" t="s">
        <v>814</v>
      </c>
      <c r="F253" s="746" t="s">
        <v>2795</v>
      </c>
      <c r="G253" s="744" t="s">
        <v>2757</v>
      </c>
      <c r="H253" s="745" t="s">
        <v>443</v>
      </c>
      <c r="I253" s="1306" t="s">
        <v>1267</v>
      </c>
      <c r="J253" s="732" t="s">
        <v>2514</v>
      </c>
      <c r="K253" s="733"/>
      <c r="L253" s="730"/>
      <c r="M253" s="731"/>
      <c r="N253" s="1195" t="s">
        <v>1409</v>
      </c>
      <c r="O253" s="1195" t="s">
        <v>702</v>
      </c>
      <c r="P253" s="348"/>
      <c r="Q253" s="1308"/>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1420</v>
      </c>
      <c r="E254" s="746" t="s">
        <v>1827</v>
      </c>
      <c r="F254" s="746" t="s">
        <v>2795</v>
      </c>
      <c r="G254" s="744" t="s">
        <v>429</v>
      </c>
      <c r="H254" s="745" t="s">
        <v>443</v>
      </c>
      <c r="I254" s="1307" t="s">
        <v>1267</v>
      </c>
      <c r="J254" s="732" t="s">
        <v>11</v>
      </c>
      <c r="K254" s="733"/>
      <c r="L254" s="730"/>
      <c r="M254" s="731"/>
      <c r="N254" s="1195" t="s">
        <v>2515</v>
      </c>
      <c r="O254" s="1195" t="s">
        <v>2654</v>
      </c>
      <c r="P254" s="737"/>
      <c r="Q254" s="1308"/>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1287</v>
      </c>
      <c r="E255" s="743" t="s">
        <v>340</v>
      </c>
      <c r="F255" s="743" t="s">
        <v>2794</v>
      </c>
      <c r="G255" s="744" t="s">
        <v>692</v>
      </c>
      <c r="H255" s="745" t="s">
        <v>442</v>
      </c>
      <c r="I255" s="1307" t="s">
        <v>2780</v>
      </c>
      <c r="J255" s="732" t="s">
        <v>13</v>
      </c>
      <c r="K255" s="733"/>
      <c r="L255" s="730"/>
      <c r="M255" s="731"/>
      <c r="N255" s="1195" t="s">
        <v>12</v>
      </c>
      <c r="O255" s="1195" t="s">
        <v>711</v>
      </c>
      <c r="P255" s="348"/>
      <c r="Q255" s="1308"/>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1420</v>
      </c>
      <c r="E256" s="743" t="s">
        <v>342</v>
      </c>
      <c r="F256" s="743" t="s">
        <v>2794</v>
      </c>
      <c r="G256" s="744" t="s">
        <v>693</v>
      </c>
      <c r="H256" s="745" t="s">
        <v>442</v>
      </c>
      <c r="I256" s="1307" t="s">
        <v>2780</v>
      </c>
      <c r="J256" s="732" t="s">
        <v>59</v>
      </c>
      <c r="K256" s="733"/>
      <c r="L256" s="730"/>
      <c r="M256" s="731"/>
      <c r="N256" s="1195" t="s">
        <v>14</v>
      </c>
      <c r="O256" s="1195" t="s">
        <v>332</v>
      </c>
      <c r="P256" s="348"/>
      <c r="Q256" s="1308"/>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1420</v>
      </c>
      <c r="E257" s="746" t="s">
        <v>814</v>
      </c>
      <c r="F257" s="746" t="s">
        <v>2795</v>
      </c>
      <c r="G257" s="744" t="s">
        <v>2757</v>
      </c>
      <c r="H257" s="745" t="s">
        <v>443</v>
      </c>
      <c r="I257" s="1306" t="s">
        <v>1267</v>
      </c>
      <c r="J257" s="732" t="s">
        <v>61</v>
      </c>
      <c r="K257" s="733"/>
      <c r="L257" s="730"/>
      <c r="M257" s="731"/>
      <c r="N257" s="1195" t="s">
        <v>60</v>
      </c>
      <c r="O257" s="1195" t="s">
        <v>2765</v>
      </c>
      <c r="P257" s="348"/>
      <c r="Q257" s="1308"/>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1287</v>
      </c>
      <c r="E258" s="743" t="s">
        <v>345</v>
      </c>
      <c r="F258" s="743" t="s">
        <v>2794</v>
      </c>
      <c r="G258" s="744" t="s">
        <v>694</v>
      </c>
      <c r="H258" s="745" t="s">
        <v>442</v>
      </c>
      <c r="I258" s="1307" t="s">
        <v>2780</v>
      </c>
      <c r="J258" s="732" t="s">
        <v>63</v>
      </c>
      <c r="K258" s="733"/>
      <c r="L258" s="730"/>
      <c r="M258" s="731"/>
      <c r="N258" s="1195" t="s">
        <v>62</v>
      </c>
      <c r="O258" s="1195" t="s">
        <v>375</v>
      </c>
      <c r="P258" s="348"/>
      <c r="Q258" s="1308"/>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1420</v>
      </c>
      <c r="E259" s="743" t="s">
        <v>347</v>
      </c>
      <c r="F259" s="743" t="s">
        <v>2794</v>
      </c>
      <c r="G259" s="744" t="s">
        <v>278</v>
      </c>
      <c r="H259" s="745" t="s">
        <v>442</v>
      </c>
      <c r="I259" s="1307" t="s">
        <v>2780</v>
      </c>
      <c r="J259" s="732" t="s">
        <v>369</v>
      </c>
      <c r="K259" s="733"/>
      <c r="L259" s="730"/>
      <c r="M259" s="731"/>
      <c r="N259" s="1195" t="s">
        <v>64</v>
      </c>
      <c r="O259" s="1195" t="s">
        <v>124</v>
      </c>
      <c r="P259" s="348"/>
      <c r="Q259" s="1308"/>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1287</v>
      </c>
      <c r="E260" s="743" t="s">
        <v>349</v>
      </c>
      <c r="F260" s="743" t="s">
        <v>2794</v>
      </c>
      <c r="G260" s="744" t="s">
        <v>279</v>
      </c>
      <c r="H260" s="745" t="s">
        <v>442</v>
      </c>
      <c r="I260" s="1307" t="s">
        <v>2780</v>
      </c>
      <c r="J260" s="732" t="s">
        <v>371</v>
      </c>
      <c r="K260" s="733"/>
      <c r="L260" s="730"/>
      <c r="M260" s="731"/>
      <c r="N260" s="1195" t="s">
        <v>370</v>
      </c>
      <c r="O260" s="1195" t="s">
        <v>2324</v>
      </c>
      <c r="P260" s="348"/>
      <c r="Q260" s="1308"/>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1287</v>
      </c>
      <c r="E261" s="743" t="s">
        <v>351</v>
      </c>
      <c r="F261" s="743" t="s">
        <v>2794</v>
      </c>
      <c r="G261" s="744" t="s">
        <v>280</v>
      </c>
      <c r="H261" s="745" t="s">
        <v>442</v>
      </c>
      <c r="I261" s="1307" t="s">
        <v>2780</v>
      </c>
      <c r="J261" s="732" t="s">
        <v>373</v>
      </c>
      <c r="K261" s="733"/>
      <c r="L261" s="730"/>
      <c r="M261" s="731"/>
      <c r="N261" s="1195" t="s">
        <v>372</v>
      </c>
      <c r="O261" s="1195" t="s">
        <v>1009</v>
      </c>
      <c r="P261" s="348"/>
      <c r="Q261" s="1308"/>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1420</v>
      </c>
      <c r="E262" s="746" t="s">
        <v>1405</v>
      </c>
      <c r="F262" s="746" t="s">
        <v>2795</v>
      </c>
      <c r="G262" s="744" t="s">
        <v>2760</v>
      </c>
      <c r="H262" s="745" t="s">
        <v>443</v>
      </c>
      <c r="I262" s="1307" t="s">
        <v>2780</v>
      </c>
      <c r="J262" s="732" t="s">
        <v>2436</v>
      </c>
      <c r="K262" s="733"/>
      <c r="L262" s="730"/>
      <c r="M262" s="731"/>
      <c r="N262" s="1195" t="s">
        <v>374</v>
      </c>
      <c r="O262" s="1195" t="s">
        <v>1155</v>
      </c>
      <c r="P262" s="348"/>
      <c r="Q262" s="1308"/>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1420</v>
      </c>
      <c r="E263" s="746" t="s">
        <v>817</v>
      </c>
      <c r="F263" s="746" t="s">
        <v>2795</v>
      </c>
      <c r="G263" s="744" t="s">
        <v>281</v>
      </c>
      <c r="H263" s="745" t="s">
        <v>443</v>
      </c>
      <c r="I263" s="1307" t="s">
        <v>2780</v>
      </c>
      <c r="J263" s="732" t="s">
        <v>2438</v>
      </c>
      <c r="K263" s="733"/>
      <c r="L263" s="730"/>
      <c r="M263" s="731"/>
      <c r="N263" s="1195" t="s">
        <v>670</v>
      </c>
      <c r="O263" s="1195" t="s">
        <v>1548</v>
      </c>
      <c r="P263" s="348"/>
      <c r="Q263" s="1308"/>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1547</v>
      </c>
      <c r="D264" s="708" t="s">
        <v>1287</v>
      </c>
      <c r="E264" s="743" t="s">
        <v>1814</v>
      </c>
      <c r="F264" s="743" t="s">
        <v>2795</v>
      </c>
      <c r="G264" s="744" t="s">
        <v>2763</v>
      </c>
      <c r="H264" s="745" t="s">
        <v>443</v>
      </c>
      <c r="I264" s="1307" t="s">
        <v>2780</v>
      </c>
      <c r="J264" s="732" t="s">
        <v>2439</v>
      </c>
      <c r="K264" s="733"/>
      <c r="L264" s="730"/>
      <c r="M264" s="731"/>
      <c r="N264" s="1195" t="s">
        <v>2437</v>
      </c>
      <c r="O264" s="1195" t="s">
        <v>714</v>
      </c>
      <c r="P264" s="348"/>
      <c r="Q264" s="1308"/>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1548</v>
      </c>
      <c r="D265" s="708" t="s">
        <v>1287</v>
      </c>
      <c r="E265" s="743" t="s">
        <v>1549</v>
      </c>
      <c r="F265" s="743" t="s">
        <v>2794</v>
      </c>
      <c r="G265" s="744" t="s">
        <v>282</v>
      </c>
      <c r="H265" s="745" t="s">
        <v>442</v>
      </c>
      <c r="I265" s="1307" t="s">
        <v>2780</v>
      </c>
      <c r="J265" s="732" t="s">
        <v>2440</v>
      </c>
      <c r="K265" s="733"/>
      <c r="L265" s="730"/>
      <c r="M265" s="731"/>
      <c r="N265" s="1195" t="s">
        <v>1417</v>
      </c>
      <c r="O265" s="1195" t="s">
        <v>712</v>
      </c>
      <c r="P265" s="348"/>
      <c r="Q265" s="1308"/>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1550</v>
      </c>
      <c r="D266" s="708" t="s">
        <v>1287</v>
      </c>
      <c r="E266" s="746" t="s">
        <v>1905</v>
      </c>
      <c r="F266" s="746" t="s">
        <v>2795</v>
      </c>
      <c r="G266" s="744" t="s">
        <v>1230</v>
      </c>
      <c r="H266" s="745" t="s">
        <v>443</v>
      </c>
      <c r="I266" s="1307" t="s">
        <v>2780</v>
      </c>
      <c r="J266" s="732" t="s">
        <v>1666</v>
      </c>
      <c r="K266" s="733"/>
      <c r="L266" s="730"/>
      <c r="M266" s="731"/>
      <c r="N266" s="1195" t="s">
        <v>3485</v>
      </c>
      <c r="O266" s="1195" t="s">
        <v>714</v>
      </c>
      <c r="P266" s="348"/>
      <c r="Q266" s="1308"/>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1551</v>
      </c>
      <c r="D267" s="708" t="s">
        <v>1287</v>
      </c>
      <c r="E267" s="743" t="s">
        <v>818</v>
      </c>
      <c r="F267" s="743" t="s">
        <v>2795</v>
      </c>
      <c r="G267" s="744" t="s">
        <v>283</v>
      </c>
      <c r="H267" s="745" t="s">
        <v>443</v>
      </c>
      <c r="I267" s="1307" t="s">
        <v>1267</v>
      </c>
      <c r="J267" s="732" t="s">
        <v>1668</v>
      </c>
      <c r="K267" s="733"/>
      <c r="L267" s="730"/>
      <c r="M267" s="731"/>
      <c r="N267" s="1195" t="s">
        <v>2441</v>
      </c>
      <c r="O267" s="1195" t="s">
        <v>107</v>
      </c>
      <c r="P267" s="348"/>
      <c r="Q267" s="1308"/>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1552</v>
      </c>
      <c r="D268" s="708" t="s">
        <v>1420</v>
      </c>
      <c r="E268" s="743" t="s">
        <v>1553</v>
      </c>
      <c r="F268" s="743" t="s">
        <v>2794</v>
      </c>
      <c r="G268" s="744" t="s">
        <v>2694</v>
      </c>
      <c r="H268" s="745" t="s">
        <v>442</v>
      </c>
      <c r="I268" s="1307" t="s">
        <v>2780</v>
      </c>
      <c r="J268" s="732" t="s">
        <v>1670</v>
      </c>
      <c r="K268" s="733"/>
      <c r="L268" s="730"/>
      <c r="M268" s="731"/>
      <c r="N268" s="1195" t="s">
        <v>1667</v>
      </c>
      <c r="O268" s="1195" t="s">
        <v>1743</v>
      </c>
      <c r="P268" s="348"/>
      <c r="Q268" s="1308"/>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1554</v>
      </c>
      <c r="D269" s="708" t="s">
        <v>1287</v>
      </c>
      <c r="E269" s="743" t="s">
        <v>1555</v>
      </c>
      <c r="F269" s="743" t="s">
        <v>2795</v>
      </c>
      <c r="G269" s="744" t="s">
        <v>739</v>
      </c>
      <c r="H269" s="745" t="s">
        <v>443</v>
      </c>
      <c r="I269" s="1307" t="s">
        <v>2780</v>
      </c>
      <c r="J269" s="732" t="s">
        <v>1672</v>
      </c>
      <c r="K269" s="733"/>
      <c r="L269" s="730"/>
      <c r="M269" s="731"/>
      <c r="N269" s="1195" t="s">
        <v>2745</v>
      </c>
      <c r="O269" s="1195" t="s">
        <v>668</v>
      </c>
      <c r="P269" s="348"/>
      <c r="Q269" s="1308"/>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1287</v>
      </c>
      <c r="E270" s="743" t="s">
        <v>1814</v>
      </c>
      <c r="F270" s="743" t="s">
        <v>2795</v>
      </c>
      <c r="G270" s="744" t="s">
        <v>2763</v>
      </c>
      <c r="H270" s="745" t="s">
        <v>443</v>
      </c>
      <c r="I270" s="1307" t="s">
        <v>1267</v>
      </c>
      <c r="J270" s="732" t="s">
        <v>1674</v>
      </c>
      <c r="K270" s="733"/>
      <c r="L270" s="730"/>
      <c r="M270" s="731"/>
      <c r="N270" s="1195" t="s">
        <v>1669</v>
      </c>
      <c r="O270" s="1195" t="s">
        <v>705</v>
      </c>
      <c r="P270" s="348"/>
      <c r="Q270" s="1308"/>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1396</v>
      </c>
      <c r="E271" s="746" t="s">
        <v>184</v>
      </c>
      <c r="F271" s="746" t="s">
        <v>2794</v>
      </c>
      <c r="G271" s="744" t="s">
        <v>740</v>
      </c>
      <c r="H271" s="745" t="s">
        <v>442</v>
      </c>
      <c r="I271" s="1307" t="s">
        <v>2780</v>
      </c>
      <c r="J271" s="732" t="s">
        <v>1864</v>
      </c>
      <c r="K271" s="733"/>
      <c r="L271" s="730"/>
      <c r="M271" s="731"/>
      <c r="N271" s="1195" t="s">
        <v>3486</v>
      </c>
      <c r="O271" s="1195" t="s">
        <v>2389</v>
      </c>
      <c r="P271" s="348"/>
      <c r="Q271" s="1308"/>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1405</v>
      </c>
      <c r="D272" s="708" t="s">
        <v>1420</v>
      </c>
      <c r="E272" s="743" t="s">
        <v>185</v>
      </c>
      <c r="F272" s="743" t="s">
        <v>2794</v>
      </c>
      <c r="G272" s="744" t="s">
        <v>741</v>
      </c>
      <c r="H272" s="745" t="s">
        <v>442</v>
      </c>
      <c r="I272" s="1307" t="s">
        <v>2780</v>
      </c>
      <c r="J272" s="732" t="s">
        <v>1866</v>
      </c>
      <c r="K272" s="733"/>
      <c r="L272" s="730"/>
      <c r="M272" s="731"/>
      <c r="N272" s="1195" t="s">
        <v>1671</v>
      </c>
      <c r="O272" s="1195" t="s">
        <v>171</v>
      </c>
      <c r="P272" s="348"/>
      <c r="Q272" s="1308"/>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1420</v>
      </c>
      <c r="E273" s="743" t="s">
        <v>2180</v>
      </c>
      <c r="F273" s="743" t="s">
        <v>2795</v>
      </c>
      <c r="G273" s="744" t="s">
        <v>660</v>
      </c>
      <c r="H273" s="745" t="s">
        <v>443</v>
      </c>
      <c r="I273" s="1307" t="s">
        <v>2780</v>
      </c>
      <c r="J273" s="732" t="s">
        <v>1868</v>
      </c>
      <c r="K273" s="733"/>
      <c r="L273" s="730"/>
      <c r="M273" s="731"/>
      <c r="N273" s="1195" t="s">
        <v>1673</v>
      </c>
      <c r="O273" s="1195" t="s">
        <v>1398</v>
      </c>
      <c r="P273" s="348"/>
      <c r="Q273" s="1308"/>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1420</v>
      </c>
      <c r="E274" s="746" t="s">
        <v>168</v>
      </c>
      <c r="F274" s="746" t="s">
        <v>2795</v>
      </c>
      <c r="G274" s="744" t="s">
        <v>1800</v>
      </c>
      <c r="H274" s="745" t="s">
        <v>443</v>
      </c>
      <c r="I274" s="1307" t="s">
        <v>2780</v>
      </c>
      <c r="J274" s="732" t="s">
        <v>1084</v>
      </c>
      <c r="K274" s="733"/>
      <c r="L274" s="730"/>
      <c r="M274" s="731"/>
      <c r="N274" s="1195" t="s">
        <v>1675</v>
      </c>
      <c r="O274" s="1195" t="s">
        <v>186</v>
      </c>
      <c r="P274" s="348"/>
      <c r="Q274" s="1308"/>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2008</v>
      </c>
      <c r="D275" s="708" t="s">
        <v>1420</v>
      </c>
      <c r="E275" s="746" t="s">
        <v>815</v>
      </c>
      <c r="F275" s="746" t="s">
        <v>2795</v>
      </c>
      <c r="G275" s="744" t="s">
        <v>2779</v>
      </c>
      <c r="H275" s="745" t="s">
        <v>443</v>
      </c>
      <c r="I275" s="1307" t="s">
        <v>2780</v>
      </c>
      <c r="J275" s="732" t="s">
        <v>1085</v>
      </c>
      <c r="K275" s="733"/>
      <c r="L275" s="730"/>
      <c r="M275" s="731"/>
      <c r="N275" s="1195" t="s">
        <v>1865</v>
      </c>
      <c r="O275" s="1195" t="s">
        <v>705</v>
      </c>
      <c r="P275" s="348"/>
      <c r="Q275" s="1308"/>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2009</v>
      </c>
      <c r="D276" s="708" t="s">
        <v>1287</v>
      </c>
      <c r="E276" s="743" t="s">
        <v>12</v>
      </c>
      <c r="F276" s="743" t="s">
        <v>2795</v>
      </c>
      <c r="G276" s="744" t="s">
        <v>2762</v>
      </c>
      <c r="H276" s="745" t="s">
        <v>443</v>
      </c>
      <c r="I276" s="1307" t="s">
        <v>2780</v>
      </c>
      <c r="J276" s="732" t="s">
        <v>249</v>
      </c>
      <c r="K276" s="733"/>
      <c r="L276" s="730"/>
      <c r="M276" s="731"/>
      <c r="N276" s="1195" t="s">
        <v>1867</v>
      </c>
      <c r="O276" s="1195" t="s">
        <v>782</v>
      </c>
      <c r="P276" s="348"/>
      <c r="Q276" s="1308"/>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2010</v>
      </c>
      <c r="D277" s="708" t="s">
        <v>1420</v>
      </c>
      <c r="E277" s="746" t="s">
        <v>819</v>
      </c>
      <c r="F277" s="746" t="s">
        <v>2795</v>
      </c>
      <c r="G277" s="744" t="s">
        <v>742</v>
      </c>
      <c r="H277" s="745" t="s">
        <v>443</v>
      </c>
      <c r="I277" s="1307" t="s">
        <v>2780</v>
      </c>
      <c r="J277" s="732" t="s">
        <v>251</v>
      </c>
      <c r="K277" s="733"/>
      <c r="L277" s="730"/>
      <c r="M277" s="731"/>
      <c r="N277" s="1195" t="s">
        <v>1083</v>
      </c>
      <c r="O277" s="1195" t="s">
        <v>1399</v>
      </c>
      <c r="P277" s="348"/>
      <c r="Q277" s="1308"/>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1741</v>
      </c>
      <c r="D278" s="708" t="s">
        <v>1287</v>
      </c>
      <c r="E278" s="743" t="s">
        <v>1742</v>
      </c>
      <c r="F278" s="743" t="s">
        <v>2794</v>
      </c>
      <c r="G278" s="744" t="s">
        <v>743</v>
      </c>
      <c r="H278" s="745" t="s">
        <v>442</v>
      </c>
      <c r="I278" s="1307" t="s">
        <v>2780</v>
      </c>
      <c r="J278" s="732" t="s">
        <v>1342</v>
      </c>
      <c r="K278" s="733"/>
      <c r="L278" s="730"/>
      <c r="M278" s="731"/>
      <c r="N278" s="1195" t="s">
        <v>1086</v>
      </c>
      <c r="O278" s="1195" t="s">
        <v>703</v>
      </c>
      <c r="P278" s="348"/>
      <c r="Q278" s="1308"/>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1743</v>
      </c>
      <c r="D279" s="708" t="s">
        <v>1287</v>
      </c>
      <c r="E279" s="743" t="s">
        <v>1744</v>
      </c>
      <c r="F279" s="743" t="s">
        <v>2794</v>
      </c>
      <c r="G279" s="744" t="s">
        <v>744</v>
      </c>
      <c r="H279" s="745" t="s">
        <v>442</v>
      </c>
      <c r="I279" s="1307" t="s">
        <v>2780</v>
      </c>
      <c r="J279" s="732" t="s">
        <v>2196</v>
      </c>
      <c r="K279" s="733"/>
      <c r="L279" s="730"/>
      <c r="M279" s="731"/>
      <c r="N279" s="1195" t="s">
        <v>250</v>
      </c>
      <c r="O279" s="1195" t="s">
        <v>2701</v>
      </c>
      <c r="P279" s="348"/>
      <c r="Q279" s="1308"/>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1745</v>
      </c>
      <c r="D280" s="708" t="s">
        <v>1420</v>
      </c>
      <c r="E280" s="746" t="s">
        <v>2179</v>
      </c>
      <c r="F280" s="746" t="s">
        <v>2795</v>
      </c>
      <c r="G280" s="744" t="s">
        <v>745</v>
      </c>
      <c r="H280" s="745" t="s">
        <v>443</v>
      </c>
      <c r="I280" s="1307" t="s">
        <v>2780</v>
      </c>
      <c r="J280" s="732" t="s">
        <v>2198</v>
      </c>
      <c r="K280" s="733"/>
      <c r="L280" s="730"/>
      <c r="M280" s="731"/>
      <c r="N280" s="1195" t="s">
        <v>3487</v>
      </c>
      <c r="O280" s="1195" t="s">
        <v>928</v>
      </c>
      <c r="P280" s="348"/>
      <c r="Q280" s="1308"/>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1287</v>
      </c>
      <c r="E281" s="743" t="s">
        <v>192</v>
      </c>
      <c r="F281" s="743" t="s">
        <v>2794</v>
      </c>
      <c r="G281" s="744" t="s">
        <v>746</v>
      </c>
      <c r="H281" s="745" t="s">
        <v>442</v>
      </c>
      <c r="I281" s="1307" t="s">
        <v>2780</v>
      </c>
      <c r="J281" s="732" t="s">
        <v>2200</v>
      </c>
      <c r="K281" s="733"/>
      <c r="L281" s="730"/>
      <c r="M281" s="731"/>
      <c r="N281" s="708" t="s">
        <v>1880</v>
      </c>
      <c r="O281" s="708" t="s">
        <v>1161</v>
      </c>
      <c r="P281" s="1310"/>
      <c r="Q281" s="1308"/>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2765</v>
      </c>
      <c r="D282" s="708" t="s">
        <v>1420</v>
      </c>
      <c r="E282" s="746" t="s">
        <v>2766</v>
      </c>
      <c r="F282" s="746" t="s">
        <v>2794</v>
      </c>
      <c r="G282" s="744" t="s">
        <v>747</v>
      </c>
      <c r="H282" s="745" t="s">
        <v>442</v>
      </c>
      <c r="I282" s="1307" t="s">
        <v>2780</v>
      </c>
      <c r="J282" s="732" t="s">
        <v>2202</v>
      </c>
      <c r="K282" s="733"/>
      <c r="L282" s="730"/>
      <c r="M282" s="731"/>
      <c r="N282" s="1195" t="s">
        <v>2197</v>
      </c>
      <c r="O282" s="1195" t="s">
        <v>338</v>
      </c>
      <c r="P282" s="348"/>
      <c r="Q282" s="1308"/>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2767</v>
      </c>
      <c r="D283" s="708" t="s">
        <v>1396</v>
      </c>
      <c r="E283" s="743" t="s">
        <v>2768</v>
      </c>
      <c r="F283" s="743" t="s">
        <v>2795</v>
      </c>
      <c r="G283" s="744" t="s">
        <v>2085</v>
      </c>
      <c r="H283" s="745" t="s">
        <v>443</v>
      </c>
      <c r="I283" s="1307" t="s">
        <v>2780</v>
      </c>
      <c r="J283" s="732" t="s">
        <v>2204</v>
      </c>
      <c r="K283" s="733"/>
      <c r="L283" s="730"/>
      <c r="M283" s="731"/>
      <c r="N283" s="1195" t="s">
        <v>2199</v>
      </c>
      <c r="O283" s="1195" t="s">
        <v>336</v>
      </c>
      <c r="P283" s="348"/>
      <c r="Q283" s="1308"/>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2769</v>
      </c>
      <c r="D284" s="708" t="s">
        <v>1420</v>
      </c>
      <c r="E284" s="746" t="s">
        <v>168</v>
      </c>
      <c r="F284" s="746" t="s">
        <v>2795</v>
      </c>
      <c r="G284" s="744" t="s">
        <v>1800</v>
      </c>
      <c r="H284" s="745" t="s">
        <v>443</v>
      </c>
      <c r="I284" s="1307" t="s">
        <v>1267</v>
      </c>
      <c r="J284" s="732" t="s">
        <v>2206</v>
      </c>
      <c r="K284" s="733"/>
      <c r="L284" s="730"/>
      <c r="M284" s="731"/>
      <c r="N284" s="1195" t="s">
        <v>2201</v>
      </c>
      <c r="O284" s="1195" t="s">
        <v>668</v>
      </c>
      <c r="P284" s="348"/>
      <c r="Q284" s="1308"/>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2770</v>
      </c>
      <c r="D285" s="708" t="s">
        <v>1420</v>
      </c>
      <c r="E285" s="746" t="s">
        <v>814</v>
      </c>
      <c r="F285" s="746" t="s">
        <v>2795</v>
      </c>
      <c r="G285" s="744" t="s">
        <v>2757</v>
      </c>
      <c r="H285" s="745" t="s">
        <v>443</v>
      </c>
      <c r="I285" s="1306" t="s">
        <v>1267</v>
      </c>
      <c r="J285" s="732" t="s">
        <v>720</v>
      </c>
      <c r="K285" s="733"/>
      <c r="L285" s="730"/>
      <c r="M285" s="731"/>
      <c r="N285" s="1195" t="s">
        <v>2203</v>
      </c>
      <c r="O285" s="1195" t="s">
        <v>2767</v>
      </c>
      <c r="P285" s="348"/>
      <c r="Q285" s="1308"/>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2771</v>
      </c>
      <c r="D286" s="708" t="s">
        <v>1420</v>
      </c>
      <c r="E286" s="743" t="s">
        <v>2180</v>
      </c>
      <c r="F286" s="743" t="s">
        <v>2795</v>
      </c>
      <c r="G286" s="744" t="s">
        <v>660</v>
      </c>
      <c r="H286" s="745" t="s">
        <v>443</v>
      </c>
      <c r="I286" s="1307" t="s">
        <v>2780</v>
      </c>
      <c r="J286" s="732" t="s">
        <v>2477</v>
      </c>
      <c r="K286" s="733"/>
      <c r="L286" s="730"/>
      <c r="M286" s="731"/>
      <c r="N286" s="1195" t="s">
        <v>734</v>
      </c>
      <c r="O286" s="1195" t="s">
        <v>1282</v>
      </c>
      <c r="P286" s="348"/>
      <c r="Q286" s="1308"/>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2772</v>
      </c>
      <c r="D287" s="708" t="s">
        <v>1420</v>
      </c>
      <c r="E287" s="743" t="s">
        <v>2180</v>
      </c>
      <c r="F287" s="743" t="s">
        <v>2795</v>
      </c>
      <c r="G287" s="744" t="s">
        <v>660</v>
      </c>
      <c r="H287" s="745" t="s">
        <v>443</v>
      </c>
      <c r="I287" s="1307" t="s">
        <v>2780</v>
      </c>
      <c r="J287" s="732" t="s">
        <v>2478</v>
      </c>
      <c r="K287" s="733"/>
      <c r="L287" s="730"/>
      <c r="M287" s="731"/>
      <c r="N287" s="1195" t="s">
        <v>2746</v>
      </c>
      <c r="O287" s="1195" t="s">
        <v>2142</v>
      </c>
      <c r="P287" s="348"/>
      <c r="Q287" s="1308"/>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2773</v>
      </c>
      <c r="D288" s="708" t="s">
        <v>1396</v>
      </c>
      <c r="E288" s="746" t="s">
        <v>814</v>
      </c>
      <c r="F288" s="746" t="s">
        <v>2795</v>
      </c>
      <c r="G288" s="744" t="s">
        <v>2757</v>
      </c>
      <c r="H288" s="745" t="s">
        <v>443</v>
      </c>
      <c r="I288" s="1306" t="s">
        <v>1267</v>
      </c>
      <c r="J288" s="732" t="s">
        <v>1323</v>
      </c>
      <c r="K288" s="733"/>
      <c r="L288" s="730"/>
      <c r="M288" s="731"/>
      <c r="N288" s="1195" t="s">
        <v>2205</v>
      </c>
      <c r="O288" s="1195" t="s">
        <v>207</v>
      </c>
      <c r="P288" s="348"/>
      <c r="Q288" s="1308"/>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1155</v>
      </c>
      <c r="D289" s="708" t="s">
        <v>1420</v>
      </c>
      <c r="E289" s="746" t="s">
        <v>1156</v>
      </c>
      <c r="F289" s="746" t="s">
        <v>2794</v>
      </c>
      <c r="G289" s="744" t="s">
        <v>2086</v>
      </c>
      <c r="H289" s="745" t="s">
        <v>442</v>
      </c>
      <c r="I289" s="1307" t="s">
        <v>2780</v>
      </c>
      <c r="J289" s="732" t="s">
        <v>1325</v>
      </c>
      <c r="K289" s="733"/>
      <c r="L289" s="730"/>
      <c r="M289" s="731"/>
      <c r="N289" s="1195" t="s">
        <v>3488</v>
      </c>
      <c r="O289" s="1195" t="s">
        <v>707</v>
      </c>
      <c r="P289" s="348"/>
      <c r="Q289" s="1308"/>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1157</v>
      </c>
      <c r="D290" s="708" t="s">
        <v>1396</v>
      </c>
      <c r="E290" s="746" t="s">
        <v>814</v>
      </c>
      <c r="F290" s="746" t="s">
        <v>2795</v>
      </c>
      <c r="G290" s="744" t="s">
        <v>2757</v>
      </c>
      <c r="H290" s="745" t="s">
        <v>443</v>
      </c>
      <c r="I290" s="1306" t="s">
        <v>1267</v>
      </c>
      <c r="J290" s="732" t="s">
        <v>1327</v>
      </c>
      <c r="K290" s="733"/>
      <c r="L290" s="730"/>
      <c r="M290" s="731"/>
      <c r="N290" s="1195" t="s">
        <v>2207</v>
      </c>
      <c r="O290" s="1195" t="s">
        <v>207</v>
      </c>
      <c r="P290" s="348"/>
      <c r="Q290" s="1308"/>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1158</v>
      </c>
      <c r="D291" s="708" t="s">
        <v>1287</v>
      </c>
      <c r="E291" s="743" t="s">
        <v>1159</v>
      </c>
      <c r="F291" s="743" t="s">
        <v>2794</v>
      </c>
      <c r="G291" s="744" t="s">
        <v>2087</v>
      </c>
      <c r="H291" s="745" t="s">
        <v>442</v>
      </c>
      <c r="I291" s="1307" t="s">
        <v>2780</v>
      </c>
      <c r="J291" s="732" t="s">
        <v>1328</v>
      </c>
      <c r="K291" s="733"/>
      <c r="L291" s="730"/>
      <c r="M291" s="731"/>
      <c r="N291" s="1195" t="s">
        <v>721</v>
      </c>
      <c r="O291" s="1195" t="s">
        <v>2142</v>
      </c>
      <c r="P291" s="348"/>
      <c r="Q291" s="1308"/>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1160</v>
      </c>
      <c r="D292" s="708" t="s">
        <v>1420</v>
      </c>
      <c r="E292" s="746" t="s">
        <v>814</v>
      </c>
      <c r="F292" s="746" t="s">
        <v>2795</v>
      </c>
      <c r="G292" s="744" t="s">
        <v>2757</v>
      </c>
      <c r="H292" s="745" t="s">
        <v>443</v>
      </c>
      <c r="I292" s="1306" t="s">
        <v>1267</v>
      </c>
      <c r="J292" s="732" t="s">
        <v>1330</v>
      </c>
      <c r="K292" s="733"/>
      <c r="L292" s="730"/>
      <c r="M292" s="731"/>
      <c r="N292" s="1195" t="s">
        <v>2479</v>
      </c>
      <c r="O292" s="1195"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1161</v>
      </c>
      <c r="D293" s="708" t="s">
        <v>1396</v>
      </c>
      <c r="E293" s="743" t="s">
        <v>1162</v>
      </c>
      <c r="F293" s="743" t="s">
        <v>2794</v>
      </c>
      <c r="G293" s="744" t="s">
        <v>2088</v>
      </c>
      <c r="H293" s="745" t="s">
        <v>442</v>
      </c>
      <c r="I293" s="1307" t="s">
        <v>2780</v>
      </c>
      <c r="J293" s="732" t="s">
        <v>2661</v>
      </c>
      <c r="K293" s="733"/>
      <c r="L293" s="730"/>
      <c r="M293" s="731"/>
      <c r="N293" s="1195" t="s">
        <v>1324</v>
      </c>
      <c r="O293" s="1195" t="s">
        <v>668</v>
      </c>
      <c r="P293" s="348"/>
      <c r="Q293" s="1308"/>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1163</v>
      </c>
      <c r="D294" s="708" t="s">
        <v>1287</v>
      </c>
      <c r="E294" s="746" t="s">
        <v>1164</v>
      </c>
      <c r="F294" s="746" t="s">
        <v>2794</v>
      </c>
      <c r="G294" s="744" t="s">
        <v>2089</v>
      </c>
      <c r="H294" s="745" t="s">
        <v>442</v>
      </c>
      <c r="I294" s="1307" t="s">
        <v>2780</v>
      </c>
      <c r="J294" s="732" t="s">
        <v>85</v>
      </c>
      <c r="K294" s="733"/>
      <c r="L294" s="730"/>
      <c r="M294" s="731"/>
      <c r="N294" s="1195" t="s">
        <v>1326</v>
      </c>
      <c r="O294" s="1195" t="s">
        <v>2391</v>
      </c>
      <c r="P294" s="348"/>
      <c r="Q294" s="1308"/>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1165</v>
      </c>
      <c r="D295" s="708" t="s">
        <v>1420</v>
      </c>
      <c r="E295" s="746" t="s">
        <v>1166</v>
      </c>
      <c r="F295" s="746" t="s">
        <v>2794</v>
      </c>
      <c r="G295" s="744" t="s">
        <v>2090</v>
      </c>
      <c r="H295" s="745" t="s">
        <v>442</v>
      </c>
      <c r="I295" s="1307" t="s">
        <v>2780</v>
      </c>
      <c r="J295" s="732" t="s">
        <v>86</v>
      </c>
      <c r="K295" s="733"/>
      <c r="L295" s="730"/>
      <c r="M295" s="731"/>
      <c r="N295" s="1195" t="s">
        <v>2650</v>
      </c>
      <c r="O295" s="1195" t="s">
        <v>1169</v>
      </c>
      <c r="P295" s="348"/>
      <c r="Q295" s="1308"/>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1167</v>
      </c>
      <c r="D296" s="708" t="s">
        <v>1287</v>
      </c>
      <c r="E296" s="743" t="s">
        <v>1168</v>
      </c>
      <c r="F296" s="743" t="s">
        <v>2794</v>
      </c>
      <c r="G296" s="744" t="s">
        <v>1907</v>
      </c>
      <c r="H296" s="745" t="s">
        <v>442</v>
      </c>
      <c r="I296" s="1307" t="s">
        <v>2780</v>
      </c>
      <c r="J296" s="732" t="s">
        <v>87</v>
      </c>
      <c r="K296" s="733"/>
      <c r="L296" s="730"/>
      <c r="M296" s="731"/>
      <c r="N296" s="1195" t="s">
        <v>1329</v>
      </c>
      <c r="O296" s="1195" t="s">
        <v>329</v>
      </c>
      <c r="P296" s="1309"/>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1169</v>
      </c>
      <c r="D297" s="708" t="s">
        <v>1396</v>
      </c>
      <c r="E297" s="743" t="s">
        <v>1170</v>
      </c>
      <c r="F297" s="743" t="s">
        <v>2794</v>
      </c>
      <c r="G297" s="744" t="s">
        <v>1908</v>
      </c>
      <c r="H297" s="745" t="s">
        <v>442</v>
      </c>
      <c r="I297" s="1307" t="s">
        <v>2780</v>
      </c>
      <c r="J297" s="732" t="s">
        <v>89</v>
      </c>
      <c r="K297" s="733"/>
      <c r="L297" s="730"/>
      <c r="M297" s="731"/>
      <c r="N297" s="1195" t="s">
        <v>2660</v>
      </c>
      <c r="O297" s="1195" t="s">
        <v>117</v>
      </c>
      <c r="P297" s="348"/>
      <c r="Q297" s="1308"/>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1171</v>
      </c>
      <c r="D298" s="708" t="s">
        <v>1287</v>
      </c>
      <c r="E298" s="743" t="s">
        <v>1172</v>
      </c>
      <c r="F298" s="743" t="s">
        <v>2794</v>
      </c>
      <c r="G298" s="744" t="s">
        <v>1909</v>
      </c>
      <c r="H298" s="745" t="s">
        <v>442</v>
      </c>
      <c r="I298" s="1307" t="s">
        <v>2780</v>
      </c>
      <c r="J298" s="732" t="s">
        <v>1303</v>
      </c>
      <c r="K298" s="733"/>
      <c r="L298" s="730"/>
      <c r="M298" s="731"/>
      <c r="N298" s="1195" t="s">
        <v>84</v>
      </c>
      <c r="O298" s="1195" t="s">
        <v>204</v>
      </c>
      <c r="P298" s="348"/>
      <c r="Q298" s="1308"/>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1173</v>
      </c>
      <c r="D299" s="708" t="s">
        <v>1420</v>
      </c>
      <c r="E299" s="746" t="s">
        <v>815</v>
      </c>
      <c r="F299" s="746" t="s">
        <v>2795</v>
      </c>
      <c r="G299" s="744" t="s">
        <v>2779</v>
      </c>
      <c r="H299" s="745" t="s">
        <v>443</v>
      </c>
      <c r="I299" s="1307" t="s">
        <v>1267</v>
      </c>
      <c r="J299" s="732" t="s">
        <v>1305</v>
      </c>
      <c r="K299" s="733"/>
      <c r="L299" s="730"/>
      <c r="M299" s="731"/>
      <c r="N299" s="1195" t="s">
        <v>88</v>
      </c>
      <c r="O299" s="1195" t="s">
        <v>2322</v>
      </c>
      <c r="P299" s="348"/>
      <c r="Q299" s="1308"/>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1174</v>
      </c>
      <c r="D300" s="708" t="s">
        <v>1420</v>
      </c>
      <c r="E300" s="746" t="s">
        <v>814</v>
      </c>
      <c r="F300" s="746" t="s">
        <v>2795</v>
      </c>
      <c r="G300" s="744" t="s">
        <v>2757</v>
      </c>
      <c r="H300" s="745" t="s">
        <v>443</v>
      </c>
      <c r="I300" s="1306" t="s">
        <v>1267</v>
      </c>
      <c r="J300" s="732" t="s">
        <v>1307</v>
      </c>
      <c r="K300" s="733"/>
      <c r="L300" s="730"/>
      <c r="M300" s="731"/>
      <c r="N300" s="1195" t="s">
        <v>90</v>
      </c>
      <c r="O300" s="1195" t="s">
        <v>1406</v>
      </c>
      <c r="P300" s="1309"/>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1175</v>
      </c>
      <c r="D301" s="708" t="s">
        <v>1420</v>
      </c>
      <c r="E301" s="743" t="s">
        <v>2306</v>
      </c>
      <c r="F301" s="743" t="s">
        <v>2794</v>
      </c>
      <c r="G301" s="744" t="s">
        <v>1910</v>
      </c>
      <c r="H301" s="745" t="s">
        <v>442</v>
      </c>
      <c r="I301" s="1307" t="s">
        <v>2780</v>
      </c>
      <c r="J301" s="732" t="s">
        <v>1309</v>
      </c>
      <c r="K301" s="733"/>
      <c r="L301" s="730"/>
      <c r="M301" s="731"/>
      <c r="N301" s="1195" t="s">
        <v>1304</v>
      </c>
      <c r="O301" s="1195" t="s">
        <v>2083</v>
      </c>
      <c r="P301" s="348"/>
      <c r="Q301" s="1308"/>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2307</v>
      </c>
      <c r="D302" s="708" t="s">
        <v>1287</v>
      </c>
      <c r="E302" s="743" t="s">
        <v>2308</v>
      </c>
      <c r="F302" s="743" t="s">
        <v>2794</v>
      </c>
      <c r="G302" s="744" t="s">
        <v>1911</v>
      </c>
      <c r="H302" s="745" t="s">
        <v>442</v>
      </c>
      <c r="I302" s="1307" t="s">
        <v>2780</v>
      </c>
      <c r="J302" s="732" t="s">
        <v>1311</v>
      </c>
      <c r="K302" s="733"/>
      <c r="L302" s="730"/>
      <c r="M302" s="731"/>
      <c r="N302" s="1195" t="s">
        <v>1306</v>
      </c>
      <c r="O302" s="1195" t="s">
        <v>186</v>
      </c>
      <c r="P302" s="348"/>
      <c r="Q302" s="1308"/>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1716</v>
      </c>
      <c r="D303" s="708" t="s">
        <v>1716</v>
      </c>
      <c r="E303" s="731" t="s">
        <v>1716</v>
      </c>
      <c r="F303" s="743"/>
      <c r="G303" s="744"/>
      <c r="H303" s="745"/>
      <c r="I303" s="1307" t="s">
        <v>3210</v>
      </c>
      <c r="J303" s="732" t="s">
        <v>1313</v>
      </c>
      <c r="K303" s="733"/>
      <c r="L303" s="730"/>
      <c r="M303" s="731"/>
      <c r="N303" s="1195" t="s">
        <v>1308</v>
      </c>
      <c r="O303" s="1195" t="s">
        <v>1171</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2309</v>
      </c>
      <c r="D304" s="708" t="s">
        <v>1287</v>
      </c>
      <c r="E304" s="746" t="s">
        <v>2310</v>
      </c>
      <c r="F304" s="743" t="s">
        <v>2794</v>
      </c>
      <c r="G304" s="744" t="s">
        <v>480</v>
      </c>
      <c r="H304" s="745" t="s">
        <v>442</v>
      </c>
      <c r="I304" s="1307" t="s">
        <v>2780</v>
      </c>
      <c r="J304" s="732" t="s">
        <v>946</v>
      </c>
      <c r="K304" s="733"/>
      <c r="L304" s="730"/>
      <c r="M304" s="731"/>
      <c r="N304" s="708" t="s">
        <v>1310</v>
      </c>
      <c r="O304" s="708" t="s">
        <v>1282</v>
      </c>
      <c r="P304" s="1310"/>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2311</v>
      </c>
      <c r="D305" s="708" t="s">
        <v>1420</v>
      </c>
      <c r="E305" s="746" t="s">
        <v>814</v>
      </c>
      <c r="F305" s="746" t="s">
        <v>2795</v>
      </c>
      <c r="G305" s="744" t="s">
        <v>2757</v>
      </c>
      <c r="H305" s="745" t="s">
        <v>443</v>
      </c>
      <c r="I305" s="1306" t="s">
        <v>1267</v>
      </c>
      <c r="J305" s="732" t="s">
        <v>947</v>
      </c>
      <c r="K305" s="733"/>
      <c r="L305" s="730"/>
      <c r="M305" s="731"/>
      <c r="N305" s="1195" t="s">
        <v>1312</v>
      </c>
      <c r="O305" s="1195" t="s">
        <v>2322</v>
      </c>
      <c r="P305" s="348"/>
      <c r="Q305" s="1308"/>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2312</v>
      </c>
      <c r="D306" s="708" t="s">
        <v>1396</v>
      </c>
      <c r="E306" s="746" t="s">
        <v>2313</v>
      </c>
      <c r="F306" s="746" t="s">
        <v>2794</v>
      </c>
      <c r="G306" s="744" t="s">
        <v>232</v>
      </c>
      <c r="H306" s="745" t="s">
        <v>442</v>
      </c>
      <c r="I306" s="1307" t="s">
        <v>2780</v>
      </c>
      <c r="J306" s="732" t="s">
        <v>949</v>
      </c>
      <c r="K306" s="733"/>
      <c r="L306" s="730"/>
      <c r="M306" s="731"/>
      <c r="N306" s="1195" t="s">
        <v>2656</v>
      </c>
      <c r="O306" s="1195" t="s">
        <v>1741</v>
      </c>
      <c r="P306" s="348"/>
      <c r="Q306" s="1308"/>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2314</v>
      </c>
      <c r="D307" s="708" t="s">
        <v>1287</v>
      </c>
      <c r="E307" s="743" t="s">
        <v>2315</v>
      </c>
      <c r="F307" s="746" t="s">
        <v>2794</v>
      </c>
      <c r="G307" s="744" t="s">
        <v>1513</v>
      </c>
      <c r="H307" s="745" t="s">
        <v>442</v>
      </c>
      <c r="I307" s="1307" t="s">
        <v>2780</v>
      </c>
      <c r="J307" s="732" t="s">
        <v>951</v>
      </c>
      <c r="K307" s="733"/>
      <c r="L307" s="730"/>
      <c r="M307" s="731"/>
      <c r="N307" s="1195" t="s">
        <v>168</v>
      </c>
      <c r="O307" s="1195" t="s">
        <v>2769</v>
      </c>
      <c r="P307" s="348"/>
      <c r="Q307" s="1308"/>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2316</v>
      </c>
      <c r="D308" s="708" t="s">
        <v>1287</v>
      </c>
      <c r="E308" s="743" t="s">
        <v>2317</v>
      </c>
      <c r="F308" s="743" t="s">
        <v>2794</v>
      </c>
      <c r="G308" s="744" t="s">
        <v>1514</v>
      </c>
      <c r="H308" s="745" t="s">
        <v>442</v>
      </c>
      <c r="I308" s="1307" t="s">
        <v>2780</v>
      </c>
      <c r="J308" s="732" t="s">
        <v>2275</v>
      </c>
      <c r="K308" s="733"/>
      <c r="L308" s="730"/>
      <c r="M308" s="731"/>
      <c r="N308" s="1195" t="s">
        <v>948</v>
      </c>
      <c r="O308" s="1195" t="s">
        <v>186</v>
      </c>
      <c r="P308" s="1309"/>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2318</v>
      </c>
      <c r="D309" s="708" t="s">
        <v>1420</v>
      </c>
      <c r="E309" s="743" t="s">
        <v>2319</v>
      </c>
      <c r="F309" s="743" t="s">
        <v>2794</v>
      </c>
      <c r="G309" s="744" t="s">
        <v>1515</v>
      </c>
      <c r="H309" s="745" t="s">
        <v>442</v>
      </c>
      <c r="I309" s="1307" t="s">
        <v>2780</v>
      </c>
      <c r="J309" s="732" t="s">
        <v>2276</v>
      </c>
      <c r="K309" s="733"/>
      <c r="L309" s="730"/>
      <c r="M309" s="731"/>
      <c r="N309" s="1195" t="s">
        <v>950</v>
      </c>
      <c r="O309" s="1195" t="s">
        <v>341</v>
      </c>
      <c r="P309" s="348"/>
      <c r="Q309" s="1308"/>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2320</v>
      </c>
      <c r="D310" s="708" t="s">
        <v>1420</v>
      </c>
      <c r="E310" s="743" t="s">
        <v>2321</v>
      </c>
      <c r="F310" s="743" t="s">
        <v>2794</v>
      </c>
      <c r="G310" s="744" t="s">
        <v>2147</v>
      </c>
      <c r="H310" s="745" t="s">
        <v>442</v>
      </c>
      <c r="I310" s="1307" t="s">
        <v>2780</v>
      </c>
      <c r="J310" s="732" t="s">
        <v>2192</v>
      </c>
      <c r="K310" s="733"/>
      <c r="L310" s="730"/>
      <c r="M310" s="731"/>
      <c r="N310" s="708" t="s">
        <v>952</v>
      </c>
      <c r="O310" s="708" t="s">
        <v>1160</v>
      </c>
      <c r="P310" s="1310"/>
      <c r="Q310" s="1308"/>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2322</v>
      </c>
      <c r="D311" s="708" t="s">
        <v>1287</v>
      </c>
      <c r="E311" s="743" t="s">
        <v>2323</v>
      </c>
      <c r="F311" s="743" t="s">
        <v>2794</v>
      </c>
      <c r="G311" s="744" t="s">
        <v>2148</v>
      </c>
      <c r="H311" s="745" t="s">
        <v>442</v>
      </c>
      <c r="I311" s="1307" t="s">
        <v>2780</v>
      </c>
      <c r="J311" s="732" t="s">
        <v>2194</v>
      </c>
      <c r="K311" s="733"/>
      <c r="L311" s="730"/>
      <c r="M311" s="731"/>
      <c r="N311" s="1195" t="s">
        <v>2747</v>
      </c>
      <c r="O311" s="1195" t="s">
        <v>2650</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2324</v>
      </c>
      <c r="D312" s="708" t="s">
        <v>1420</v>
      </c>
      <c r="E312" s="743" t="s">
        <v>924</v>
      </c>
      <c r="F312" s="743" t="s">
        <v>2794</v>
      </c>
      <c r="G312" s="744" t="s">
        <v>2149</v>
      </c>
      <c r="H312" s="745" t="s">
        <v>442</v>
      </c>
      <c r="I312" s="1307" t="s">
        <v>2780</v>
      </c>
      <c r="J312" s="732" t="s">
        <v>637</v>
      </c>
      <c r="K312" s="733"/>
      <c r="L312" s="730"/>
      <c r="M312" s="731"/>
      <c r="N312" s="1195" t="s">
        <v>2277</v>
      </c>
      <c r="O312" s="1195" t="s">
        <v>1174</v>
      </c>
      <c r="P312" s="348"/>
      <c r="Q312" s="1308"/>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925</v>
      </c>
      <c r="D313" s="708" t="s">
        <v>1287</v>
      </c>
      <c r="E313" s="743" t="s">
        <v>926</v>
      </c>
      <c r="F313" s="743" t="s">
        <v>2794</v>
      </c>
      <c r="G313" s="744" t="s">
        <v>2150</v>
      </c>
      <c r="H313" s="745" t="s">
        <v>442</v>
      </c>
      <c r="I313" s="1307" t="s">
        <v>2780</v>
      </c>
      <c r="J313" s="732" t="s">
        <v>638</v>
      </c>
      <c r="K313" s="733"/>
      <c r="L313" s="730"/>
      <c r="M313" s="731"/>
      <c r="N313" s="1195" t="s">
        <v>2193</v>
      </c>
      <c r="O313" s="1195" t="s">
        <v>1778</v>
      </c>
      <c r="P313" s="348"/>
      <c r="Q313" s="1308"/>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1777</v>
      </c>
      <c r="D314" s="708" t="s">
        <v>1287</v>
      </c>
      <c r="E314" s="746" t="s">
        <v>1905</v>
      </c>
      <c r="F314" s="743" t="s">
        <v>2795</v>
      </c>
      <c r="G314" s="744" t="s">
        <v>1230</v>
      </c>
      <c r="H314" s="745" t="s">
        <v>443</v>
      </c>
      <c r="I314" s="1307" t="s">
        <v>2780</v>
      </c>
      <c r="J314" s="732" t="s">
        <v>640</v>
      </c>
      <c r="K314" s="733"/>
      <c r="L314" s="730"/>
      <c r="M314" s="731"/>
      <c r="N314" s="1195" t="s">
        <v>2195</v>
      </c>
      <c r="O314" s="1195" t="s">
        <v>2705</v>
      </c>
      <c r="P314" s="348"/>
      <c r="Q314" s="1308"/>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1778</v>
      </c>
      <c r="D315" s="708" t="s">
        <v>1287</v>
      </c>
      <c r="E315" s="746" t="s">
        <v>1779</v>
      </c>
      <c r="F315" s="746" t="s">
        <v>2794</v>
      </c>
      <c r="G315" s="744" t="s">
        <v>2151</v>
      </c>
      <c r="H315" s="745" t="s">
        <v>442</v>
      </c>
      <c r="I315" s="1307" t="s">
        <v>2780</v>
      </c>
      <c r="J315" s="732" t="s">
        <v>642</v>
      </c>
      <c r="K315" s="733"/>
      <c r="L315" s="730"/>
      <c r="M315" s="731"/>
      <c r="N315" s="1195" t="s">
        <v>879</v>
      </c>
      <c r="O315" s="1195"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1780</v>
      </c>
      <c r="D316" s="708" t="s">
        <v>1287</v>
      </c>
      <c r="E316" s="746" t="s">
        <v>2041</v>
      </c>
      <c r="F316" s="746" t="s">
        <v>2794</v>
      </c>
      <c r="G316" s="744" t="s">
        <v>1235</v>
      </c>
      <c r="H316" s="745" t="s">
        <v>442</v>
      </c>
      <c r="I316" s="1307" t="s">
        <v>2780</v>
      </c>
      <c r="J316" s="732" t="s">
        <v>643</v>
      </c>
      <c r="K316" s="733"/>
      <c r="L316" s="730"/>
      <c r="M316" s="731"/>
      <c r="N316" s="1195" t="s">
        <v>639</v>
      </c>
      <c r="O316" s="1195" t="s">
        <v>125</v>
      </c>
      <c r="P316" s="1309"/>
      <c r="Q316" s="1308"/>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2042</v>
      </c>
      <c r="D317" s="708" t="s">
        <v>1287</v>
      </c>
      <c r="E317" s="746" t="s">
        <v>2043</v>
      </c>
      <c r="F317" s="746" t="s">
        <v>2794</v>
      </c>
      <c r="G317" s="744" t="s">
        <v>1236</v>
      </c>
      <c r="H317" s="745" t="s">
        <v>442</v>
      </c>
      <c r="I317" s="1307" t="s">
        <v>2780</v>
      </c>
      <c r="J317" s="732" t="s">
        <v>644</v>
      </c>
      <c r="K317" s="733"/>
      <c r="L317" s="730"/>
      <c r="M317" s="731"/>
      <c r="N317" s="1195" t="s">
        <v>2748</v>
      </c>
      <c r="O317" s="1195" t="s">
        <v>1412</v>
      </c>
      <c r="P317" s="348"/>
      <c r="Q317" s="1308"/>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2044</v>
      </c>
      <c r="D318" s="708" t="s">
        <v>1396</v>
      </c>
      <c r="E318" s="746" t="s">
        <v>2045</v>
      </c>
      <c r="F318" s="746" t="s">
        <v>2794</v>
      </c>
      <c r="G318" s="744" t="s">
        <v>1237</v>
      </c>
      <c r="H318" s="745" t="s">
        <v>442</v>
      </c>
      <c r="I318" s="1307" t="s">
        <v>2780</v>
      </c>
      <c r="J318" s="732" t="s">
        <v>646</v>
      </c>
      <c r="K318" s="733"/>
      <c r="L318" s="730"/>
      <c r="M318" s="731"/>
      <c r="N318" s="1195" t="s">
        <v>641</v>
      </c>
      <c r="O318" s="1195" t="s">
        <v>2770</v>
      </c>
      <c r="P318" s="348"/>
      <c r="Q318" s="1308"/>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2046</v>
      </c>
      <c r="D319" s="708" t="s">
        <v>1287</v>
      </c>
      <c r="E319" s="746" t="s">
        <v>2047</v>
      </c>
      <c r="F319" s="746" t="s">
        <v>2794</v>
      </c>
      <c r="G319" s="744" t="s">
        <v>1238</v>
      </c>
      <c r="H319" s="745" t="s">
        <v>442</v>
      </c>
      <c r="I319" s="1307" t="s">
        <v>2780</v>
      </c>
      <c r="J319" s="732" t="s">
        <v>648</v>
      </c>
      <c r="K319" s="733"/>
      <c r="L319" s="730"/>
      <c r="M319" s="731"/>
      <c r="N319" s="1195" t="s">
        <v>2704</v>
      </c>
      <c r="O319" s="1195" t="s">
        <v>2772</v>
      </c>
      <c r="P319" s="348"/>
      <c r="Q319" s="1308"/>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2048</v>
      </c>
      <c r="D320" s="708" t="s">
        <v>1420</v>
      </c>
      <c r="E320" s="743" t="s">
        <v>2049</v>
      </c>
      <c r="F320" s="746" t="s">
        <v>2794</v>
      </c>
      <c r="G320" s="744" t="s">
        <v>1239</v>
      </c>
      <c r="H320" s="745" t="s">
        <v>442</v>
      </c>
      <c r="I320" s="1307" t="s">
        <v>2780</v>
      </c>
      <c r="J320" s="732" t="s">
        <v>579</v>
      </c>
      <c r="K320" s="733"/>
      <c r="L320" s="730"/>
      <c r="M320" s="731"/>
      <c r="N320" s="1195" t="s">
        <v>645</v>
      </c>
      <c r="O320" s="1195" t="s">
        <v>2320</v>
      </c>
      <c r="P320" s="348"/>
      <c r="Q320" s="1308"/>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2050</v>
      </c>
      <c r="D321" s="708" t="s">
        <v>1287</v>
      </c>
      <c r="E321" s="746" t="s">
        <v>2051</v>
      </c>
      <c r="F321" s="743" t="s">
        <v>2794</v>
      </c>
      <c r="G321" s="744" t="s">
        <v>1240</v>
      </c>
      <c r="H321" s="745" t="s">
        <v>442</v>
      </c>
      <c r="I321" s="1307" t="s">
        <v>2780</v>
      </c>
      <c r="J321" s="732" t="s">
        <v>1225</v>
      </c>
      <c r="K321" s="733"/>
      <c r="L321" s="730"/>
      <c r="M321" s="731"/>
      <c r="N321" s="1195" t="s">
        <v>3489</v>
      </c>
      <c r="O321" s="1195" t="s">
        <v>1165</v>
      </c>
      <c r="P321" s="348"/>
      <c r="Q321" s="1308"/>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2052</v>
      </c>
      <c r="D322" s="708" t="s">
        <v>1420</v>
      </c>
      <c r="E322" s="746" t="s">
        <v>1405</v>
      </c>
      <c r="F322" s="746" t="s">
        <v>2795</v>
      </c>
      <c r="G322" s="744" t="s">
        <v>2760</v>
      </c>
      <c r="H322" s="745" t="s">
        <v>443</v>
      </c>
      <c r="I322" s="1307" t="s">
        <v>2780</v>
      </c>
      <c r="J322" s="732" t="s">
        <v>796</v>
      </c>
      <c r="K322" s="733"/>
      <c r="L322" s="730"/>
      <c r="M322" s="731"/>
      <c r="N322" s="1195" t="s">
        <v>647</v>
      </c>
      <c r="O322" s="1195" t="s">
        <v>1745</v>
      </c>
      <c r="P322" s="348"/>
      <c r="Q322" s="1308"/>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2053</v>
      </c>
      <c r="D323" s="708" t="s">
        <v>1396</v>
      </c>
      <c r="E323" s="746" t="s">
        <v>2054</v>
      </c>
      <c r="F323" s="746" t="s">
        <v>2794</v>
      </c>
      <c r="G323" s="744" t="s">
        <v>1241</v>
      </c>
      <c r="H323" s="745" t="s">
        <v>442</v>
      </c>
      <c r="I323" s="1307" t="s">
        <v>2780</v>
      </c>
      <c r="J323" s="732" t="s">
        <v>38</v>
      </c>
      <c r="K323" s="733"/>
      <c r="L323" s="730"/>
      <c r="M323" s="731"/>
      <c r="N323" s="1195" t="s">
        <v>578</v>
      </c>
      <c r="O323" s="1195" t="s">
        <v>704</v>
      </c>
      <c r="P323" s="348"/>
      <c r="Q323" s="1308"/>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2140</v>
      </c>
      <c r="D324" s="708" t="s">
        <v>1420</v>
      </c>
      <c r="E324" s="743" t="s">
        <v>2141</v>
      </c>
      <c r="F324" s="746" t="s">
        <v>2794</v>
      </c>
      <c r="G324" s="744" t="s">
        <v>1242</v>
      </c>
      <c r="H324" s="745" t="s">
        <v>442</v>
      </c>
      <c r="I324" s="1307" t="s">
        <v>2780</v>
      </c>
      <c r="J324" s="732" t="s">
        <v>2098</v>
      </c>
      <c r="K324" s="733"/>
      <c r="L324" s="730"/>
      <c r="M324" s="731"/>
      <c r="N324" s="1195" t="s">
        <v>580</v>
      </c>
      <c r="O324" s="1195" t="s">
        <v>167</v>
      </c>
      <c r="P324" s="348"/>
      <c r="Q324" s="1308"/>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2142</v>
      </c>
      <c r="D325" s="708" t="s">
        <v>1396</v>
      </c>
      <c r="E325" s="746" t="s">
        <v>1626</v>
      </c>
      <c r="F325" s="743" t="s">
        <v>2795</v>
      </c>
      <c r="G325" s="744" t="s">
        <v>1798</v>
      </c>
      <c r="H325" s="745" t="s">
        <v>443</v>
      </c>
      <c r="I325" s="1307" t="s">
        <v>2780</v>
      </c>
      <c r="J325" s="732" t="s">
        <v>2100</v>
      </c>
      <c r="K325" s="733"/>
      <c r="L325" s="730"/>
      <c r="M325" s="731"/>
      <c r="N325" s="1195" t="s">
        <v>795</v>
      </c>
      <c r="O325" s="1195" t="s">
        <v>1171</v>
      </c>
      <c r="P325" s="348"/>
      <c r="Q325" s="1308"/>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2143</v>
      </c>
      <c r="D326" s="708" t="s">
        <v>1420</v>
      </c>
      <c r="E326" s="746" t="s">
        <v>814</v>
      </c>
      <c r="F326" s="746" t="s">
        <v>2795</v>
      </c>
      <c r="G326" s="744" t="s">
        <v>2757</v>
      </c>
      <c r="H326" s="745" t="s">
        <v>443</v>
      </c>
      <c r="I326" s="1306" t="s">
        <v>1267</v>
      </c>
      <c r="J326" s="732" t="s">
        <v>352</v>
      </c>
      <c r="K326" s="733"/>
      <c r="L326" s="730"/>
      <c r="M326" s="731"/>
      <c r="N326" s="1195" t="s">
        <v>797</v>
      </c>
      <c r="O326" s="1195" t="s">
        <v>124</v>
      </c>
      <c r="P326" s="348"/>
      <c r="Q326" s="1308"/>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2144</v>
      </c>
      <c r="D327" s="708" t="s">
        <v>1287</v>
      </c>
      <c r="E327" s="746" t="s">
        <v>106</v>
      </c>
      <c r="F327" s="746" t="s">
        <v>2794</v>
      </c>
      <c r="G327" s="744" t="s">
        <v>1243</v>
      </c>
      <c r="H327" s="745" t="s">
        <v>442</v>
      </c>
      <c r="I327" s="1307" t="s">
        <v>2780</v>
      </c>
      <c r="J327" s="732" t="s">
        <v>354</v>
      </c>
      <c r="K327" s="733"/>
      <c r="L327" s="730"/>
      <c r="M327" s="731"/>
      <c r="N327" s="1195" t="s">
        <v>39</v>
      </c>
      <c r="O327" s="1195" t="s">
        <v>183</v>
      </c>
      <c r="P327" s="348"/>
      <c r="Q327" s="1308"/>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1420</v>
      </c>
      <c r="E328" s="746" t="s">
        <v>108</v>
      </c>
      <c r="F328" s="746" t="s">
        <v>2794</v>
      </c>
      <c r="G328" s="744" t="s">
        <v>1244</v>
      </c>
      <c r="H328" s="745" t="s">
        <v>442</v>
      </c>
      <c r="I328" s="1307" t="s">
        <v>2780</v>
      </c>
      <c r="J328" s="732" t="s">
        <v>356</v>
      </c>
      <c r="K328" s="733"/>
      <c r="L328" s="730"/>
      <c r="M328" s="731"/>
      <c r="N328" s="1195" t="s">
        <v>2099</v>
      </c>
      <c r="O328" s="1195" t="s">
        <v>2391</v>
      </c>
      <c r="P328" s="348"/>
      <c r="Q328" s="1308"/>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1287</v>
      </c>
      <c r="E329" s="746" t="s">
        <v>110</v>
      </c>
      <c r="F329" s="746" t="s">
        <v>2794</v>
      </c>
      <c r="G329" s="744" t="s">
        <v>1245</v>
      </c>
      <c r="H329" s="745" t="s">
        <v>442</v>
      </c>
      <c r="I329" s="1307" t="s">
        <v>2780</v>
      </c>
      <c r="J329" s="732" t="s">
        <v>358</v>
      </c>
      <c r="K329" s="733"/>
      <c r="L329" s="730"/>
      <c r="M329" s="731"/>
      <c r="N329" s="1195" t="s">
        <v>2101</v>
      </c>
      <c r="O329" s="1195" t="s">
        <v>2773</v>
      </c>
      <c r="P329" s="348"/>
      <c r="Q329" s="1308"/>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1287</v>
      </c>
      <c r="E330" s="746" t="s">
        <v>112</v>
      </c>
      <c r="F330" s="746" t="s">
        <v>2794</v>
      </c>
      <c r="G330" s="744" t="s">
        <v>1246</v>
      </c>
      <c r="H330" s="745" t="s">
        <v>442</v>
      </c>
      <c r="I330" s="1307" t="s">
        <v>2780</v>
      </c>
      <c r="J330" s="732" t="s">
        <v>360</v>
      </c>
      <c r="K330" s="733"/>
      <c r="L330" s="730"/>
      <c r="M330" s="731"/>
      <c r="N330" s="1195" t="s">
        <v>353</v>
      </c>
      <c r="O330" s="1195" t="s">
        <v>2083</v>
      </c>
      <c r="P330" s="348"/>
      <c r="Q330" s="1308"/>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1287</v>
      </c>
      <c r="E331" s="746" t="s">
        <v>114</v>
      </c>
      <c r="F331" s="746" t="s">
        <v>2794</v>
      </c>
      <c r="G331" s="744" t="s">
        <v>1247</v>
      </c>
      <c r="H331" s="745" t="s">
        <v>442</v>
      </c>
      <c r="I331" s="1307" t="s">
        <v>2780</v>
      </c>
      <c r="J331" s="732" t="s">
        <v>362</v>
      </c>
      <c r="K331" s="733"/>
      <c r="L331" s="730"/>
      <c r="M331" s="731"/>
      <c r="N331" s="1195" t="s">
        <v>355</v>
      </c>
      <c r="O331" s="1195" t="s">
        <v>928</v>
      </c>
      <c r="P331" s="348"/>
      <c r="Q331" s="1308"/>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1287</v>
      </c>
      <c r="E332" s="746" t="s">
        <v>116</v>
      </c>
      <c r="F332" s="746" t="s">
        <v>2794</v>
      </c>
      <c r="G332" s="744" t="s">
        <v>2510</v>
      </c>
      <c r="H332" s="745" t="s">
        <v>442</v>
      </c>
      <c r="I332" s="1307" t="s">
        <v>2780</v>
      </c>
      <c r="J332" s="732" t="s">
        <v>2073</v>
      </c>
      <c r="K332" s="733"/>
      <c r="L332" s="730"/>
      <c r="M332" s="731"/>
      <c r="N332" s="1195" t="s">
        <v>357</v>
      </c>
      <c r="O332" s="1195" t="s">
        <v>186</v>
      </c>
      <c r="P332" s="348"/>
      <c r="Q332" s="1308"/>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1396</v>
      </c>
      <c r="E333" s="746" t="s">
        <v>118</v>
      </c>
      <c r="F333" s="746" t="s">
        <v>2794</v>
      </c>
      <c r="G333" s="744" t="s">
        <v>2511</v>
      </c>
      <c r="H333" s="745" t="s">
        <v>442</v>
      </c>
      <c r="I333" s="1307" t="s">
        <v>2780</v>
      </c>
      <c r="J333" s="732" t="s">
        <v>2075</v>
      </c>
      <c r="K333" s="733"/>
      <c r="L333" s="730"/>
      <c r="M333" s="731"/>
      <c r="N333" s="1195" t="s">
        <v>359</v>
      </c>
      <c r="O333" s="1195" t="s">
        <v>2557</v>
      </c>
      <c r="P333" s="348"/>
      <c r="Q333" s="1308"/>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2083</v>
      </c>
      <c r="D334" s="708" t="s">
        <v>1396</v>
      </c>
      <c r="E334" s="743" t="s">
        <v>353</v>
      </c>
      <c r="F334" s="746" t="s">
        <v>2795</v>
      </c>
      <c r="G334" s="744" t="s">
        <v>2512</v>
      </c>
      <c r="H334" s="745" t="s">
        <v>443</v>
      </c>
      <c r="I334" s="1307" t="s">
        <v>1267</v>
      </c>
      <c r="J334" s="732" t="s">
        <v>2291</v>
      </c>
      <c r="K334" s="733"/>
      <c r="L334" s="730"/>
      <c r="M334" s="731"/>
      <c r="N334" s="708" t="s">
        <v>361</v>
      </c>
      <c r="O334" s="708" t="s">
        <v>2009</v>
      </c>
      <c r="P334" s="1310"/>
      <c r="Q334" s="1308"/>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2084</v>
      </c>
      <c r="D335" s="708" t="s">
        <v>1287</v>
      </c>
      <c r="E335" s="746" t="s">
        <v>2554</v>
      </c>
      <c r="F335" s="743" t="s">
        <v>2794</v>
      </c>
      <c r="G335" s="744" t="s">
        <v>2513</v>
      </c>
      <c r="H335" s="745" t="s">
        <v>442</v>
      </c>
      <c r="I335" s="1307" t="s">
        <v>2780</v>
      </c>
      <c r="J335" s="732" t="s">
        <v>160</v>
      </c>
      <c r="K335" s="733"/>
      <c r="L335" s="730"/>
      <c r="M335" s="731"/>
      <c r="N335" s="1195" t="s">
        <v>363</v>
      </c>
      <c r="O335" s="1195" t="s">
        <v>182</v>
      </c>
      <c r="P335" s="348"/>
      <c r="Q335" s="1308"/>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2555</v>
      </c>
      <c r="D336" s="708" t="s">
        <v>1420</v>
      </c>
      <c r="E336" s="746" t="s">
        <v>2556</v>
      </c>
      <c r="F336" s="746" t="s">
        <v>2794</v>
      </c>
      <c r="G336" s="744" t="s">
        <v>440</v>
      </c>
      <c r="H336" s="745" t="s">
        <v>442</v>
      </c>
      <c r="I336" s="1307" t="s">
        <v>2780</v>
      </c>
      <c r="J336" s="732" t="s">
        <v>161</v>
      </c>
      <c r="K336" s="733"/>
      <c r="L336" s="730"/>
      <c r="M336" s="731"/>
      <c r="N336" s="1195" t="s">
        <v>2074</v>
      </c>
      <c r="O336" s="1195" t="s">
        <v>109</v>
      </c>
      <c r="P336" s="348"/>
      <c r="Q336" s="1308"/>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2557</v>
      </c>
      <c r="D337" s="708" t="s">
        <v>1420</v>
      </c>
      <c r="E337" s="746" t="s">
        <v>2558</v>
      </c>
      <c r="F337" s="746" t="s">
        <v>2794</v>
      </c>
      <c r="G337" s="744" t="s">
        <v>441</v>
      </c>
      <c r="H337" s="745" t="s">
        <v>442</v>
      </c>
      <c r="I337" s="1307" t="s">
        <v>2780</v>
      </c>
      <c r="J337" s="732" t="s">
        <v>1687</v>
      </c>
      <c r="K337" s="733"/>
      <c r="L337" s="730"/>
      <c r="M337" s="731"/>
      <c r="N337" s="1195" t="s">
        <v>203</v>
      </c>
      <c r="O337" s="1195" t="s">
        <v>1777</v>
      </c>
      <c r="P337" s="348"/>
      <c r="Q337" s="1308"/>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2559</v>
      </c>
      <c r="D338" s="708" t="s">
        <v>1287</v>
      </c>
      <c r="E338" s="746" t="s">
        <v>1905</v>
      </c>
      <c r="F338" s="746" t="s">
        <v>2795</v>
      </c>
      <c r="G338" s="744" t="s">
        <v>1230</v>
      </c>
      <c r="H338" s="745" t="s">
        <v>443</v>
      </c>
      <c r="I338" s="1307" t="s">
        <v>2780</v>
      </c>
      <c r="J338" s="732" t="s">
        <v>843</v>
      </c>
      <c r="K338" s="733"/>
      <c r="L338" s="730"/>
      <c r="M338" s="731"/>
      <c r="N338" s="1195" t="s">
        <v>2292</v>
      </c>
      <c r="O338" s="1195" t="s">
        <v>203</v>
      </c>
      <c r="P338" s="348"/>
      <c r="Q338" s="1308"/>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845</v>
      </c>
      <c r="K339" s="733"/>
      <c r="L339" s="730"/>
      <c r="M339" s="731"/>
      <c r="N339" s="1195" t="s">
        <v>735</v>
      </c>
      <c r="O339" s="1195" t="s">
        <v>2316</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847</v>
      </c>
      <c r="K340" s="733"/>
      <c r="L340" s="730"/>
      <c r="M340" s="731"/>
      <c r="N340" s="708" t="s">
        <v>162</v>
      </c>
      <c r="O340" s="708" t="s">
        <v>2008</v>
      </c>
      <c r="P340" s="1310"/>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2585</v>
      </c>
      <c r="K341" s="733"/>
      <c r="L341" s="730"/>
      <c r="M341" s="731"/>
      <c r="N341" s="1195" t="s">
        <v>204</v>
      </c>
      <c r="O341" s="1195" t="s">
        <v>668</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2586</v>
      </c>
      <c r="K342" s="733"/>
      <c r="L342" s="730"/>
      <c r="M342" s="731"/>
      <c r="N342" s="1195" t="s">
        <v>2749</v>
      </c>
      <c r="O342" s="1195" t="s">
        <v>2144</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2588</v>
      </c>
      <c r="K343" s="733"/>
      <c r="L343" s="730"/>
      <c r="M343" s="731"/>
      <c r="N343" s="1195" t="s">
        <v>844</v>
      </c>
      <c r="O343" s="1195"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2590</v>
      </c>
      <c r="K344" s="733"/>
      <c r="L344" s="730"/>
      <c r="M344" s="731"/>
      <c r="N344" s="1195" t="s">
        <v>846</v>
      </c>
      <c r="O344" s="1195"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2591</v>
      </c>
      <c r="K345" s="733"/>
      <c r="L345" s="730"/>
      <c r="M345" s="731"/>
      <c r="N345" s="1195" t="s">
        <v>848</v>
      </c>
      <c r="O345" s="1195"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5" t="s">
        <v>3490</v>
      </c>
      <c r="O346" s="1195" t="s">
        <v>932</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2587</v>
      </c>
      <c r="O347" s="708" t="s">
        <v>1548</v>
      </c>
      <c r="P347" s="1311"/>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5" t="s">
        <v>2589</v>
      </c>
      <c r="O348" s="1195" t="s">
        <v>1169</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2055</v>
      </c>
      <c r="K349" s="733"/>
      <c r="L349" s="730"/>
      <c r="M349" s="731"/>
      <c r="N349" s="1195" t="s">
        <v>2750</v>
      </c>
      <c r="O349" s="1195" t="s">
        <v>711</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2056</v>
      </c>
      <c r="K350" s="733"/>
      <c r="L350" s="730"/>
      <c r="M350" s="731"/>
      <c r="N350" s="1195" t="s">
        <v>399</v>
      </c>
      <c r="O350" s="1195" t="s">
        <v>2656</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2058</v>
      </c>
      <c r="K351" s="733"/>
      <c r="L351" s="730"/>
      <c r="M351" s="731"/>
      <c r="N351" s="641" t="s">
        <v>401</v>
      </c>
      <c r="O351" s="1195" t="s">
        <v>2309</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2059</v>
      </c>
      <c r="K352" s="733"/>
      <c r="L352" s="730"/>
      <c r="M352" s="731"/>
      <c r="N352" s="1195" t="s">
        <v>51</v>
      </c>
      <c r="O352" s="1195" t="s">
        <v>1009</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2060</v>
      </c>
      <c r="K353" s="733"/>
      <c r="L353" s="730"/>
      <c r="M353" s="731"/>
      <c r="N353" s="1195" t="s">
        <v>53</v>
      </c>
      <c r="O353" s="1195" t="s">
        <v>668</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2062</v>
      </c>
      <c r="K354" s="733"/>
      <c r="L354" s="730"/>
      <c r="M354" s="731"/>
      <c r="N354" s="1195" t="s">
        <v>927</v>
      </c>
      <c r="O354" s="1195" t="s">
        <v>2654</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763</v>
      </c>
      <c r="K355" s="733"/>
      <c r="L355" s="730"/>
      <c r="M355" s="731"/>
      <c r="N355" s="708" t="s">
        <v>2057</v>
      </c>
      <c r="O355" s="708" t="s">
        <v>927</v>
      </c>
      <c r="P355" s="1311"/>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1207</v>
      </c>
      <c r="K356" s="733"/>
      <c r="L356" s="730"/>
      <c r="M356" s="731"/>
      <c r="N356" s="708" t="s">
        <v>2751</v>
      </c>
      <c r="O356" s="708" t="s">
        <v>668</v>
      </c>
      <c r="P356" s="1311"/>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1209</v>
      </c>
      <c r="K357" s="733"/>
      <c r="L357" s="730"/>
      <c r="M357" s="731"/>
      <c r="N357" s="1195" t="s">
        <v>3491</v>
      </c>
      <c r="O357" s="1195" t="s">
        <v>2651</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1211</v>
      </c>
      <c r="K358" s="733"/>
      <c r="L358" s="730"/>
      <c r="M358" s="731"/>
      <c r="N358" s="1195" t="s">
        <v>2061</v>
      </c>
      <c r="O358" s="1195" t="s">
        <v>1548</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2683</v>
      </c>
      <c r="K359" s="733"/>
      <c r="L359" s="730"/>
      <c r="M359" s="731"/>
      <c r="N359" s="1195" t="s">
        <v>2063</v>
      </c>
      <c r="O359" s="1195" t="s">
        <v>1548</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2685</v>
      </c>
      <c r="K360" s="733"/>
      <c r="L360" s="730"/>
      <c r="M360" s="731"/>
      <c r="N360" s="1195" t="s">
        <v>764</v>
      </c>
      <c r="O360" s="1195"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5" t="s">
        <v>736</v>
      </c>
      <c r="O361" s="1195" t="s">
        <v>668</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5" t="s">
        <v>3492</v>
      </c>
      <c r="O362" s="1195"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1951</v>
      </c>
      <c r="K363" s="733"/>
      <c r="L363" s="730"/>
      <c r="M363" s="731"/>
      <c r="N363" s="1195" t="s">
        <v>3493</v>
      </c>
      <c r="O363" s="1195"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1953</v>
      </c>
      <c r="K364" s="733"/>
      <c r="L364" s="730"/>
      <c r="M364" s="731"/>
      <c r="N364" s="1195" t="s">
        <v>1208</v>
      </c>
      <c r="O364" s="1195" t="s">
        <v>1548</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2023</v>
      </c>
      <c r="K365" s="733"/>
      <c r="L365" s="730"/>
      <c r="M365" s="731"/>
      <c r="N365" s="1195" t="s">
        <v>1210</v>
      </c>
      <c r="O365" s="1195" t="s">
        <v>707</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2025</v>
      </c>
      <c r="K366" s="733"/>
      <c r="L366" s="730"/>
      <c r="M366" s="731"/>
      <c r="N366" s="1195" t="s">
        <v>2752</v>
      </c>
      <c r="O366" s="1195" t="s">
        <v>2311</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2026</v>
      </c>
      <c r="K367" s="733"/>
      <c r="L367" s="730"/>
      <c r="M367" s="731"/>
      <c r="N367" s="1195" t="s">
        <v>2753</v>
      </c>
      <c r="O367" s="1195" t="s">
        <v>2703</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2028</v>
      </c>
      <c r="K368" s="733"/>
      <c r="L368" s="730"/>
      <c r="M368" s="731"/>
      <c r="N368" s="1195" t="s">
        <v>1212</v>
      </c>
      <c r="O368" s="1195" t="s">
        <v>1282</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2030</v>
      </c>
      <c r="K369" s="733"/>
      <c r="L369" s="730"/>
      <c r="M369" s="731"/>
      <c r="N369" s="1195" t="s">
        <v>2684</v>
      </c>
      <c r="O369" s="1195"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2065</v>
      </c>
      <c r="K370" s="733"/>
      <c r="L370" s="730"/>
      <c r="M370" s="731"/>
      <c r="N370" s="1195" t="s">
        <v>479</v>
      </c>
      <c r="O370" s="1195" t="s">
        <v>1165</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2067</v>
      </c>
      <c r="K371" s="733"/>
      <c r="L371" s="730"/>
      <c r="M371" s="731"/>
      <c r="N371" s="708" t="s">
        <v>196</v>
      </c>
      <c r="O371" s="708" t="s">
        <v>709</v>
      </c>
      <c r="P371" s="1311"/>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2068</v>
      </c>
      <c r="K372" s="733"/>
      <c r="L372" s="730"/>
      <c r="M372" s="731"/>
      <c r="N372" s="708" t="s">
        <v>317</v>
      </c>
      <c r="O372" s="708" t="s">
        <v>1417</v>
      </c>
      <c r="P372" s="1311"/>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2070</v>
      </c>
      <c r="K373" s="733"/>
      <c r="L373" s="730"/>
      <c r="M373" s="731"/>
      <c r="N373" s="708" t="s">
        <v>1952</v>
      </c>
      <c r="O373" s="708" t="s">
        <v>932</v>
      </c>
      <c r="P373" s="1311"/>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2072</v>
      </c>
      <c r="K374" s="733"/>
      <c r="L374" s="730"/>
      <c r="M374" s="731"/>
      <c r="N374" s="1195" t="s">
        <v>1954</v>
      </c>
      <c r="O374" s="1195" t="s">
        <v>1175</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5" t="s">
        <v>2024</v>
      </c>
      <c r="O375" s="1195" t="s">
        <v>2656</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2027</v>
      </c>
      <c r="O376" s="708" t="s">
        <v>707</v>
      </c>
      <c r="P376" s="1311"/>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1792</v>
      </c>
      <c r="K377" s="733"/>
      <c r="L377" s="730"/>
      <c r="M377" s="731"/>
      <c r="N377" s="1195" t="s">
        <v>2029</v>
      </c>
      <c r="O377" s="1195" t="s">
        <v>1399</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1870</v>
      </c>
      <c r="K378" s="733"/>
      <c r="L378" s="730"/>
      <c r="M378" s="731"/>
      <c r="N378" s="1195" t="s">
        <v>3494</v>
      </c>
      <c r="O378" s="1195"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2425</v>
      </c>
      <c r="K379" s="733"/>
      <c r="L379" s="730"/>
      <c r="M379" s="731"/>
      <c r="N379" s="1195" t="s">
        <v>2031</v>
      </c>
      <c r="O379" s="1195" t="s">
        <v>1402</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2427</v>
      </c>
      <c r="K380" s="733"/>
      <c r="L380" s="730"/>
      <c r="M380" s="731"/>
      <c r="N380" s="1195" t="s">
        <v>2066</v>
      </c>
      <c r="O380" s="1195"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1051</v>
      </c>
      <c r="K381" s="733"/>
      <c r="L381" s="730"/>
      <c r="M381" s="731"/>
      <c r="N381" s="1195" t="s">
        <v>3495</v>
      </c>
      <c r="O381" s="1195" t="s">
        <v>700</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722</v>
      </c>
      <c r="K382" s="733"/>
      <c r="L382" s="730"/>
      <c r="M382" s="731"/>
      <c r="N382" s="1195" t="s">
        <v>2069</v>
      </c>
      <c r="O382" s="1195" t="s">
        <v>2767</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604</v>
      </c>
      <c r="K383" s="733"/>
      <c r="L383" s="730"/>
      <c r="M383" s="731"/>
      <c r="N383" s="1195" t="s">
        <v>2071</v>
      </c>
      <c r="O383" s="1195" t="s">
        <v>1399</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718</v>
      </c>
      <c r="K384" s="733"/>
      <c r="L384" s="730"/>
      <c r="M384" s="731"/>
      <c r="N384" s="1195" t="s">
        <v>2391</v>
      </c>
      <c r="O384" s="1195" t="s">
        <v>2700</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2545</v>
      </c>
      <c r="K385" s="733"/>
      <c r="L385" s="730"/>
      <c r="M385" s="731"/>
      <c r="N385" s="1195" t="s">
        <v>2754</v>
      </c>
      <c r="O385" s="1195" t="s">
        <v>2311</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5" t="s">
        <v>2755</v>
      </c>
      <c r="O386" s="1195" t="s">
        <v>2653</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832</v>
      </c>
      <c r="K387" s="733"/>
      <c r="L387" s="730"/>
      <c r="M387" s="731"/>
      <c r="N387" s="1195" t="s">
        <v>439</v>
      </c>
      <c r="O387" s="1195" t="s">
        <v>1282</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833</v>
      </c>
      <c r="K388" s="733"/>
      <c r="L388" s="730"/>
      <c r="M388" s="731"/>
      <c r="N388" s="708" t="s">
        <v>238</v>
      </c>
      <c r="O388" s="708" t="s">
        <v>712</v>
      </c>
      <c r="P388" s="1311"/>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5" t="s">
        <v>2756</v>
      </c>
      <c r="O389" s="1195" t="s">
        <v>2142</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5" t="s">
        <v>1793</v>
      </c>
      <c r="O390" s="1195" t="s">
        <v>2651</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5" t="s">
        <v>2426</v>
      </c>
      <c r="O391" s="1195" t="s">
        <v>702</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838</v>
      </c>
      <c r="K392" s="733"/>
      <c r="L392" s="730"/>
      <c r="M392" s="731"/>
      <c r="N392" s="1195" t="s">
        <v>2428</v>
      </c>
      <c r="O392" s="1195" t="s">
        <v>1400</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839</v>
      </c>
      <c r="K393" s="733"/>
      <c r="L393" s="730"/>
      <c r="M393" s="731"/>
      <c r="N393" s="1195" t="s">
        <v>1052</v>
      </c>
      <c r="O393" s="1195" t="s">
        <v>1551</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841</v>
      </c>
      <c r="K394" s="733"/>
      <c r="L394" s="730"/>
      <c r="M394" s="731"/>
      <c r="N394" s="1195" t="s">
        <v>605</v>
      </c>
      <c r="O394" s="1195" t="s">
        <v>1416</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1661</v>
      </c>
      <c r="K395" s="733"/>
      <c r="L395" s="730"/>
      <c r="M395" s="731"/>
      <c r="N395" s="1195" t="s">
        <v>719</v>
      </c>
      <c r="O395" s="1195"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1296</v>
      </c>
      <c r="K396" s="733"/>
      <c r="L396" s="730"/>
      <c r="M396" s="731"/>
      <c r="N396" s="1195" t="s">
        <v>2546</v>
      </c>
      <c r="O396" s="1195"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1298</v>
      </c>
      <c r="K397" s="733"/>
      <c r="L397" s="730"/>
      <c r="M397" s="731"/>
      <c r="N397" s="1195" t="s">
        <v>231</v>
      </c>
      <c r="O397" s="1195" t="s">
        <v>2650</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953</v>
      </c>
      <c r="K398" s="733"/>
      <c r="L398" s="730"/>
      <c r="M398" s="731"/>
      <c r="N398" s="1195" t="s">
        <v>704</v>
      </c>
      <c r="O398" s="1195" t="s">
        <v>1745</v>
      </c>
      <c r="P398" s="1312"/>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2628</v>
      </c>
      <c r="K399" s="733"/>
      <c r="L399" s="730"/>
      <c r="M399" s="731"/>
      <c r="N399" s="1195" t="s">
        <v>2516</v>
      </c>
      <c r="O399" s="1195" t="s">
        <v>2648</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956</v>
      </c>
      <c r="K400" s="733"/>
      <c r="L400" s="730"/>
      <c r="M400" s="731"/>
      <c r="N400" s="1195" t="s">
        <v>243</v>
      </c>
      <c r="O400" s="1195" t="s">
        <v>1625</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958</v>
      </c>
      <c r="K401" s="733"/>
      <c r="L401" s="730"/>
      <c r="M401" s="731"/>
      <c r="N401" s="1195" t="s">
        <v>1109</v>
      </c>
      <c r="O401" s="1195" t="s">
        <v>1551</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960</v>
      </c>
      <c r="K402" s="733"/>
      <c r="L402" s="730"/>
      <c r="M402" s="731"/>
      <c r="N402" s="1195" t="s">
        <v>245</v>
      </c>
      <c r="O402" s="1195" t="s">
        <v>1155</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962</v>
      </c>
      <c r="K403" s="733"/>
      <c r="L403" s="730"/>
      <c r="M403" s="731"/>
      <c r="N403" s="1195" t="s">
        <v>705</v>
      </c>
      <c r="O403" s="1195"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964</v>
      </c>
      <c r="K404" s="733"/>
      <c r="L404" s="730"/>
      <c r="M404" s="731"/>
      <c r="N404" s="1195" t="s">
        <v>840</v>
      </c>
      <c r="O404" s="1195" t="s">
        <v>705</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724</v>
      </c>
      <c r="K405" s="733"/>
      <c r="L405" s="730"/>
      <c r="M405" s="731"/>
      <c r="N405" s="1195" t="s">
        <v>1295</v>
      </c>
      <c r="O405" s="1195" t="s">
        <v>2656</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5" t="s">
        <v>1297</v>
      </c>
      <c r="O406" s="1195"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1017</v>
      </c>
      <c r="K407" s="733"/>
      <c r="L407" s="730"/>
      <c r="M407" s="731"/>
      <c r="N407" s="1195" t="s">
        <v>1299</v>
      </c>
      <c r="O407" s="1195"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1863</v>
      </c>
      <c r="K408" s="733"/>
      <c r="L408" s="730"/>
      <c r="M408" s="731"/>
      <c r="N408" s="1195" t="s">
        <v>954</v>
      </c>
      <c r="O408" s="1195" t="s">
        <v>2389</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1057</v>
      </c>
      <c r="K409" s="733"/>
      <c r="L409" s="730"/>
      <c r="M409" s="731"/>
      <c r="N409" s="1195" t="s">
        <v>2629</v>
      </c>
      <c r="O409" s="1195" t="s">
        <v>2010</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1058</v>
      </c>
      <c r="K410" s="733"/>
      <c r="L410" s="730"/>
      <c r="M410" s="731"/>
      <c r="N410" s="1195" t="s">
        <v>957</v>
      </c>
      <c r="O410" s="1195" t="s">
        <v>2318</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1060</v>
      </c>
      <c r="K411" s="733"/>
      <c r="L411" s="730"/>
      <c r="M411" s="731"/>
      <c r="N411" s="708" t="s">
        <v>959</v>
      </c>
      <c r="O411" s="708" t="s">
        <v>1167</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1039</v>
      </c>
      <c r="K412" s="733"/>
      <c r="L412" s="730"/>
      <c r="M412" s="731"/>
      <c r="N412" s="1195" t="s">
        <v>961</v>
      </c>
      <c r="O412" s="1195" t="s">
        <v>709</v>
      </c>
      <c r="P412" s="1311"/>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1041</v>
      </c>
      <c r="K413" s="733"/>
      <c r="L413" s="730"/>
      <c r="M413" s="731"/>
      <c r="N413" s="1195" t="s">
        <v>963</v>
      </c>
      <c r="O413" s="1195"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1043</v>
      </c>
      <c r="K414" s="733"/>
      <c r="L414" s="730"/>
      <c r="M414" s="731"/>
      <c r="N414" s="1195" t="s">
        <v>965</v>
      </c>
      <c r="O414" s="1195" t="s">
        <v>1414</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1045</v>
      </c>
      <c r="K415" s="733"/>
      <c r="L415" s="730"/>
      <c r="M415" s="731"/>
      <c r="N415" s="708" t="s">
        <v>725</v>
      </c>
      <c r="O415" s="708" t="s">
        <v>2322</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608</v>
      </c>
      <c r="K416" s="733"/>
      <c r="L416" s="730"/>
      <c r="M416" s="731"/>
      <c r="N416" s="1195" t="s">
        <v>58</v>
      </c>
      <c r="O416" s="1195" t="s">
        <v>115</v>
      </c>
      <c r="P416" s="1311"/>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5" t="s">
        <v>1018</v>
      </c>
      <c r="O417" s="1195" t="s">
        <v>2143</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5" t="s">
        <v>712</v>
      </c>
      <c r="O418" s="1195" t="s">
        <v>2557</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5" t="s">
        <v>1059</v>
      </c>
      <c r="O419" s="1195" t="s">
        <v>1286</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636</v>
      </c>
      <c r="K420" s="733"/>
      <c r="L420" s="730"/>
      <c r="M420" s="731"/>
      <c r="N420" s="1195" t="s">
        <v>1061</v>
      </c>
      <c r="O420" s="1195" t="s">
        <v>2703</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1507</v>
      </c>
      <c r="K421" s="733"/>
      <c r="L421" s="730"/>
      <c r="M421" s="731"/>
      <c r="N421" s="708" t="s">
        <v>1040</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1701</v>
      </c>
      <c r="K422" s="733"/>
      <c r="L422" s="730"/>
      <c r="M422" s="731"/>
      <c r="N422" s="1195" t="s">
        <v>1042</v>
      </c>
      <c r="O422" s="1195" t="s">
        <v>124</v>
      </c>
      <c r="P422" s="1311"/>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1067</v>
      </c>
      <c r="K423" s="733"/>
      <c r="L423" s="730"/>
      <c r="M423" s="731"/>
      <c r="N423" s="1195" t="s">
        <v>1044</v>
      </c>
      <c r="O423" s="1195" t="s">
        <v>716</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1069</v>
      </c>
      <c r="K424" s="733"/>
      <c r="L424" s="730"/>
      <c r="M424" s="731"/>
      <c r="N424" s="1195" t="s">
        <v>1046</v>
      </c>
      <c r="O424" s="1195" t="s">
        <v>2010</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1071</v>
      </c>
      <c r="K425" s="733"/>
      <c r="L425" s="730"/>
      <c r="M425" s="731"/>
      <c r="N425" s="1195" t="s">
        <v>1110</v>
      </c>
      <c r="O425" s="1195" t="s">
        <v>668</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1794</v>
      </c>
      <c r="K426" s="733"/>
      <c r="L426" s="730"/>
      <c r="M426" s="731"/>
      <c r="N426" s="1195" t="s">
        <v>609</v>
      </c>
      <c r="O426" s="1195" t="s">
        <v>2311</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1795</v>
      </c>
      <c r="K427" s="733"/>
      <c r="L427" s="730"/>
      <c r="M427" s="731"/>
      <c r="N427" s="1195" t="s">
        <v>391</v>
      </c>
      <c r="O427" s="1195" t="s">
        <v>2700</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1796</v>
      </c>
      <c r="K428" s="733"/>
      <c r="L428" s="730"/>
      <c r="M428" s="731"/>
      <c r="N428" s="1195" t="s">
        <v>393</v>
      </c>
      <c r="O428" s="1195" t="s">
        <v>1551</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916</v>
      </c>
      <c r="K429" s="733"/>
      <c r="L429" s="730"/>
      <c r="M429" s="731"/>
      <c r="N429" s="1195" t="s">
        <v>1111</v>
      </c>
      <c r="O429" s="1195" t="s">
        <v>2044</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918</v>
      </c>
      <c r="K430" s="733"/>
      <c r="L430" s="730"/>
      <c r="M430" s="731"/>
      <c r="N430" s="1195" t="s">
        <v>395</v>
      </c>
      <c r="O430" s="1195" t="s">
        <v>931</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920</v>
      </c>
      <c r="K431" s="733"/>
      <c r="L431" s="730"/>
      <c r="M431" s="731"/>
      <c r="N431" s="1195" t="s">
        <v>1508</v>
      </c>
      <c r="O431" s="1195" t="s">
        <v>2391</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5" t="s">
        <v>1702</v>
      </c>
      <c r="O432" s="1195"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1842</v>
      </c>
      <c r="K433" s="733"/>
      <c r="L433" s="730"/>
      <c r="M433" s="731"/>
      <c r="N433" s="1195" t="s">
        <v>1068</v>
      </c>
      <c r="O433" s="1195"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2434</v>
      </c>
      <c r="K434" s="733"/>
      <c r="L434" s="730"/>
      <c r="M434" s="731"/>
      <c r="N434" s="708" t="s">
        <v>1070</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2138</v>
      </c>
      <c r="K435" s="733"/>
      <c r="L435" s="730"/>
      <c r="M435" s="731"/>
      <c r="N435" s="1195" t="s">
        <v>1112</v>
      </c>
      <c r="O435" s="1195" t="s">
        <v>2140</v>
      </c>
      <c r="P435" s="1311"/>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1093</v>
      </c>
      <c r="K436" s="733"/>
      <c r="L436" s="730"/>
      <c r="M436" s="731"/>
      <c r="N436" s="1195" t="s">
        <v>1072</v>
      </c>
      <c r="O436" s="1195" t="s">
        <v>1282</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5" t="s">
        <v>332</v>
      </c>
      <c r="O437" s="1195" t="s">
        <v>2703</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5" t="s">
        <v>3496</v>
      </c>
      <c r="O438" s="1195" t="s">
        <v>1906</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5" t="s">
        <v>1797</v>
      </c>
      <c r="O439" s="1195" t="s">
        <v>2700</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2076</v>
      </c>
      <c r="K440" s="733"/>
      <c r="L440" s="730"/>
      <c r="M440" s="731"/>
      <c r="N440" s="1195" t="s">
        <v>917</v>
      </c>
      <c r="O440" s="1195"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522</v>
      </c>
      <c r="K441" s="733"/>
      <c r="L441" s="730"/>
      <c r="M441" s="731"/>
      <c r="N441" s="1195" t="s">
        <v>919</v>
      </c>
      <c r="O441" s="1195"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2299</v>
      </c>
      <c r="K442" s="733"/>
      <c r="L442" s="730"/>
      <c r="M442" s="731"/>
      <c r="N442" s="1195" t="s">
        <v>1862</v>
      </c>
      <c r="O442" s="1195" t="s">
        <v>1163</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1757</v>
      </c>
      <c r="K443" s="733"/>
      <c r="L443" s="730"/>
      <c r="M443" s="731"/>
      <c r="N443" s="1195" t="s">
        <v>671</v>
      </c>
      <c r="O443" s="1195"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1759</v>
      </c>
      <c r="K444" s="733"/>
      <c r="L444" s="730"/>
      <c r="M444" s="731"/>
      <c r="N444" s="1195" t="s">
        <v>1843</v>
      </c>
      <c r="O444" s="1195"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5" t="s">
        <v>2435</v>
      </c>
      <c r="O445" s="1195" t="s">
        <v>925</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5" t="s">
        <v>3497</v>
      </c>
      <c r="O446" s="1195"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997</v>
      </c>
      <c r="K447" s="733"/>
      <c r="L447" s="730"/>
      <c r="M447" s="731"/>
      <c r="N447" s="1195" t="s">
        <v>2139</v>
      </c>
      <c r="O447" s="1195" t="s">
        <v>1173</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2469</v>
      </c>
      <c r="K448" s="733"/>
      <c r="L448" s="730"/>
      <c r="M448" s="731"/>
      <c r="N448" s="708" t="s">
        <v>3498</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2470</v>
      </c>
      <c r="K449" s="733"/>
      <c r="L449" s="730"/>
      <c r="M449" s="731"/>
      <c r="N449" s="1195" t="s">
        <v>1094</v>
      </c>
      <c r="O449" s="1195" t="s">
        <v>2044</v>
      </c>
      <c r="P449" s="1311"/>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2451</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2452</v>
      </c>
      <c r="K451" s="733"/>
      <c r="L451" s="730"/>
      <c r="M451" s="731"/>
      <c r="N451" s="1195" t="s">
        <v>1113</v>
      </c>
      <c r="O451" s="1195" t="s">
        <v>1160</v>
      </c>
      <c r="P451" s="1311"/>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2454</v>
      </c>
      <c r="K452" s="733"/>
      <c r="L452" s="730"/>
      <c r="M452" s="731"/>
      <c r="N452" s="708" t="s">
        <v>434</v>
      </c>
      <c r="O452" s="708" t="s">
        <v>2307</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541</v>
      </c>
      <c r="K453" s="733"/>
      <c r="L453" s="730"/>
      <c r="M453" s="731"/>
      <c r="N453" s="1195" t="s">
        <v>2077</v>
      </c>
      <c r="O453" s="1195" t="s">
        <v>1551</v>
      </c>
      <c r="P453" s="1311"/>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5" t="s">
        <v>523</v>
      </c>
      <c r="O454" s="1195" t="s">
        <v>2773</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2251</v>
      </c>
      <c r="K455" s="733"/>
      <c r="L455" s="730"/>
      <c r="M455" s="731"/>
      <c r="N455" s="1195" t="s">
        <v>2300</v>
      </c>
      <c r="O455" s="1195" t="s">
        <v>1408</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2109</v>
      </c>
      <c r="K456" s="733"/>
      <c r="L456" s="730"/>
      <c r="M456" s="731"/>
      <c r="N456" s="1195" t="s">
        <v>1758</v>
      </c>
      <c r="O456" s="1195" t="s">
        <v>2048</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2111</v>
      </c>
      <c r="K457" s="733"/>
      <c r="L457" s="730"/>
      <c r="M457" s="731"/>
      <c r="N457" s="1195" t="s">
        <v>1760</v>
      </c>
      <c r="O457" s="1195"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1213</v>
      </c>
      <c r="K458" s="733"/>
      <c r="L458" s="730"/>
      <c r="M458" s="731"/>
      <c r="N458" s="1195" t="s">
        <v>325</v>
      </c>
      <c r="O458" s="1195"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1215</v>
      </c>
      <c r="K459" s="733"/>
      <c r="L459" s="730"/>
      <c r="M459" s="731"/>
      <c r="N459" s="1195" t="s">
        <v>327</v>
      </c>
      <c r="O459" s="1195" t="s">
        <v>1395</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1177</v>
      </c>
      <c r="K460" s="733"/>
      <c r="L460" s="730"/>
      <c r="M460" s="731"/>
      <c r="N460" s="1195" t="s">
        <v>998</v>
      </c>
      <c r="O460" s="1195" t="s">
        <v>2651</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1178</v>
      </c>
      <c r="K461" s="733"/>
      <c r="L461" s="730"/>
      <c r="M461" s="731"/>
      <c r="N461" s="1195" t="s">
        <v>2471</v>
      </c>
      <c r="O461" s="1195"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5" t="s">
        <v>3499</v>
      </c>
      <c r="O462" s="1195" t="s">
        <v>2324</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2453</v>
      </c>
      <c r="O463" s="1195"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2396</v>
      </c>
      <c r="K464" s="733"/>
      <c r="L464" s="730"/>
      <c r="M464" s="731"/>
      <c r="N464" s="1195" t="s">
        <v>2455</v>
      </c>
      <c r="O464" s="1195" t="s">
        <v>1405</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1944</v>
      </c>
      <c r="K465" s="733"/>
      <c r="L465" s="730"/>
      <c r="M465" s="731"/>
      <c r="N465" s="1195" t="s">
        <v>542</v>
      </c>
      <c r="O465" s="1195"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1877</v>
      </c>
      <c r="K466" s="733"/>
      <c r="L466" s="730"/>
      <c r="M466" s="731"/>
      <c r="N466" s="1195" t="s">
        <v>1114</v>
      </c>
      <c r="O466" s="1195" t="s">
        <v>1625</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5" t="s">
        <v>194</v>
      </c>
      <c r="O467" s="1195" t="s">
        <v>2309</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2506</v>
      </c>
      <c r="K468" s="733"/>
      <c r="L468" s="730"/>
      <c r="M468" s="731"/>
      <c r="N468" s="708" t="s">
        <v>1115</v>
      </c>
      <c r="O468" s="708" t="s">
        <v>2650</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5" t="s">
        <v>2108</v>
      </c>
      <c r="O469" s="1195" t="s">
        <v>2557</v>
      </c>
      <c r="P469" s="1311"/>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5" t="s">
        <v>1116</v>
      </c>
      <c r="O470" s="1195"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5" t="s">
        <v>2110</v>
      </c>
      <c r="O471" s="1195" t="s">
        <v>2557</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5" t="s">
        <v>341</v>
      </c>
      <c r="O472" s="1195" t="s">
        <v>1416</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1317</v>
      </c>
      <c r="K473" s="733"/>
      <c r="L473" s="730"/>
      <c r="M473" s="731"/>
      <c r="N473" s="1195" t="s">
        <v>1214</v>
      </c>
      <c r="O473" s="1195" t="s">
        <v>925</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1319</v>
      </c>
      <c r="K474" s="733"/>
      <c r="L474" s="730"/>
      <c r="M474" s="731"/>
      <c r="N474" s="1195" t="s">
        <v>1176</v>
      </c>
      <c r="O474" s="1195" t="s">
        <v>928</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2128</v>
      </c>
      <c r="K475" s="733"/>
      <c r="L475" s="730"/>
      <c r="M475" s="731"/>
      <c r="N475" s="1195" t="s">
        <v>343</v>
      </c>
      <c r="O475" s="1195" t="s">
        <v>1157</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2129</v>
      </c>
      <c r="K476" s="733"/>
      <c r="L476" s="730"/>
      <c r="M476" s="731"/>
      <c r="N476" s="1195" t="s">
        <v>346</v>
      </c>
      <c r="O476" s="1195"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2052</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2397</v>
      </c>
      <c r="O478" s="708" t="s">
        <v>1416</v>
      </c>
      <c r="P478" s="1311"/>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2574</v>
      </c>
      <c r="K479" s="733"/>
      <c r="L479" s="730"/>
      <c r="M479" s="731"/>
      <c r="N479" s="1195" t="s">
        <v>1876</v>
      </c>
      <c r="O479" s="1195" t="s">
        <v>2143</v>
      </c>
      <c r="P479" s="1311"/>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2338</v>
      </c>
      <c r="K480" s="733"/>
      <c r="L480" s="730"/>
      <c r="M480" s="731"/>
      <c r="N480" s="1195" t="s">
        <v>1878</v>
      </c>
      <c r="O480" s="1195"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2339</v>
      </c>
      <c r="K481" s="733"/>
      <c r="L481" s="730"/>
      <c r="M481" s="731"/>
      <c r="N481" s="1195" t="s">
        <v>737</v>
      </c>
      <c r="O481" s="1195" t="s">
        <v>1282</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1023</v>
      </c>
      <c r="K482" s="733"/>
      <c r="L482" s="730"/>
      <c r="M482" s="731"/>
      <c r="N482" s="1195" t="s">
        <v>2505</v>
      </c>
      <c r="O482" s="1195" t="s">
        <v>2650</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1025</v>
      </c>
      <c r="K483" s="733"/>
      <c r="L483" s="730"/>
      <c r="M483" s="731"/>
      <c r="N483" s="1195" t="s">
        <v>2507</v>
      </c>
      <c r="O483" s="1195" t="s">
        <v>2318</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1591</v>
      </c>
      <c r="K484" s="733"/>
      <c r="L484" s="730"/>
      <c r="M484" s="731"/>
      <c r="N484" s="1195" t="s">
        <v>500</v>
      </c>
      <c r="O484" s="1195" t="s">
        <v>2653</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1592</v>
      </c>
      <c r="K485" s="733"/>
      <c r="L485" s="730"/>
      <c r="M485" s="731"/>
      <c r="N485" s="1195" t="s">
        <v>502</v>
      </c>
      <c r="O485" s="1195" t="s">
        <v>1414</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1594</v>
      </c>
      <c r="K486" s="733"/>
      <c r="L486" s="730"/>
      <c r="M486" s="731"/>
      <c r="N486" s="1195" t="s">
        <v>1117</v>
      </c>
      <c r="O486" s="1195" t="s">
        <v>1419</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1596</v>
      </c>
      <c r="K487" s="733"/>
      <c r="L487" s="730"/>
      <c r="M487" s="731"/>
      <c r="N487" s="1195" t="s">
        <v>504</v>
      </c>
      <c r="O487" s="1195" t="s">
        <v>1419</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1598</v>
      </c>
      <c r="K488" s="733"/>
      <c r="L488" s="730"/>
      <c r="M488" s="731"/>
      <c r="N488" s="708" t="s">
        <v>1318</v>
      </c>
      <c r="O488" s="708" t="s">
        <v>1399</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2487</v>
      </c>
      <c r="K489" s="733"/>
      <c r="L489" s="730"/>
      <c r="M489" s="731"/>
      <c r="N489" s="1195" t="s">
        <v>1320</v>
      </c>
      <c r="O489" s="1195" t="s">
        <v>350</v>
      </c>
      <c r="P489" s="1311"/>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2777</v>
      </c>
      <c r="K490" s="733"/>
      <c r="L490" s="730"/>
      <c r="M490" s="731"/>
      <c r="N490" s="1195" t="s">
        <v>3500</v>
      </c>
      <c r="O490" s="1195" t="s">
        <v>2704</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1361</v>
      </c>
      <c r="K491" s="733"/>
      <c r="L491" s="730"/>
      <c r="M491" s="731"/>
      <c r="N491" s="1195" t="s">
        <v>2130</v>
      </c>
      <c r="O491" s="1195" t="s">
        <v>2142</v>
      </c>
      <c r="P491" s="1312"/>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1613</v>
      </c>
      <c r="K492" s="733"/>
      <c r="L492" s="730"/>
      <c r="M492" s="731"/>
      <c r="N492" s="1195" t="s">
        <v>79</v>
      </c>
      <c r="O492" s="1195" t="s">
        <v>2048</v>
      </c>
      <c r="P492" s="1312"/>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872</v>
      </c>
      <c r="K493" s="733"/>
      <c r="L493" s="730"/>
      <c r="M493" s="731"/>
      <c r="N493" s="1195" t="s">
        <v>672</v>
      </c>
      <c r="O493" s="1195" t="s">
        <v>2650</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873</v>
      </c>
      <c r="K494" s="733"/>
      <c r="L494" s="730"/>
      <c r="M494" s="731"/>
      <c r="N494" s="1195" t="s">
        <v>81</v>
      </c>
      <c r="O494" s="1195"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875</v>
      </c>
      <c r="K495" s="733"/>
      <c r="L495" s="730"/>
      <c r="M495" s="731"/>
      <c r="N495" s="1195" t="s">
        <v>2575</v>
      </c>
      <c r="O495" s="1195" t="s">
        <v>1547</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876</v>
      </c>
      <c r="K496" s="733"/>
      <c r="L496" s="730"/>
      <c r="M496" s="731"/>
      <c r="N496" s="1195" t="s">
        <v>1118</v>
      </c>
      <c r="O496" s="1195" t="s">
        <v>1625</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5" t="s">
        <v>1119</v>
      </c>
      <c r="O497" s="1195" t="s">
        <v>1174</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5" t="s">
        <v>653</v>
      </c>
      <c r="O498" s="1195" t="s">
        <v>705</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1610</v>
      </c>
      <c r="K499" s="733"/>
      <c r="L499" s="730"/>
      <c r="M499" s="731"/>
      <c r="N499" s="1195" t="s">
        <v>1024</v>
      </c>
      <c r="O499" s="1195"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5" t="s">
        <v>1026</v>
      </c>
      <c r="O500" s="1195" t="s">
        <v>1417</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1615</v>
      </c>
      <c r="K501" s="733"/>
      <c r="L501" s="730"/>
      <c r="M501" s="731"/>
      <c r="N501" s="1195" t="s">
        <v>1593</v>
      </c>
      <c r="O501" s="1195" t="s">
        <v>1550</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1617</v>
      </c>
      <c r="K502" s="733"/>
      <c r="L502" s="730"/>
      <c r="M502" s="731"/>
      <c r="N502" s="1195" t="s">
        <v>1595</v>
      </c>
      <c r="O502" s="1195" t="s">
        <v>2701</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1481</v>
      </c>
      <c r="K503" s="733"/>
      <c r="L503" s="730"/>
      <c r="M503" s="731"/>
      <c r="N503" s="1195" t="s">
        <v>1597</v>
      </c>
      <c r="O503" s="1195" t="s">
        <v>2316</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1483</v>
      </c>
      <c r="K504" s="733"/>
      <c r="L504" s="730"/>
      <c r="M504" s="731"/>
      <c r="N504" s="1195" t="s">
        <v>2486</v>
      </c>
      <c r="O504" s="1195" t="s">
        <v>2772</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1485</v>
      </c>
      <c r="K505" s="733"/>
      <c r="L505" s="730"/>
      <c r="M505" s="731"/>
      <c r="N505" s="1195" t="s">
        <v>2488</v>
      </c>
      <c r="O505" s="1195"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1486</v>
      </c>
      <c r="K506" s="733"/>
      <c r="L506" s="730"/>
      <c r="M506" s="731"/>
      <c r="N506" s="708" t="s">
        <v>1360</v>
      </c>
      <c r="O506" s="708" t="s">
        <v>1009</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1488</v>
      </c>
      <c r="K507" s="733"/>
      <c r="L507" s="730"/>
      <c r="M507" s="731"/>
      <c r="N507" s="1195" t="s">
        <v>1120</v>
      </c>
      <c r="O507" s="1195" t="s">
        <v>2140</v>
      </c>
      <c r="P507" s="1311"/>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1490</v>
      </c>
      <c r="K508" s="733"/>
      <c r="L508" s="730"/>
      <c r="M508" s="731"/>
      <c r="N508" s="1195" t="s">
        <v>1362</v>
      </c>
      <c r="O508" s="1195" t="s">
        <v>1552</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1676</v>
      </c>
      <c r="K509" s="733"/>
      <c r="L509" s="730"/>
      <c r="M509" s="731"/>
      <c r="N509" s="1195" t="s">
        <v>880</v>
      </c>
      <c r="O509" s="1195" t="s">
        <v>2142</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1677</v>
      </c>
      <c r="K510" s="733"/>
      <c r="L510" s="730"/>
      <c r="M510" s="731"/>
      <c r="N510" s="1195" t="s">
        <v>881</v>
      </c>
      <c r="O510" s="1195" t="s">
        <v>927</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1678</v>
      </c>
      <c r="K511" s="733"/>
      <c r="L511" s="730"/>
      <c r="M511" s="731"/>
      <c r="N511" s="1195" t="s">
        <v>874</v>
      </c>
      <c r="O511" s="1195" t="s">
        <v>668</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1679</v>
      </c>
      <c r="K512" s="733"/>
      <c r="L512" s="730"/>
      <c r="M512" s="731"/>
      <c r="N512" s="1195" t="s">
        <v>877</v>
      </c>
      <c r="O512" s="1195"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1681</v>
      </c>
      <c r="K513" s="733"/>
      <c r="L513" s="730"/>
      <c r="M513" s="731"/>
      <c r="N513" s="1195" t="s">
        <v>123</v>
      </c>
      <c r="O513" s="1195" t="s">
        <v>2143</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1683</v>
      </c>
      <c r="K514" s="733"/>
      <c r="L514" s="730"/>
      <c r="M514" s="731"/>
      <c r="N514" s="1195" t="s">
        <v>263</v>
      </c>
      <c r="O514" s="1195" t="s">
        <v>2010</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1684</v>
      </c>
      <c r="K515" s="733"/>
      <c r="L515" s="730"/>
      <c r="M515" s="731"/>
      <c r="N515" s="708" t="s">
        <v>1611</v>
      </c>
      <c r="O515" s="708" t="s">
        <v>2142</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1686</v>
      </c>
      <c r="K516" s="733"/>
      <c r="L516" s="730"/>
      <c r="M516" s="731"/>
      <c r="N516" s="1195" t="s">
        <v>1614</v>
      </c>
      <c r="O516" s="1195" t="s">
        <v>346</v>
      </c>
      <c r="P516" s="1311"/>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5" t="s">
        <v>1616</v>
      </c>
      <c r="O517" s="1195" t="s">
        <v>2650</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5" t="s">
        <v>512</v>
      </c>
      <c r="O518" s="1195" t="s">
        <v>1554</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5" t="s">
        <v>1482</v>
      </c>
      <c r="O519" s="1195"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5" t="s">
        <v>1484</v>
      </c>
      <c r="O520" s="1195" t="s">
        <v>925</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1149</v>
      </c>
      <c r="K521" s="733"/>
      <c r="L521" s="730"/>
      <c r="M521" s="731"/>
      <c r="N521" s="1195" t="s">
        <v>183</v>
      </c>
      <c r="O521" s="1195" t="s">
        <v>2314</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1151</v>
      </c>
      <c r="K522" s="733"/>
      <c r="L522" s="730"/>
      <c r="M522" s="731"/>
      <c r="N522" s="1195" t="s">
        <v>1487</v>
      </c>
      <c r="O522" s="1195" t="s">
        <v>2010</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1153</v>
      </c>
      <c r="K523" s="733"/>
      <c r="L523" s="730"/>
      <c r="M523" s="731"/>
      <c r="N523" s="1195" t="s">
        <v>1489</v>
      </c>
      <c r="O523" s="1195"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5" t="s">
        <v>2659</v>
      </c>
      <c r="O524" s="1195" t="s">
        <v>2042</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5" t="s">
        <v>1121</v>
      </c>
      <c r="O525" s="1195" t="s">
        <v>2653</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1737</v>
      </c>
      <c r="K526" s="733"/>
      <c r="L526" s="730"/>
      <c r="M526" s="731"/>
      <c r="N526" s="1195" t="s">
        <v>1405</v>
      </c>
      <c r="O526" s="1195" t="s">
        <v>1404</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2472</v>
      </c>
      <c r="K527" s="733"/>
      <c r="L527" s="730"/>
      <c r="M527" s="731"/>
      <c r="N527" s="1195" t="s">
        <v>186</v>
      </c>
      <c r="O527" s="1195" t="s">
        <v>2765</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5" t="s">
        <v>1680</v>
      </c>
      <c r="O528" s="1195" t="s">
        <v>2322</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1386</v>
      </c>
      <c r="K529" s="733"/>
      <c r="L529" s="730"/>
      <c r="M529" s="731"/>
      <c r="N529" s="1195" t="s">
        <v>1682</v>
      </c>
      <c r="O529" s="1195" t="s">
        <v>2010</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691</v>
      </c>
      <c r="K530" s="733"/>
      <c r="L530" s="730"/>
      <c r="M530" s="731"/>
      <c r="N530" s="1195" t="s">
        <v>1685</v>
      </c>
      <c r="O530" s="1195" t="s">
        <v>2770</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732</v>
      </c>
      <c r="K531" s="733"/>
      <c r="L531" s="730"/>
      <c r="M531" s="731"/>
      <c r="N531" s="1195" t="s">
        <v>396</v>
      </c>
      <c r="O531" s="1195" t="s">
        <v>2653</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733</v>
      </c>
      <c r="K532" s="733"/>
      <c r="L532" s="730"/>
      <c r="M532" s="731"/>
      <c r="N532" s="641" t="s">
        <v>398</v>
      </c>
      <c r="O532" s="1195" t="s">
        <v>1405</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554</v>
      </c>
      <c r="K533" s="733"/>
      <c r="L533" s="730"/>
      <c r="M533" s="731"/>
      <c r="N533" s="641" t="s">
        <v>260</v>
      </c>
      <c r="O533" s="1195" t="s">
        <v>2312</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556</v>
      </c>
      <c r="K534" s="733"/>
      <c r="L534" s="730"/>
      <c r="M534" s="731"/>
      <c r="N534" s="1195" t="s">
        <v>1715</v>
      </c>
      <c r="O534" s="1195" t="s">
        <v>2700</v>
      </c>
      <c r="P534" s="1312"/>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558</v>
      </c>
      <c r="K535" s="733"/>
      <c r="L535" s="730"/>
      <c r="M535" s="731"/>
      <c r="N535" s="1195" t="s">
        <v>3501</v>
      </c>
      <c r="O535" s="1195"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560</v>
      </c>
      <c r="K536" s="733"/>
      <c r="L536" s="730"/>
      <c r="M536" s="731"/>
      <c r="N536" s="1195" t="s">
        <v>1150</v>
      </c>
      <c r="O536" s="1195" t="s">
        <v>2772</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573</v>
      </c>
      <c r="K537" s="733"/>
      <c r="L537" s="730"/>
      <c r="M537" s="731"/>
      <c r="N537" s="1195" t="s">
        <v>1152</v>
      </c>
      <c r="O537" s="1195" t="s">
        <v>1395</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575</v>
      </c>
      <c r="K538" s="733"/>
      <c r="L538" s="730"/>
      <c r="M538" s="731"/>
      <c r="N538" s="708" t="s">
        <v>1154</v>
      </c>
      <c r="O538" s="708" t="s">
        <v>700</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762</v>
      </c>
      <c r="K539" s="733"/>
      <c r="L539" s="730"/>
      <c r="M539" s="731"/>
      <c r="N539" s="1195" t="s">
        <v>272</v>
      </c>
      <c r="O539" s="1195" t="s">
        <v>337</v>
      </c>
      <c r="P539" s="1311"/>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623</v>
      </c>
      <c r="K540" s="733"/>
      <c r="L540" s="730"/>
      <c r="M540" s="731"/>
      <c r="N540" s="1195" t="s">
        <v>274</v>
      </c>
      <c r="O540" s="1195" t="s">
        <v>2557</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624</v>
      </c>
      <c r="K541" s="733"/>
      <c r="L541" s="730"/>
      <c r="M541" s="731"/>
      <c r="N541" s="708" t="s">
        <v>1738</v>
      </c>
      <c r="O541" s="708" t="s">
        <v>925</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2214</v>
      </c>
      <c r="K542" s="733"/>
      <c r="L542" s="730"/>
      <c r="M542" s="731"/>
      <c r="N542" s="1195" t="s">
        <v>2473</v>
      </c>
      <c r="O542" s="1195" t="s">
        <v>1160</v>
      </c>
      <c r="P542" s="1311"/>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5" t="s">
        <v>511</v>
      </c>
      <c r="O543" s="1195" t="s">
        <v>1778</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5" t="s">
        <v>3502</v>
      </c>
      <c r="O544" s="1195" t="s">
        <v>2322</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1343</v>
      </c>
      <c r="K545" s="733"/>
      <c r="L545" s="730"/>
      <c r="M545" s="731"/>
      <c r="N545" s="1195" t="s">
        <v>731</v>
      </c>
      <c r="O545" s="1195"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1053</v>
      </c>
      <c r="K546" s="733"/>
      <c r="L546" s="730"/>
      <c r="M546" s="731"/>
      <c r="N546" s="1195" t="s">
        <v>553</v>
      </c>
      <c r="O546" s="1195" t="s">
        <v>780</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1055</v>
      </c>
      <c r="K547" s="733"/>
      <c r="L547" s="730"/>
      <c r="M547" s="731"/>
      <c r="N547" s="1195" t="s">
        <v>555</v>
      </c>
      <c r="O547" s="1195" t="s">
        <v>1414</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1056</v>
      </c>
      <c r="K548" s="733"/>
      <c r="L548" s="730"/>
      <c r="M548" s="731"/>
      <c r="N548" s="1195" t="s">
        <v>557</v>
      </c>
      <c r="O548" s="1195" t="s">
        <v>1551</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5" t="s">
        <v>559</v>
      </c>
      <c r="O549" s="1195" t="s">
        <v>925</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5" t="s">
        <v>561</v>
      </c>
      <c r="O550" s="1195" t="s">
        <v>1906</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5" t="s">
        <v>574</v>
      </c>
      <c r="O551" s="1195"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2775</v>
      </c>
      <c r="K552" s="733"/>
      <c r="L552" s="730"/>
      <c r="M552" s="731"/>
      <c r="N552" s="1195" t="s">
        <v>576</v>
      </c>
      <c r="O552" s="1195"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2231</v>
      </c>
      <c r="K553" s="733"/>
      <c r="L553" s="730"/>
      <c r="M553" s="731"/>
      <c r="N553" s="708" t="s">
        <v>738</v>
      </c>
      <c r="O553" s="708" t="s">
        <v>1282</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2233</v>
      </c>
      <c r="K554" s="733"/>
      <c r="L554" s="730"/>
      <c r="M554" s="731"/>
      <c r="N554" s="1195" t="s">
        <v>882</v>
      </c>
      <c r="O554" s="1195" t="s">
        <v>700</v>
      </c>
      <c r="P554" s="1311"/>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625</v>
      </c>
      <c r="K555" s="733"/>
      <c r="L555" s="730"/>
      <c r="M555" s="731"/>
      <c r="N555" s="1195" t="s">
        <v>1743</v>
      </c>
      <c r="O555" s="1195" t="s">
        <v>709</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2491</v>
      </c>
      <c r="K556" s="733"/>
      <c r="L556" s="730"/>
      <c r="M556" s="731"/>
      <c r="N556" s="1195" t="s">
        <v>2215</v>
      </c>
      <c r="O556" s="1195" t="s">
        <v>1160</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750</v>
      </c>
      <c r="K557" s="733"/>
      <c r="L557" s="730"/>
      <c r="M557" s="731"/>
      <c r="N557" s="1195" t="s">
        <v>1745</v>
      </c>
      <c r="O557" s="1195" t="s">
        <v>2143</v>
      </c>
      <c r="P557" s="1312"/>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752</v>
      </c>
      <c r="K558" s="733"/>
      <c r="L558" s="730"/>
      <c r="M558" s="731"/>
      <c r="N558" s="1195" t="s">
        <v>492</v>
      </c>
      <c r="O558" s="1195" t="s">
        <v>1405</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2431</v>
      </c>
      <c r="K559" s="733"/>
      <c r="L559" s="730"/>
      <c r="M559" s="731"/>
      <c r="N559" s="1195" t="s">
        <v>191</v>
      </c>
      <c r="O559" s="1195"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5" t="s">
        <v>1344</v>
      </c>
      <c r="O560" s="1195"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5" t="s">
        <v>1054</v>
      </c>
      <c r="O561" s="1195" t="s">
        <v>1548</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2394</v>
      </c>
      <c r="K562" s="733"/>
      <c r="L562" s="730"/>
      <c r="M562" s="731"/>
      <c r="N562" s="1195" t="s">
        <v>1123</v>
      </c>
      <c r="O562" s="1195"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2422</v>
      </c>
      <c r="K563" s="733"/>
      <c r="L563" s="730"/>
      <c r="M563" s="731"/>
      <c r="N563" s="1195" t="s">
        <v>141</v>
      </c>
      <c r="O563" s="1195" t="s">
        <v>2703</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5" t="s">
        <v>2765</v>
      </c>
      <c r="O564" s="1195" t="s">
        <v>1417</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5" t="s">
        <v>144</v>
      </c>
      <c r="O565" s="1195" t="s">
        <v>700</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2650</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2776</v>
      </c>
      <c r="O567" s="708" t="s">
        <v>1409</v>
      </c>
      <c r="P567" s="1311"/>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1690</v>
      </c>
      <c r="K568" s="733"/>
      <c r="L568" s="730"/>
      <c r="M568" s="731"/>
      <c r="N568" s="708" t="s">
        <v>2232</v>
      </c>
      <c r="O568" s="708" t="s">
        <v>2656</v>
      </c>
      <c r="P568" s="1311"/>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1692</v>
      </c>
      <c r="K569" s="733"/>
      <c r="L569" s="730"/>
      <c r="M569" s="731"/>
      <c r="N569" s="1195" t="s">
        <v>803</v>
      </c>
      <c r="O569" s="1195" t="s">
        <v>125</v>
      </c>
      <c r="P569" s="1311"/>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1694</v>
      </c>
      <c r="K570" s="733"/>
      <c r="L570" s="730"/>
      <c r="M570" s="731"/>
      <c r="N570" s="1195" t="s">
        <v>804</v>
      </c>
      <c r="O570" s="1195"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2774</v>
      </c>
      <c r="K571" s="733"/>
      <c r="L571" s="730"/>
      <c r="M571" s="731"/>
      <c r="N571" s="1195" t="s">
        <v>751</v>
      </c>
      <c r="O571" s="1195" t="s">
        <v>782</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2617</v>
      </c>
      <c r="K572" s="733"/>
      <c r="L572" s="730"/>
      <c r="M572" s="731"/>
      <c r="N572" s="1195" t="s">
        <v>753</v>
      </c>
      <c r="O572" s="1195" t="s">
        <v>1169</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1955</v>
      </c>
      <c r="K573" s="733"/>
      <c r="L573" s="730"/>
      <c r="M573" s="731"/>
      <c r="N573" s="1195" t="s">
        <v>2432</v>
      </c>
      <c r="O573" s="1195" t="s">
        <v>1282</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1957</v>
      </c>
      <c r="K574" s="733"/>
      <c r="L574" s="730"/>
      <c r="M574" s="731"/>
      <c r="N574" s="1195" t="s">
        <v>2432</v>
      </c>
      <c r="O574" s="1195" t="s">
        <v>1282</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1959</v>
      </c>
      <c r="K575" s="733"/>
      <c r="L575" s="730"/>
      <c r="M575" s="731"/>
      <c r="N575" s="1195" t="s">
        <v>47</v>
      </c>
      <c r="O575" s="1195" t="s">
        <v>1408</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1960</v>
      </c>
      <c r="K576" s="733"/>
      <c r="L576" s="730"/>
      <c r="M576" s="731"/>
      <c r="N576" s="1195" t="s">
        <v>2395</v>
      </c>
      <c r="O576" s="1195" t="s">
        <v>1402</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1962</v>
      </c>
      <c r="K577" s="733"/>
      <c r="L577" s="730"/>
      <c r="M577" s="731"/>
      <c r="N577" s="1195" t="s">
        <v>883</v>
      </c>
      <c r="O577" s="1195"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1964</v>
      </c>
      <c r="K578" s="733"/>
      <c r="L578" s="730"/>
      <c r="M578" s="731"/>
      <c r="N578" s="1195" t="s">
        <v>1091</v>
      </c>
      <c r="O578" s="1195" t="s">
        <v>1157</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1966</v>
      </c>
      <c r="K579" s="733"/>
      <c r="L579" s="730"/>
      <c r="M579" s="731"/>
      <c r="N579" s="1195" t="s">
        <v>413</v>
      </c>
      <c r="O579" s="1195" t="s">
        <v>2770</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1968</v>
      </c>
      <c r="K580" s="733"/>
      <c r="L580" s="730"/>
      <c r="M580" s="731"/>
      <c r="N580" s="1195" t="s">
        <v>415</v>
      </c>
      <c r="O580" s="1195" t="s">
        <v>2307</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1969</v>
      </c>
      <c r="K581" s="733"/>
      <c r="L581" s="730"/>
      <c r="M581" s="731"/>
      <c r="N581" s="1195" t="s">
        <v>417</v>
      </c>
      <c r="O581" s="1195" t="s">
        <v>2703</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1935</v>
      </c>
      <c r="K582" s="733"/>
      <c r="L582" s="730"/>
      <c r="M582" s="731"/>
      <c r="N582" s="1195" t="s">
        <v>2770</v>
      </c>
      <c r="O582" s="1195" t="s">
        <v>1904</v>
      </c>
      <c r="P582" s="1312"/>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1753</v>
      </c>
      <c r="K583" s="733"/>
      <c r="L583" s="730"/>
      <c r="M583" s="731"/>
      <c r="N583" s="1195" t="s">
        <v>1691</v>
      </c>
      <c r="O583" s="1195" t="s">
        <v>2654</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1754</v>
      </c>
      <c r="K584" s="733"/>
      <c r="L584" s="730"/>
      <c r="M584" s="731"/>
      <c r="N584" s="1195" t="s">
        <v>1693</v>
      </c>
      <c r="O584" s="1195"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1756</v>
      </c>
      <c r="K585" s="733"/>
      <c r="L585" s="730"/>
      <c r="M585" s="731"/>
      <c r="N585" s="1195" t="s">
        <v>1532</v>
      </c>
      <c r="O585" s="1195"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2420</v>
      </c>
      <c r="K586" s="733"/>
      <c r="L586" s="730"/>
      <c r="M586" s="731"/>
      <c r="N586" s="708" t="s">
        <v>2616</v>
      </c>
      <c r="O586" s="708" t="s">
        <v>2656</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591</v>
      </c>
      <c r="K587" s="733"/>
      <c r="L587" s="730"/>
      <c r="M587" s="731"/>
      <c r="N587" s="1195" t="s">
        <v>1124</v>
      </c>
      <c r="O587" s="1195" t="s">
        <v>668</v>
      </c>
      <c r="P587" s="1311"/>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593</v>
      </c>
      <c r="K588" s="733"/>
      <c r="L588" s="730"/>
      <c r="M588" s="731"/>
      <c r="N588" s="1195" t="s">
        <v>1125</v>
      </c>
      <c r="O588" s="1195" t="s">
        <v>668</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595</v>
      </c>
      <c r="K589" s="733"/>
      <c r="L589" s="730"/>
      <c r="M589" s="731"/>
      <c r="N589" s="1195" t="s">
        <v>1126</v>
      </c>
      <c r="O589" s="1195" t="s">
        <v>668</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2190</v>
      </c>
      <c r="K590" s="733"/>
      <c r="L590" s="730"/>
      <c r="M590" s="731"/>
      <c r="N590" s="1195" t="s">
        <v>1945</v>
      </c>
      <c r="O590" s="1195" t="s">
        <v>2771</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1542</v>
      </c>
      <c r="K591" s="733"/>
      <c r="L591" s="730"/>
      <c r="M591" s="731"/>
      <c r="N591" s="1195" t="s">
        <v>1956</v>
      </c>
      <c r="O591" s="1195"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1544</v>
      </c>
      <c r="K592" s="733"/>
      <c r="L592" s="730"/>
      <c r="M592" s="731"/>
      <c r="N592" s="1195" t="s">
        <v>1958</v>
      </c>
      <c r="O592" s="1195" t="s">
        <v>2389</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1545</v>
      </c>
      <c r="K593" s="733"/>
      <c r="L593" s="730"/>
      <c r="M593" s="731"/>
      <c r="N593" s="1195" t="s">
        <v>1961</v>
      </c>
      <c r="O593" s="1195" t="s">
        <v>2389</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1688</v>
      </c>
      <c r="K594" s="733"/>
      <c r="L594" s="730"/>
      <c r="M594" s="731"/>
      <c r="N594" s="1195" t="s">
        <v>1963</v>
      </c>
      <c r="O594" s="1195"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2256</v>
      </c>
      <c r="K595" s="733"/>
      <c r="L595" s="730"/>
      <c r="M595" s="731"/>
      <c r="N595" s="1195" t="s">
        <v>1965</v>
      </c>
      <c r="O595" s="1195" t="s">
        <v>1778</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2258</v>
      </c>
      <c r="K596" s="733"/>
      <c r="L596" s="730"/>
      <c r="M596" s="731"/>
      <c r="N596" s="1195" t="s">
        <v>1967</v>
      </c>
      <c r="O596" s="1195"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2260</v>
      </c>
      <c r="K597" s="733"/>
      <c r="L597" s="730"/>
      <c r="M597" s="731"/>
      <c r="N597" s="708" t="s">
        <v>2771</v>
      </c>
      <c r="O597" s="708" t="s">
        <v>109</v>
      </c>
      <c r="P597" s="731"/>
      <c r="R597" s="708" t="s">
        <v>2742</v>
      </c>
      <c r="S597" s="708" t="s">
        <v>668</v>
      </c>
      <c r="T597" s="1311" t="s">
        <v>2278</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1534</v>
      </c>
      <c r="K598" s="733"/>
      <c r="L598" s="730"/>
      <c r="M598" s="731"/>
      <c r="N598" s="1195" t="s">
        <v>2079</v>
      </c>
      <c r="O598" s="1195" t="s">
        <v>111</v>
      </c>
      <c r="P598" s="1311"/>
      <c r="R598" s="708" t="s">
        <v>2743</v>
      </c>
      <c r="S598" s="708" t="s">
        <v>337</v>
      </c>
      <c r="T598" s="1311" t="s">
        <v>2278</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1536</v>
      </c>
      <c r="K599" s="733"/>
      <c r="L599" s="730"/>
      <c r="M599" s="731"/>
      <c r="N599" s="1195" t="s">
        <v>1936</v>
      </c>
      <c r="O599" s="1195" t="s">
        <v>1158</v>
      </c>
      <c r="P599" s="731"/>
      <c r="R599" s="708" t="s">
        <v>2744</v>
      </c>
      <c r="S599" s="708" t="s">
        <v>2650</v>
      </c>
      <c r="T599" s="1311" t="s">
        <v>2278</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1662</v>
      </c>
      <c r="K600" s="733"/>
      <c r="L600" s="730"/>
      <c r="M600" s="731"/>
      <c r="N600" s="1195" t="s">
        <v>2772</v>
      </c>
      <c r="O600" s="1195" t="s">
        <v>1405</v>
      </c>
      <c r="P600" s="731"/>
      <c r="R600" s="708" t="s">
        <v>2745</v>
      </c>
      <c r="S600" s="708"/>
      <c r="T600" s="1311" t="s">
        <v>2278</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1664</v>
      </c>
      <c r="K601" s="733"/>
      <c r="L601" s="730"/>
      <c r="M601" s="731"/>
      <c r="N601" s="1195" t="s">
        <v>1755</v>
      </c>
      <c r="O601" s="1195" t="s">
        <v>2307</v>
      </c>
      <c r="P601" s="731"/>
      <c r="R601" s="708" t="s">
        <v>2746</v>
      </c>
      <c r="S601" s="708" t="s">
        <v>2142</v>
      </c>
      <c r="T601" s="1311" t="s">
        <v>2278</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2188</v>
      </c>
      <c r="K602" s="733"/>
      <c r="L602" s="730"/>
      <c r="M602" s="731"/>
      <c r="N602" s="1195" t="s">
        <v>884</v>
      </c>
      <c r="O602" s="1195" t="s">
        <v>2314</v>
      </c>
      <c r="P602" s="731"/>
      <c r="R602" s="708" t="s">
        <v>2747</v>
      </c>
      <c r="S602" s="708" t="s">
        <v>2650</v>
      </c>
      <c r="T602" s="1311" t="s">
        <v>2278</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2001</v>
      </c>
      <c r="K603" s="733"/>
      <c r="L603" s="730"/>
      <c r="M603" s="731"/>
      <c r="N603" s="1195" t="s">
        <v>2419</v>
      </c>
      <c r="O603" s="1195" t="s">
        <v>1780</v>
      </c>
      <c r="P603" s="731"/>
      <c r="R603" s="708" t="s">
        <v>2748</v>
      </c>
      <c r="S603" s="708" t="s">
        <v>1412</v>
      </c>
      <c r="T603" s="1311" t="s">
        <v>2278</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5" t="s">
        <v>2421</v>
      </c>
      <c r="O604" s="1195" t="s">
        <v>2311</v>
      </c>
      <c r="P604" s="731"/>
      <c r="R604" s="708" t="s">
        <v>2749</v>
      </c>
      <c r="S604" s="708" t="s">
        <v>2144</v>
      </c>
      <c r="T604" s="1311" t="s">
        <v>2278</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1802</v>
      </c>
      <c r="K605" s="733"/>
      <c r="L605" s="730"/>
      <c r="M605" s="731"/>
      <c r="N605" s="1195" t="s">
        <v>592</v>
      </c>
      <c r="O605" s="1195" t="s">
        <v>2770</v>
      </c>
      <c r="P605" s="731"/>
      <c r="R605" s="708" t="s">
        <v>2750</v>
      </c>
      <c r="S605" s="708" t="s">
        <v>711</v>
      </c>
      <c r="T605" s="1311" t="s">
        <v>2278</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5" t="s">
        <v>594</v>
      </c>
      <c r="O606" s="1195" t="s">
        <v>1282</v>
      </c>
      <c r="P606" s="731"/>
      <c r="R606" s="708" t="s">
        <v>2751</v>
      </c>
      <c r="S606" s="708" t="s">
        <v>668</v>
      </c>
      <c r="T606" s="1311" t="s">
        <v>2278</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5" t="s">
        <v>1127</v>
      </c>
      <c r="O607" s="1195" t="s">
        <v>668</v>
      </c>
      <c r="P607" s="731"/>
      <c r="R607" s="708" t="s">
        <v>2752</v>
      </c>
      <c r="S607" s="708" t="s">
        <v>2311</v>
      </c>
      <c r="T607" s="1311" t="s">
        <v>2278</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1254</v>
      </c>
      <c r="K608" s="733"/>
      <c r="L608" s="730"/>
      <c r="M608" s="731"/>
      <c r="N608" s="1195" t="s">
        <v>596</v>
      </c>
      <c r="O608" s="1195" t="s">
        <v>1777</v>
      </c>
      <c r="P608" s="731"/>
      <c r="R608" s="708" t="s">
        <v>2753</v>
      </c>
      <c r="S608" s="708" t="s">
        <v>2703</v>
      </c>
      <c r="T608" s="1311" t="s">
        <v>2278</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792</v>
      </c>
      <c r="K609" s="733"/>
      <c r="L609" s="730"/>
      <c r="M609" s="731"/>
      <c r="N609" s="1195" t="s">
        <v>1248</v>
      </c>
      <c r="O609" s="1195" t="s">
        <v>1158</v>
      </c>
      <c r="P609" s="731"/>
      <c r="R609" s="708" t="s">
        <v>2391</v>
      </c>
      <c r="S609" s="708" t="s">
        <v>2700</v>
      </c>
      <c r="T609" s="1311" t="s">
        <v>2278</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794</v>
      </c>
      <c r="K610" s="733"/>
      <c r="L610" s="730"/>
      <c r="M610" s="731"/>
      <c r="N610" s="1195" t="s">
        <v>1543</v>
      </c>
      <c r="O610" s="1195" t="s">
        <v>1778</v>
      </c>
      <c r="P610" s="731"/>
      <c r="R610" s="708" t="s">
        <v>2754</v>
      </c>
      <c r="S610" s="708" t="s">
        <v>2311</v>
      </c>
      <c r="T610" s="1311" t="s">
        <v>2278</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1088</v>
      </c>
      <c r="K611" s="733"/>
      <c r="L611" s="730"/>
      <c r="M611" s="731"/>
      <c r="N611" s="1195" t="s">
        <v>3503</v>
      </c>
      <c r="O611" s="1195" t="s">
        <v>1404</v>
      </c>
      <c r="P611" s="731"/>
      <c r="R611" s="708" t="s">
        <v>2755</v>
      </c>
      <c r="S611" s="708" t="s">
        <v>2653</v>
      </c>
      <c r="T611" s="1311" t="s">
        <v>2278</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1090</v>
      </c>
      <c r="K612" s="733"/>
      <c r="L612" s="730"/>
      <c r="M612" s="731"/>
      <c r="N612" s="1195" t="s">
        <v>1546</v>
      </c>
      <c r="O612" s="1195" t="s">
        <v>702</v>
      </c>
      <c r="P612" s="1312"/>
      <c r="R612" s="708" t="s">
        <v>2756</v>
      </c>
      <c r="S612" s="708" t="s">
        <v>2142</v>
      </c>
      <c r="T612" s="1311" t="s">
        <v>2278</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1940</v>
      </c>
      <c r="K613" s="733"/>
      <c r="L613" s="730"/>
      <c r="M613" s="731"/>
      <c r="N613" s="708" t="s">
        <v>3504</v>
      </c>
      <c r="O613" s="708" t="s">
        <v>124</v>
      </c>
      <c r="P613" s="731"/>
      <c r="R613" s="708" t="s">
        <v>1109</v>
      </c>
      <c r="S613" s="708" t="s">
        <v>1551</v>
      </c>
      <c r="T613" s="1311" t="s">
        <v>2278</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1942</v>
      </c>
      <c r="K614" s="733"/>
      <c r="L614" s="730"/>
      <c r="M614" s="731"/>
      <c r="N614" s="1195" t="s">
        <v>1689</v>
      </c>
      <c r="O614" s="1195" t="s">
        <v>1900</v>
      </c>
      <c r="P614" s="1311"/>
      <c r="R614" s="708" t="s">
        <v>959</v>
      </c>
      <c r="S614" s="708" t="s">
        <v>1167</v>
      </c>
      <c r="T614" s="1311" t="s">
        <v>2278</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1943</v>
      </c>
      <c r="K615" s="733"/>
      <c r="L615" s="730"/>
      <c r="M615" s="731"/>
      <c r="N615" s="1195" t="s">
        <v>2257</v>
      </c>
      <c r="O615" s="1195" t="s">
        <v>1743</v>
      </c>
      <c r="P615" s="731"/>
      <c r="R615" s="708" t="s">
        <v>1110</v>
      </c>
      <c r="S615" s="708" t="s">
        <v>668</v>
      </c>
      <c r="T615" s="1311" t="s">
        <v>2278</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1202</v>
      </c>
      <c r="K616" s="733"/>
      <c r="L616" s="730"/>
      <c r="M616" s="731"/>
      <c r="N616" s="708" t="s">
        <v>2259</v>
      </c>
      <c r="O616" s="708" t="s">
        <v>1410</v>
      </c>
      <c r="P616" s="731"/>
      <c r="R616" s="708" t="s">
        <v>1111</v>
      </c>
      <c r="S616" s="708" t="s">
        <v>2044</v>
      </c>
      <c r="T616" s="1311" t="s">
        <v>2278</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5" t="s">
        <v>1533</v>
      </c>
      <c r="O617" s="1195" t="s">
        <v>341</v>
      </c>
      <c r="P617" s="1311"/>
      <c r="R617" s="708" t="s">
        <v>1112</v>
      </c>
      <c r="S617" s="708" t="s">
        <v>2140</v>
      </c>
      <c r="T617" s="1311" t="s">
        <v>2278</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5" t="s">
        <v>3505</v>
      </c>
      <c r="O618" s="1195" t="s">
        <v>348</v>
      </c>
      <c r="P618" s="731"/>
      <c r="R618" s="708" t="s">
        <v>1113</v>
      </c>
      <c r="S618" s="708" t="s">
        <v>1160</v>
      </c>
      <c r="T618" s="1311" t="s">
        <v>2278</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5" t="s">
        <v>1535</v>
      </c>
      <c r="O619" s="1195" t="s">
        <v>338</v>
      </c>
      <c r="P619" s="731"/>
      <c r="Q619" s="1313"/>
      <c r="R619" s="708" t="s">
        <v>1114</v>
      </c>
      <c r="S619" s="708" t="s">
        <v>1625</v>
      </c>
      <c r="T619" s="1311" t="s">
        <v>2278</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1128</v>
      </c>
      <c r="O620" s="708" t="s">
        <v>1780</v>
      </c>
      <c r="P620" s="731"/>
      <c r="R620" s="708" t="s">
        <v>1115</v>
      </c>
      <c r="S620" s="708" t="s">
        <v>2650</v>
      </c>
      <c r="T620" s="1311" t="s">
        <v>2278</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1537</v>
      </c>
      <c r="O621" s="708" t="s">
        <v>668</v>
      </c>
      <c r="P621" s="1311"/>
      <c r="R621" s="708" t="s">
        <v>1116</v>
      </c>
      <c r="S621" s="708" t="s">
        <v>166</v>
      </c>
      <c r="T621" s="1311" t="s">
        <v>2278</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2280</v>
      </c>
      <c r="K622" s="733"/>
      <c r="L622" s="730"/>
      <c r="M622" s="731"/>
      <c r="N622" s="1195" t="s">
        <v>1663</v>
      </c>
      <c r="O622" s="1195" t="s">
        <v>333</v>
      </c>
      <c r="P622" s="1311"/>
      <c r="R622" s="708" t="s">
        <v>1117</v>
      </c>
      <c r="S622" s="708" t="s">
        <v>1419</v>
      </c>
      <c r="T622" s="1311" t="s">
        <v>2278</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2282</v>
      </c>
      <c r="K623" s="733"/>
      <c r="L623" s="730"/>
      <c r="M623" s="731"/>
      <c r="N623" s="1195" t="s">
        <v>2189</v>
      </c>
      <c r="O623" s="1195" t="s">
        <v>1009</v>
      </c>
      <c r="P623" s="731"/>
      <c r="R623" s="708" t="s">
        <v>1118</v>
      </c>
      <c r="S623" s="708" t="s">
        <v>1625</v>
      </c>
      <c r="T623" s="1311" t="s">
        <v>2278</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2284</v>
      </c>
      <c r="K624" s="733"/>
      <c r="L624" s="730"/>
      <c r="M624" s="731"/>
      <c r="N624" s="1195" t="s">
        <v>2002</v>
      </c>
      <c r="O624" s="1195" t="s">
        <v>2084</v>
      </c>
      <c r="P624" s="731"/>
      <c r="R624" s="708" t="s">
        <v>1119</v>
      </c>
      <c r="S624" s="708" t="s">
        <v>1174</v>
      </c>
      <c r="T624" s="1311" t="s">
        <v>2278</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2286</v>
      </c>
      <c r="K625" s="733"/>
      <c r="L625" s="730"/>
      <c r="M625" s="731"/>
      <c r="N625" s="1195" t="s">
        <v>293</v>
      </c>
      <c r="O625" s="1195" t="s">
        <v>2084</v>
      </c>
      <c r="P625" s="731"/>
      <c r="R625" s="708" t="s">
        <v>1120</v>
      </c>
      <c r="S625" s="708" t="s">
        <v>2140</v>
      </c>
      <c r="T625" s="1311" t="s">
        <v>2278</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2288</v>
      </c>
      <c r="K626" s="733"/>
      <c r="L626" s="730"/>
      <c r="M626" s="731"/>
      <c r="N626" s="1195" t="s">
        <v>1803</v>
      </c>
      <c r="O626" s="1195" t="s">
        <v>2316</v>
      </c>
      <c r="P626" s="731"/>
      <c r="R626" s="1195" t="s">
        <v>881</v>
      </c>
      <c r="S626" s="1195" t="s">
        <v>927</v>
      </c>
      <c r="T626" s="1311" t="s">
        <v>2278</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5" t="s">
        <v>276</v>
      </c>
      <c r="O627" s="1195" t="s">
        <v>712</v>
      </c>
      <c r="P627" s="731"/>
      <c r="R627" s="708" t="s">
        <v>1121</v>
      </c>
      <c r="S627" s="708" t="s">
        <v>2653</v>
      </c>
      <c r="T627" s="1311" t="s">
        <v>2278</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2152</v>
      </c>
      <c r="K628" s="733"/>
      <c r="L628" s="730"/>
      <c r="M628" s="731"/>
      <c r="N628" s="1195" t="s">
        <v>1253</v>
      </c>
      <c r="O628" s="1195" t="s">
        <v>166</v>
      </c>
      <c r="P628" s="731"/>
      <c r="R628" s="708" t="s">
        <v>1715</v>
      </c>
      <c r="S628" s="708" t="s">
        <v>2700</v>
      </c>
      <c r="T628" s="1311" t="s">
        <v>2278</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1619</v>
      </c>
      <c r="K629" s="733"/>
      <c r="L629" s="730"/>
      <c r="M629" s="731"/>
      <c r="N629" s="1195" t="s">
        <v>1255</v>
      </c>
      <c r="O629" s="1195" t="s">
        <v>166</v>
      </c>
      <c r="P629" s="731"/>
      <c r="R629" s="708" t="s">
        <v>1122</v>
      </c>
      <c r="S629" s="708"/>
      <c r="T629" s="1311" t="s">
        <v>2278</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1621</v>
      </c>
      <c r="K630" s="733"/>
      <c r="L630" s="730"/>
      <c r="M630" s="731"/>
      <c r="N630" s="1195" t="s">
        <v>793</v>
      </c>
      <c r="O630" s="1195" t="s">
        <v>1412</v>
      </c>
      <c r="P630" s="731"/>
      <c r="R630" s="708" t="s">
        <v>191</v>
      </c>
      <c r="S630" s="708" t="s">
        <v>166</v>
      </c>
      <c r="T630" s="1311" t="s">
        <v>2278</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1623</v>
      </c>
      <c r="K631" s="733"/>
      <c r="L631" s="730"/>
      <c r="M631" s="731"/>
      <c r="N631" s="1195" t="s">
        <v>258</v>
      </c>
      <c r="O631" s="1195" t="s">
        <v>2770</v>
      </c>
      <c r="P631" s="731"/>
      <c r="R631" s="708" t="s">
        <v>1123</v>
      </c>
      <c r="S631" s="708" t="s">
        <v>182</v>
      </c>
      <c r="T631" s="1311" t="s">
        <v>2278</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5" t="s">
        <v>1089</v>
      </c>
      <c r="O632" s="1195" t="s">
        <v>2559</v>
      </c>
      <c r="P632" s="731"/>
      <c r="R632" s="708" t="s">
        <v>2432</v>
      </c>
      <c r="S632" s="708" t="s">
        <v>1282</v>
      </c>
      <c r="T632" s="1311" t="s">
        <v>2278</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5" t="s">
        <v>1872</v>
      </c>
      <c r="O633" s="1195" t="s">
        <v>2653</v>
      </c>
      <c r="P633" s="731"/>
      <c r="R633" s="708" t="s">
        <v>1124</v>
      </c>
      <c r="S633" s="708" t="s">
        <v>668</v>
      </c>
      <c r="T633" s="1311" t="s">
        <v>2278</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5" t="s">
        <v>1941</v>
      </c>
      <c r="O634" s="1195" t="s">
        <v>113</v>
      </c>
      <c r="P634" s="731"/>
      <c r="R634" s="708" t="s">
        <v>1125</v>
      </c>
      <c r="S634" s="708" t="s">
        <v>668</v>
      </c>
      <c r="T634" s="1311" t="s">
        <v>2278</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5" t="s">
        <v>1163</v>
      </c>
      <c r="O635" s="1195" t="s">
        <v>780</v>
      </c>
      <c r="P635" s="731"/>
      <c r="R635" s="708" t="s">
        <v>1126</v>
      </c>
      <c r="S635" s="708" t="s">
        <v>668</v>
      </c>
      <c r="T635" s="1311" t="s">
        <v>2278</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5" t="s">
        <v>1129</v>
      </c>
      <c r="O636" s="1195" t="s">
        <v>1011</v>
      </c>
      <c r="P636" s="731"/>
      <c r="R636" s="708" t="s">
        <v>1127</v>
      </c>
      <c r="S636" s="708" t="s">
        <v>668</v>
      </c>
      <c r="T636" s="1311" t="s">
        <v>2278</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827</v>
      </c>
      <c r="K637" s="733"/>
      <c r="L637" s="730"/>
      <c r="M637" s="731"/>
      <c r="N637" s="1195" t="s">
        <v>1167</v>
      </c>
      <c r="O637" s="1195" t="s">
        <v>1409</v>
      </c>
      <c r="P637" s="731"/>
      <c r="R637" s="708" t="s">
        <v>1128</v>
      </c>
      <c r="S637" s="708" t="s">
        <v>1780</v>
      </c>
      <c r="T637" s="1311" t="s">
        <v>2278</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776</v>
      </c>
      <c r="K638" s="733"/>
      <c r="L638" s="730"/>
      <c r="M638" s="731"/>
      <c r="N638" s="1195" t="s">
        <v>421</v>
      </c>
      <c r="O638" s="1195" t="s">
        <v>712</v>
      </c>
      <c r="P638" s="731"/>
      <c r="R638" s="708" t="s">
        <v>1129</v>
      </c>
      <c r="S638" s="708" t="s">
        <v>1011</v>
      </c>
      <c r="T638" s="1311" t="s">
        <v>2278</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778</v>
      </c>
      <c r="K639" s="733"/>
      <c r="L639" s="730"/>
      <c r="M639" s="731"/>
      <c r="N639" s="708" t="s">
        <v>1130</v>
      </c>
      <c r="O639" s="708" t="s">
        <v>125</v>
      </c>
      <c r="P639" s="731"/>
      <c r="R639" s="708" t="s">
        <v>1130</v>
      </c>
      <c r="S639" s="708" t="s">
        <v>125</v>
      </c>
      <c r="T639" s="1311" t="s">
        <v>2278</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1249</v>
      </c>
      <c r="K640" s="733"/>
      <c r="L640" s="730"/>
      <c r="M640" s="731"/>
      <c r="N640" s="1195" t="s">
        <v>5</v>
      </c>
      <c r="O640" s="1195" t="s">
        <v>1402</v>
      </c>
      <c r="P640" s="1311"/>
      <c r="R640" s="708" t="s">
        <v>1131</v>
      </c>
      <c r="S640" s="708" t="s">
        <v>668</v>
      </c>
      <c r="T640" s="1311" t="s">
        <v>2278</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1104</v>
      </c>
      <c r="K641" s="733"/>
      <c r="L641" s="730"/>
      <c r="M641" s="731"/>
      <c r="N641" s="1195" t="s">
        <v>7</v>
      </c>
      <c r="O641" s="1195" t="s">
        <v>2555</v>
      </c>
      <c r="P641" s="731"/>
      <c r="R641" s="708" t="s">
        <v>1132</v>
      </c>
      <c r="S641" s="708" t="s">
        <v>334</v>
      </c>
      <c r="T641" s="1311" t="s">
        <v>2278</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1105</v>
      </c>
      <c r="K642" s="733"/>
      <c r="L642" s="730"/>
      <c r="M642" s="731"/>
      <c r="N642" s="1195" t="s">
        <v>9</v>
      </c>
      <c r="O642" s="1195" t="s">
        <v>2050</v>
      </c>
      <c r="P642" s="731"/>
      <c r="R642" s="708" t="s">
        <v>1133</v>
      </c>
      <c r="S642" s="708" t="s">
        <v>338</v>
      </c>
      <c r="T642" s="1311" t="s">
        <v>2278</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1107</v>
      </c>
      <c r="K643" s="733"/>
      <c r="L643" s="730"/>
      <c r="M643" s="731"/>
      <c r="N643" s="1195" t="s">
        <v>1131</v>
      </c>
      <c r="O643" s="1195" t="s">
        <v>668</v>
      </c>
      <c r="P643" s="731"/>
      <c r="R643" s="708" t="s">
        <v>885</v>
      </c>
      <c r="S643" s="708" t="s">
        <v>1398</v>
      </c>
      <c r="T643" s="1311" t="s">
        <v>2278</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2412</v>
      </c>
      <c r="K644" s="733"/>
      <c r="L644" s="730"/>
      <c r="M644" s="731"/>
      <c r="N644" s="1195" t="s">
        <v>1132</v>
      </c>
      <c r="O644" s="1195" t="s">
        <v>334</v>
      </c>
      <c r="P644" s="731"/>
      <c r="R644" s="708" t="s">
        <v>1134</v>
      </c>
      <c r="S644" s="708" t="s">
        <v>711</v>
      </c>
      <c r="T644" s="1311" t="s">
        <v>2278</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2414</v>
      </c>
      <c r="K645" s="733"/>
      <c r="L645" s="730"/>
      <c r="M645" s="731"/>
      <c r="N645" s="1195" t="s">
        <v>2279</v>
      </c>
      <c r="O645" s="1195" t="s">
        <v>1412</v>
      </c>
      <c r="P645" s="731"/>
      <c r="R645" s="708" t="s">
        <v>1135</v>
      </c>
      <c r="S645" s="708" t="s">
        <v>1625</v>
      </c>
      <c r="T645" s="1311" t="s">
        <v>2278</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1892</v>
      </c>
      <c r="K646" s="733"/>
      <c r="L646" s="730"/>
      <c r="M646" s="731"/>
      <c r="N646" s="1195" t="s">
        <v>2281</v>
      </c>
      <c r="O646" s="1195" t="s">
        <v>2322</v>
      </c>
      <c r="P646" s="731"/>
      <c r="R646" s="708" t="s">
        <v>1136</v>
      </c>
      <c r="S646" s="708" t="s">
        <v>668</v>
      </c>
      <c r="T646" s="1311" t="s">
        <v>2278</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2690</v>
      </c>
      <c r="K647" s="733"/>
      <c r="L647" s="730"/>
      <c r="M647" s="731"/>
      <c r="N647" s="1195" t="s">
        <v>2283</v>
      </c>
      <c r="O647" s="1195" t="s">
        <v>182</v>
      </c>
      <c r="P647" s="731"/>
      <c r="R647" s="708" t="s">
        <v>1137</v>
      </c>
      <c r="S647" s="708" t="s">
        <v>703</v>
      </c>
      <c r="T647" s="1311" t="s">
        <v>2278</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2301</v>
      </c>
      <c r="K648" s="733"/>
      <c r="L648" s="730"/>
      <c r="M648" s="731"/>
      <c r="N648" s="1195" t="s">
        <v>2285</v>
      </c>
      <c r="O648" s="1195" t="s">
        <v>1548</v>
      </c>
      <c r="P648" s="731"/>
      <c r="R648" s="708" t="s">
        <v>1138</v>
      </c>
      <c r="S648" s="708" t="s">
        <v>166</v>
      </c>
      <c r="T648" s="1311" t="s">
        <v>2278</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1720</v>
      </c>
      <c r="K649" s="733"/>
      <c r="L649" s="730"/>
      <c r="M649" s="731"/>
      <c r="N649" s="708" t="s">
        <v>2287</v>
      </c>
      <c r="O649" s="708" t="s">
        <v>712</v>
      </c>
      <c r="P649" s="1312"/>
      <c r="R649" s="708" t="s">
        <v>1139</v>
      </c>
      <c r="S649" s="708" t="s">
        <v>2044</v>
      </c>
      <c r="T649" s="1311" t="s">
        <v>2278</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1721</v>
      </c>
      <c r="K650" s="733"/>
      <c r="L650" s="730"/>
      <c r="M650" s="731"/>
      <c r="N650" s="1195" t="s">
        <v>92</v>
      </c>
      <c r="O650" s="1195" t="s">
        <v>124</v>
      </c>
      <c r="P650" s="1311"/>
      <c r="R650" s="708" t="s">
        <v>1140</v>
      </c>
      <c r="S650" s="708" t="s">
        <v>2140</v>
      </c>
      <c r="T650" s="1311" t="s">
        <v>2278</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1723</v>
      </c>
      <c r="K651" s="733"/>
      <c r="L651" s="730"/>
      <c r="M651" s="731"/>
      <c r="N651" s="1195" t="s">
        <v>1618</v>
      </c>
      <c r="O651" s="1195" t="s">
        <v>2324</v>
      </c>
      <c r="P651" s="731"/>
      <c r="R651" s="708" t="s">
        <v>1141</v>
      </c>
      <c r="S651" s="708" t="s">
        <v>668</v>
      </c>
      <c r="T651" s="1311" t="s">
        <v>2278</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1724</v>
      </c>
      <c r="K652" s="733"/>
      <c r="L652" s="730"/>
      <c r="M652" s="731"/>
      <c r="N652" s="708" t="s">
        <v>1620</v>
      </c>
      <c r="O652" s="708" t="s">
        <v>207</v>
      </c>
      <c r="P652" s="731"/>
      <c r="R652" s="708" t="s">
        <v>1142</v>
      </c>
      <c r="S652" s="708" t="s">
        <v>1780</v>
      </c>
      <c r="T652" s="1311" t="s">
        <v>2278</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1726</v>
      </c>
      <c r="K653" s="733"/>
      <c r="L653" s="730"/>
      <c r="M653" s="731"/>
      <c r="N653" s="1195" t="s">
        <v>1622</v>
      </c>
      <c r="O653" s="1195" t="s">
        <v>1551</v>
      </c>
      <c r="P653" s="1311"/>
      <c r="R653" s="708" t="s">
        <v>1143</v>
      </c>
      <c r="S653" s="708" t="s">
        <v>2653</v>
      </c>
      <c r="T653" s="1311" t="s">
        <v>2278</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1727</v>
      </c>
      <c r="K654" s="733"/>
      <c r="L654" s="730"/>
      <c r="M654" s="731"/>
      <c r="N654" s="1195" t="s">
        <v>1624</v>
      </c>
      <c r="O654" s="1195" t="s">
        <v>2314</v>
      </c>
      <c r="P654" s="731"/>
      <c r="R654" s="708" t="s">
        <v>1144</v>
      </c>
      <c r="S654" s="708" t="s">
        <v>166</v>
      </c>
      <c r="T654" s="1311" t="s">
        <v>2278</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1729</v>
      </c>
      <c r="K655" s="733"/>
      <c r="L655" s="730"/>
      <c r="M655" s="731"/>
      <c r="N655" s="1195" t="s">
        <v>66</v>
      </c>
      <c r="O655" s="1195" t="s">
        <v>1410</v>
      </c>
      <c r="P655" s="731"/>
      <c r="R655" s="708" t="s">
        <v>1145</v>
      </c>
      <c r="S655" s="708" t="s">
        <v>166</v>
      </c>
      <c r="T655" s="1311" t="s">
        <v>2278</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2579</v>
      </c>
      <c r="K656" s="733"/>
      <c r="L656" s="730"/>
      <c r="M656" s="731"/>
      <c r="N656" s="1195" t="s">
        <v>68</v>
      </c>
      <c r="O656" s="1195"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5" t="s">
        <v>70</v>
      </c>
      <c r="O657" s="1195" t="s">
        <v>931</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1047</v>
      </c>
      <c r="K658" s="733"/>
      <c r="L658" s="730"/>
      <c r="M658" s="731"/>
      <c r="N658" s="1195" t="s">
        <v>72</v>
      </c>
      <c r="O658" s="1195" t="s">
        <v>1625</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1048</v>
      </c>
      <c r="K659" s="733"/>
      <c r="L659" s="730"/>
      <c r="M659" s="731"/>
      <c r="N659" s="1195" t="s">
        <v>828</v>
      </c>
      <c r="O659" s="1195" t="s">
        <v>2650</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1050</v>
      </c>
      <c r="K660" s="733"/>
      <c r="L660" s="730"/>
      <c r="M660" s="731"/>
      <c r="N660" s="708" t="s">
        <v>777</v>
      </c>
      <c r="O660" s="708" t="s">
        <v>2656</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2535</v>
      </c>
      <c r="K661" s="733"/>
      <c r="L661" s="730"/>
      <c r="M661" s="731"/>
      <c r="N661" s="1195" t="s">
        <v>996</v>
      </c>
      <c r="O661" s="1195" t="s">
        <v>2704</v>
      </c>
      <c r="P661" s="1311"/>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2697</v>
      </c>
      <c r="K662" s="733"/>
      <c r="L662" s="730"/>
      <c r="M662" s="731"/>
      <c r="N662" s="1195" t="s">
        <v>1133</v>
      </c>
      <c r="O662" s="1195"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2136</v>
      </c>
      <c r="K663" s="733"/>
      <c r="L663" s="730"/>
      <c r="M663" s="731"/>
      <c r="N663" s="1195" t="s">
        <v>1250</v>
      </c>
      <c r="O663" s="1195" t="s">
        <v>2084</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999</v>
      </c>
      <c r="K664" s="733"/>
      <c r="L664" s="730"/>
      <c r="M664" s="731"/>
      <c r="N664" s="1195" t="s">
        <v>3506</v>
      </c>
      <c r="O664" s="1195" t="s">
        <v>1902</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821</v>
      </c>
      <c r="K665" s="733"/>
      <c r="L665" s="730"/>
      <c r="M665" s="731"/>
      <c r="N665" s="708" t="s">
        <v>1106</v>
      </c>
      <c r="O665" s="708" t="s">
        <v>1161</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1565</v>
      </c>
      <c r="K666" s="733"/>
      <c r="L666" s="730"/>
      <c r="M666" s="731"/>
      <c r="N666" s="1195" t="s">
        <v>2413</v>
      </c>
      <c r="O666" s="1195" t="s">
        <v>2307</v>
      </c>
      <c r="P666" s="1311"/>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1567</v>
      </c>
      <c r="K667" s="733"/>
      <c r="L667" s="730"/>
      <c r="M667" s="731"/>
      <c r="N667" s="1195" t="s">
        <v>2415</v>
      </c>
      <c r="O667" s="1195" t="s">
        <v>703</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1569</v>
      </c>
      <c r="K668" s="733"/>
      <c r="L668" s="730"/>
      <c r="M668" s="731"/>
      <c r="N668" s="1195" t="s">
        <v>1893</v>
      </c>
      <c r="O668" s="1195" t="s">
        <v>782</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1390</v>
      </c>
      <c r="K669" s="733"/>
      <c r="L669" s="730"/>
      <c r="M669" s="731"/>
      <c r="N669" s="1195" t="s">
        <v>2691</v>
      </c>
      <c r="O669" s="1195" t="s">
        <v>2142</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1392</v>
      </c>
      <c r="K670" s="733"/>
      <c r="L670" s="730"/>
      <c r="M670" s="731"/>
      <c r="N670" s="1195" t="s">
        <v>2302</v>
      </c>
      <c r="O670" s="1195" t="s">
        <v>1282</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2126</v>
      </c>
      <c r="K671" s="733"/>
      <c r="L671" s="730"/>
      <c r="M671" s="731"/>
      <c r="N671" s="708" t="s">
        <v>1722</v>
      </c>
      <c r="O671" s="708" t="s">
        <v>705</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783</v>
      </c>
      <c r="K672" s="733"/>
      <c r="L672" s="730"/>
      <c r="M672" s="731"/>
      <c r="N672" s="1195" t="s">
        <v>885</v>
      </c>
      <c r="O672" s="1195" t="s">
        <v>1398</v>
      </c>
      <c r="P672" s="1311"/>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1345</v>
      </c>
      <c r="K673" s="733"/>
      <c r="L673" s="730"/>
      <c r="M673" s="731"/>
      <c r="N673" s="1195" t="s">
        <v>1725</v>
      </c>
      <c r="O673" s="1195" t="s">
        <v>2765</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2014</v>
      </c>
      <c r="K674" s="733"/>
      <c r="L674" s="730"/>
      <c r="M674" s="731"/>
      <c r="N674" s="1195" t="s">
        <v>1728</v>
      </c>
      <c r="O674" s="1195" t="s">
        <v>1743</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2015</v>
      </c>
      <c r="K675" s="733"/>
      <c r="L675" s="730"/>
      <c r="M675" s="731"/>
      <c r="N675" s="1195" t="s">
        <v>1135</v>
      </c>
      <c r="O675" s="1195" t="s">
        <v>1625</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2017</v>
      </c>
      <c r="K676" s="733"/>
      <c r="L676" s="730"/>
      <c r="M676" s="731"/>
      <c r="N676" s="1195" t="s">
        <v>2578</v>
      </c>
      <c r="O676" s="1195"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2019</v>
      </c>
      <c r="K677" s="733"/>
      <c r="L677" s="730"/>
      <c r="M677" s="731"/>
      <c r="N677" s="1195" t="s">
        <v>868</v>
      </c>
      <c r="O677" s="1195" t="s">
        <v>1282</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2021</v>
      </c>
      <c r="K678" s="733"/>
      <c r="L678" s="730"/>
      <c r="M678" s="731"/>
      <c r="N678" s="1195" t="s">
        <v>1388</v>
      </c>
      <c r="O678" s="1195" t="s">
        <v>2042</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532</v>
      </c>
      <c r="K679" s="733"/>
      <c r="L679" s="730"/>
      <c r="M679" s="731"/>
      <c r="N679" s="1195" t="s">
        <v>175</v>
      </c>
      <c r="O679" s="1195" t="s">
        <v>1414</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2707</v>
      </c>
      <c r="K680" s="733"/>
      <c r="L680" s="730"/>
      <c r="M680" s="731"/>
      <c r="N680" s="1195" t="s">
        <v>1049</v>
      </c>
      <c r="O680" s="1195" t="s">
        <v>1777</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2709</v>
      </c>
      <c r="K681" s="733"/>
      <c r="L681" s="730"/>
      <c r="M681" s="731"/>
      <c r="N681" s="1195" t="s">
        <v>3507</v>
      </c>
      <c r="O681" s="1195"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1223</v>
      </c>
      <c r="K682" s="733"/>
      <c r="L682" s="730"/>
      <c r="M682" s="731"/>
      <c r="N682" s="708" t="s">
        <v>3508</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2686</v>
      </c>
      <c r="K683" s="733"/>
      <c r="L683" s="730"/>
      <c r="M683" s="731"/>
      <c r="N683" s="1195" t="s">
        <v>1411</v>
      </c>
      <c r="O683" s="1195" t="s">
        <v>166</v>
      </c>
      <c r="P683" s="1311"/>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2688</v>
      </c>
      <c r="K684" s="733"/>
      <c r="L684" s="730"/>
      <c r="M684" s="731"/>
      <c r="N684" s="1195" t="s">
        <v>2698</v>
      </c>
      <c r="O684" s="1195" t="s">
        <v>925</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1636</v>
      </c>
      <c r="K685" s="733"/>
      <c r="L685" s="730"/>
      <c r="M685" s="731"/>
      <c r="N685" s="1195" t="s">
        <v>1136</v>
      </c>
      <c r="O685" s="1195" t="s">
        <v>668</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1637</v>
      </c>
      <c r="K686" s="733"/>
      <c r="L686" s="730"/>
      <c r="M686" s="731"/>
      <c r="N686" s="1195" t="s">
        <v>2307</v>
      </c>
      <c r="O686" s="1195"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2237</v>
      </c>
      <c r="K687" s="733"/>
      <c r="L687" s="730"/>
      <c r="M687" s="731"/>
      <c r="N687" s="1195" t="s">
        <v>3208</v>
      </c>
      <c r="O687" s="1195" t="s">
        <v>1716</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2238</v>
      </c>
      <c r="K688" s="733"/>
      <c r="L688" s="730"/>
      <c r="M688" s="731"/>
      <c r="N688" s="1195" t="s">
        <v>1566</v>
      </c>
      <c r="O688" s="1195" t="s">
        <v>2703</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1731</v>
      </c>
      <c r="K689" s="733"/>
      <c r="L689" s="730"/>
      <c r="M689" s="731"/>
      <c r="N689" s="1195" t="s">
        <v>3509</v>
      </c>
      <c r="O689" s="1195" t="s">
        <v>2084</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1733</v>
      </c>
      <c r="K690" s="733"/>
      <c r="L690" s="730"/>
      <c r="M690" s="731"/>
      <c r="N690" s="1195" t="s">
        <v>1568</v>
      </c>
      <c r="O690" s="1195"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991</v>
      </c>
      <c r="K691" s="733"/>
      <c r="L691" s="730"/>
      <c r="M691" s="731"/>
      <c r="N691" s="1195" t="s">
        <v>1137</v>
      </c>
      <c r="O691" s="1195" t="s">
        <v>703</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993</v>
      </c>
      <c r="K692" s="733"/>
      <c r="L692" s="730"/>
      <c r="M692" s="731"/>
      <c r="N692" s="1195" t="s">
        <v>1391</v>
      </c>
      <c r="O692" s="1195" t="s">
        <v>2320</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995</v>
      </c>
      <c r="K693" s="733"/>
      <c r="L693" s="730"/>
      <c r="M693" s="731"/>
      <c r="N693" s="1195" t="s">
        <v>1393</v>
      </c>
      <c r="O693" s="1195" t="s">
        <v>2703</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2668</v>
      </c>
      <c r="K694" s="733"/>
      <c r="L694" s="730"/>
      <c r="M694" s="731"/>
      <c r="N694" s="708" t="s">
        <v>2127</v>
      </c>
      <c r="O694" s="708" t="s">
        <v>1171</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2670</v>
      </c>
      <c r="K695" s="733"/>
      <c r="L695" s="730"/>
      <c r="M695" s="731"/>
      <c r="N695" s="708" t="s">
        <v>784</v>
      </c>
      <c r="O695" s="708" t="s">
        <v>333</v>
      </c>
      <c r="P695" s="1311"/>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2671</v>
      </c>
      <c r="K696" s="733"/>
      <c r="L696" s="730"/>
      <c r="M696" s="731"/>
      <c r="N696" s="1195" t="s">
        <v>1346</v>
      </c>
      <c r="O696" s="1195" t="s">
        <v>716</v>
      </c>
      <c r="P696" s="1311"/>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2033</v>
      </c>
      <c r="K697" s="733"/>
      <c r="L697" s="730"/>
      <c r="M697" s="731"/>
      <c r="N697" s="1195" t="s">
        <v>1138</v>
      </c>
      <c r="O697" s="1195"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2034</v>
      </c>
      <c r="K698" s="733"/>
      <c r="L698" s="730"/>
      <c r="M698" s="731"/>
      <c r="N698" s="1195" t="s">
        <v>2016</v>
      </c>
      <c r="O698" s="1195" t="s">
        <v>1169</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2036</v>
      </c>
      <c r="K699" s="733"/>
      <c r="L699" s="730"/>
      <c r="M699" s="731"/>
      <c r="N699" s="1195" t="s">
        <v>2018</v>
      </c>
      <c r="O699" s="1195" t="s">
        <v>1550</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686</v>
      </c>
      <c r="K700" s="733"/>
      <c r="L700" s="730"/>
      <c r="M700" s="731"/>
      <c r="N700" s="1195" t="s">
        <v>2020</v>
      </c>
      <c r="O700" s="1195" t="s">
        <v>2653</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688</v>
      </c>
      <c r="K701" s="733"/>
      <c r="L701" s="730"/>
      <c r="M701" s="731"/>
      <c r="N701" s="1195" t="s">
        <v>2022</v>
      </c>
      <c r="O701" s="1195"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689</v>
      </c>
      <c r="K702" s="733"/>
      <c r="L702" s="730"/>
      <c r="M702" s="731"/>
      <c r="N702" s="1195" t="s">
        <v>533</v>
      </c>
      <c r="O702" s="1195" t="s">
        <v>2143</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2456</v>
      </c>
      <c r="K703" s="733"/>
      <c r="L703" s="730"/>
      <c r="M703" s="731"/>
      <c r="N703" s="1195" t="s">
        <v>2708</v>
      </c>
      <c r="O703" s="1195" t="s">
        <v>2046</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5" t="s">
        <v>2710</v>
      </c>
      <c r="O704" s="1195" t="s">
        <v>2701</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1505</v>
      </c>
      <c r="K705" s="733"/>
      <c r="L705" s="730"/>
      <c r="M705" s="731"/>
      <c r="N705" s="1195" t="s">
        <v>1224</v>
      </c>
      <c r="O705" s="1195"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2404</v>
      </c>
      <c r="K706" s="733"/>
      <c r="L706" s="730"/>
      <c r="M706" s="731"/>
      <c r="N706" s="1195" t="s">
        <v>2687</v>
      </c>
      <c r="O706" s="1195" t="s">
        <v>931</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2406</v>
      </c>
      <c r="K707" s="733"/>
      <c r="L707" s="730"/>
      <c r="M707" s="731"/>
      <c r="N707" s="1195" t="s">
        <v>869</v>
      </c>
      <c r="O707" s="1195" t="s">
        <v>1419</v>
      </c>
      <c r="P707" s="731"/>
      <c r="Q707" s="1313"/>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1929</v>
      </c>
      <c r="K708" s="733"/>
      <c r="L708" s="730"/>
      <c r="M708" s="731"/>
      <c r="N708" s="1195" t="s">
        <v>1134</v>
      </c>
      <c r="O708" s="1195" t="s">
        <v>711</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1181</v>
      </c>
      <c r="K709" s="733"/>
      <c r="L709" s="730"/>
      <c r="M709" s="731"/>
      <c r="N709" s="1195" t="s">
        <v>1638</v>
      </c>
      <c r="O709" s="1195"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2184</v>
      </c>
      <c r="K710" s="733"/>
      <c r="L710" s="730"/>
      <c r="M710" s="731"/>
      <c r="N710" s="1195" t="s">
        <v>3510</v>
      </c>
      <c r="O710" s="1195" t="s">
        <v>930</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2102</v>
      </c>
      <c r="K711" s="733"/>
      <c r="L711" s="730"/>
      <c r="M711" s="731"/>
      <c r="N711" s="1195" t="s">
        <v>2239</v>
      </c>
      <c r="O711" s="1195" t="s">
        <v>1412</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2104</v>
      </c>
      <c r="K712" s="733"/>
      <c r="L712" s="730"/>
      <c r="M712" s="731"/>
      <c r="N712" s="1195" t="s">
        <v>1732</v>
      </c>
      <c r="O712" s="1195" t="s">
        <v>1398</v>
      </c>
      <c r="P712" s="1312"/>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2106</v>
      </c>
      <c r="K713" s="733"/>
      <c r="L713" s="730"/>
      <c r="M713" s="731"/>
      <c r="N713" s="1195" t="s">
        <v>992</v>
      </c>
      <c r="O713" s="1195" t="s">
        <v>2389</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525</v>
      </c>
      <c r="K714" s="733"/>
      <c r="L714" s="730"/>
      <c r="M714" s="731"/>
      <c r="N714" s="1195" t="s">
        <v>994</v>
      </c>
      <c r="O714" s="1195"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5" t="s">
        <v>2669</v>
      </c>
      <c r="O715" s="1195" t="s">
        <v>668</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2234</v>
      </c>
      <c r="K716" s="733"/>
      <c r="L716" s="730"/>
      <c r="M716" s="731"/>
      <c r="N716" s="1195" t="s">
        <v>2032</v>
      </c>
      <c r="O716" s="1195"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2261</v>
      </c>
      <c r="K717" s="733"/>
      <c r="L717" s="730"/>
      <c r="M717" s="731"/>
      <c r="N717" s="1195" t="s">
        <v>2035</v>
      </c>
      <c r="O717" s="1195" t="s">
        <v>2389</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48"/>
      <c r="K718" s="1549"/>
      <c r="L718" s="1549"/>
      <c r="M718" s="1550"/>
      <c r="N718" s="1195" t="s">
        <v>2037</v>
      </c>
      <c r="O718" s="1195"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5" t="s">
        <v>687</v>
      </c>
      <c r="O719" s="1195" t="s">
        <v>2559</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5" t="s">
        <v>870</v>
      </c>
      <c r="O720" s="1195" t="s">
        <v>2311</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5" t="s">
        <v>1139</v>
      </c>
      <c r="O721" s="1195" t="s">
        <v>2044</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5" t="s">
        <v>1140</v>
      </c>
      <c r="O722" s="1195" t="s">
        <v>2140</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1559</v>
      </c>
      <c r="O723" s="708" t="s">
        <v>1286</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5" t="s">
        <v>2457</v>
      </c>
      <c r="O724" s="1195" t="s">
        <v>124</v>
      </c>
      <c r="P724" s="1311"/>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5" t="s">
        <v>1504</v>
      </c>
      <c r="O725" s="1195" t="s">
        <v>2389</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5" t="s">
        <v>2403</v>
      </c>
      <c r="O726" s="1195" t="s">
        <v>2050</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5" t="s">
        <v>2405</v>
      </c>
      <c r="O727" s="1195" t="s">
        <v>2307</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5" t="s">
        <v>2407</v>
      </c>
      <c r="O728" s="1195" t="s">
        <v>2559</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5" t="s">
        <v>3511</v>
      </c>
      <c r="O729" s="1195"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5" t="s">
        <v>1180</v>
      </c>
      <c r="O730" s="1195" t="s">
        <v>2318</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5" t="s">
        <v>1182</v>
      </c>
      <c r="O731" s="1195" t="s">
        <v>1157</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5" t="s">
        <v>2185</v>
      </c>
      <c r="O732" s="1195"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2103</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5" t="s">
        <v>2105</v>
      </c>
      <c r="O734" s="1195" t="s">
        <v>341</v>
      </c>
      <c r="P734" s="1311"/>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5" t="s">
        <v>2107</v>
      </c>
      <c r="O735" s="1195"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5" t="s">
        <v>3512</v>
      </c>
      <c r="O736" s="1195" t="s">
        <v>2044</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5" t="s">
        <v>478</v>
      </c>
      <c r="O737" s="1195" t="s">
        <v>1399</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5" t="s">
        <v>2235</v>
      </c>
      <c r="O738" s="1195" t="s">
        <v>782</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5" t="s">
        <v>2262</v>
      </c>
      <c r="O739" s="1195"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5" t="s">
        <v>886</v>
      </c>
      <c r="O740" s="1195" t="s">
        <v>2140</v>
      </c>
      <c r="P740" s="1312"/>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5" t="s">
        <v>2263</v>
      </c>
      <c r="O741" s="1195" t="s">
        <v>2140</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2264</v>
      </c>
      <c r="O742" s="708" t="s">
        <v>1778</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5" t="s">
        <v>2481</v>
      </c>
      <c r="O743" s="1195" t="s">
        <v>2008</v>
      </c>
      <c r="P743" s="1311"/>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5" t="s">
        <v>2482</v>
      </c>
      <c r="O744" s="1195"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5" t="s">
        <v>2483</v>
      </c>
      <c r="O745" s="1195" t="s">
        <v>1780</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5" t="s">
        <v>2484</v>
      </c>
      <c r="O746" s="1195" t="s">
        <v>1169</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5" t="s">
        <v>2485</v>
      </c>
      <c r="O747" s="1195" t="s">
        <v>2555</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5" t="s">
        <v>2408</v>
      </c>
      <c r="O748" s="1195" t="s">
        <v>2312</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5" t="s">
        <v>1735</v>
      </c>
      <c r="O749" s="1195" t="s">
        <v>2557</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5" t="s">
        <v>1736</v>
      </c>
      <c r="O750" s="1195"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5" t="s">
        <v>1804</v>
      </c>
      <c r="O751" s="1195"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5" t="s">
        <v>1141</v>
      </c>
      <c r="O752" s="1195" t="s">
        <v>668</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5" t="s">
        <v>871</v>
      </c>
      <c r="O753" s="1195" t="s">
        <v>2083</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5" t="s">
        <v>1805</v>
      </c>
      <c r="O754" s="1195" t="s">
        <v>2703</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5" t="s">
        <v>1806</v>
      </c>
      <c r="O755" s="1195" t="s">
        <v>2389</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5" t="s">
        <v>1807</v>
      </c>
      <c r="O756" s="1195" t="s">
        <v>1780</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5" t="s">
        <v>1808</v>
      </c>
      <c r="O757" s="1195"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5" t="s">
        <v>1809</v>
      </c>
      <c r="O758" s="1195" t="s">
        <v>702</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5" t="s">
        <v>1810</v>
      </c>
      <c r="O759" s="1195" t="s">
        <v>1009</v>
      </c>
      <c r="P759" s="1312"/>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5" t="s">
        <v>1811</v>
      </c>
      <c r="O760" s="1195" t="s">
        <v>1282</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5" t="s">
        <v>1812</v>
      </c>
      <c r="O761" s="1195" t="s">
        <v>716</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1142</v>
      </c>
      <c r="O762" s="708" t="s">
        <v>1780</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5" t="s">
        <v>1813</v>
      </c>
      <c r="O763" s="1195" t="s">
        <v>191</v>
      </c>
      <c r="P763" s="1311"/>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5" t="s">
        <v>1814</v>
      </c>
      <c r="O764" s="1195"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5" t="s">
        <v>1815</v>
      </c>
      <c r="O765" s="1195" t="s">
        <v>2083</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1816</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5" t="s">
        <v>1817</v>
      </c>
      <c r="O767" s="1195" t="s">
        <v>2042</v>
      </c>
      <c r="P767" s="1311"/>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5" t="s">
        <v>1818</v>
      </c>
      <c r="O768" s="1195" t="s">
        <v>1414</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5" t="s">
        <v>1819</v>
      </c>
      <c r="O769" s="1195" t="s">
        <v>1009</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5" t="s">
        <v>1820</v>
      </c>
      <c r="O770" s="1195" t="s">
        <v>782</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5" t="s">
        <v>1143</v>
      </c>
      <c r="O771" s="1195" t="s">
        <v>2653</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5" t="s">
        <v>1821</v>
      </c>
      <c r="O772" s="1195"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5" t="s">
        <v>1822</v>
      </c>
      <c r="O773" s="1195"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5" t="s">
        <v>1823</v>
      </c>
      <c r="O774" s="1195"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5" t="s">
        <v>1824</v>
      </c>
      <c r="O775" s="1195" t="s">
        <v>2143</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5" t="s">
        <v>1825</v>
      </c>
      <c r="O776" s="1195" t="s">
        <v>1551</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5" t="s">
        <v>1826</v>
      </c>
      <c r="O777" s="1195" t="s">
        <v>2010</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5" t="s">
        <v>1827</v>
      </c>
      <c r="O778" s="1195"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5" t="s">
        <v>1828</v>
      </c>
      <c r="O779" s="1195"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2559</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5" t="s">
        <v>109</v>
      </c>
      <c r="O781" s="1195" t="s">
        <v>2555</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5" t="s">
        <v>310</v>
      </c>
      <c r="O782" s="731" t="s">
        <v>2771</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2144</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1414</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2048</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714</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1399</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1646</v>
      </c>
      <c r="O790" s="639" t="s">
        <v>716</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1144</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1647</v>
      </c>
      <c r="O792" s="639" t="s">
        <v>782</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1648</v>
      </c>
      <c r="O793" s="639" t="s">
        <v>1900</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1649</v>
      </c>
      <c r="O794" s="639" t="s">
        <v>1160</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1145</v>
      </c>
      <c r="O795" s="639" t="s">
        <v>166</v>
      </c>
      <c r="X795" s="383"/>
      <c r="Y795" s="383"/>
      <c r="Z795" s="383"/>
      <c r="AA795" s="383"/>
      <c r="AB795" s="383"/>
      <c r="AC795" s="383"/>
      <c r="AD795" s="383"/>
      <c r="AE795" s="383"/>
      <c r="AF795" s="383"/>
      <c r="AG795" s="383"/>
    </row>
    <row r="796" spans="2:44" s="639" customFormat="1" ht="12" customHeight="1">
      <c r="B796" s="638"/>
      <c r="N796" s="639" t="s">
        <v>1650</v>
      </c>
      <c r="O796" s="639" t="s">
        <v>1398</v>
      </c>
      <c r="X796" s="383"/>
      <c r="Y796" s="383"/>
      <c r="Z796" s="383"/>
      <c r="AA796" s="383"/>
      <c r="AB796" s="383"/>
      <c r="AC796" s="383"/>
      <c r="AD796" s="383"/>
      <c r="AE796" s="383"/>
      <c r="AF796" s="383"/>
      <c r="AG796" s="383"/>
    </row>
    <row r="797" spans="2:44" s="639" customFormat="1" ht="12" customHeight="1">
      <c r="B797" s="638"/>
      <c r="N797" s="639" t="s">
        <v>1651</v>
      </c>
      <c r="O797" s="639" t="s">
        <v>172</v>
      </c>
      <c r="X797" s="383"/>
      <c r="Y797" s="383"/>
      <c r="Z797" s="383"/>
      <c r="AA797" s="383"/>
      <c r="AB797" s="383"/>
      <c r="AC797" s="383"/>
      <c r="AD797" s="383"/>
      <c r="AE797" s="383"/>
      <c r="AF797" s="383"/>
      <c r="AG797" s="383"/>
    </row>
    <row r="798" spans="2:44" s="639" customFormat="1" ht="12" customHeight="1">
      <c r="B798" s="638"/>
      <c r="N798" s="639" t="s">
        <v>1652</v>
      </c>
      <c r="O798" s="639" t="s">
        <v>1419</v>
      </c>
      <c r="X798" s="383"/>
      <c r="Y798" s="383"/>
      <c r="Z798" s="383"/>
      <c r="AA798" s="383"/>
      <c r="AB798" s="383"/>
      <c r="AC798" s="383"/>
      <c r="AD798" s="383"/>
      <c r="AE798" s="383"/>
      <c r="AF798" s="383"/>
      <c r="AG798" s="383"/>
    </row>
    <row r="799" spans="2:44" s="639" customFormat="1" ht="12" customHeight="1">
      <c r="B799" s="638"/>
      <c r="N799" s="639" t="s">
        <v>1653</v>
      </c>
      <c r="O799" s="639" t="s">
        <v>2010</v>
      </c>
      <c r="X799" s="383"/>
      <c r="Y799" s="383"/>
      <c r="Z799" s="383"/>
      <c r="AA799" s="383"/>
      <c r="AB799" s="383"/>
      <c r="AC799" s="383"/>
      <c r="AD799" s="383"/>
      <c r="AE799" s="383"/>
      <c r="AF799" s="383"/>
      <c r="AG799" s="383"/>
    </row>
    <row r="800" spans="2:44" s="639" customFormat="1" ht="12" customHeight="1">
      <c r="B800" s="638"/>
      <c r="N800" s="639" t="s">
        <v>1654</v>
      </c>
      <c r="O800" s="639" t="s">
        <v>2318</v>
      </c>
      <c r="X800" s="383"/>
      <c r="Y800" s="383"/>
      <c r="Z800" s="383"/>
      <c r="AA800" s="383"/>
      <c r="AB800" s="383"/>
      <c r="AC800" s="383"/>
      <c r="AD800" s="383"/>
      <c r="AE800" s="383"/>
      <c r="AF800" s="383"/>
      <c r="AG800" s="383"/>
    </row>
    <row r="801" spans="2:33" s="639" customFormat="1" ht="12" customHeight="1">
      <c r="B801" s="638"/>
      <c r="N801" s="639" t="s">
        <v>1655</v>
      </c>
      <c r="O801" s="639" t="s">
        <v>171</v>
      </c>
      <c r="X801" s="383"/>
      <c r="Y801" s="383"/>
      <c r="Z801" s="383"/>
      <c r="AA801" s="383"/>
      <c r="AB801" s="383"/>
      <c r="AC801" s="383"/>
      <c r="AD801" s="383"/>
      <c r="AE801" s="383"/>
      <c r="AF801" s="383"/>
      <c r="AG801" s="383"/>
    </row>
    <row r="802" spans="2:33" s="639" customFormat="1" ht="12" customHeight="1">
      <c r="B802" s="638"/>
      <c r="N802" s="639" t="s">
        <v>2536</v>
      </c>
      <c r="O802" s="639" t="s">
        <v>716</v>
      </c>
      <c r="X802" s="383"/>
      <c r="Y802" s="383"/>
      <c r="Z802" s="383"/>
      <c r="AA802" s="383"/>
      <c r="AB802" s="383"/>
      <c r="AC802" s="383"/>
      <c r="AD802" s="383"/>
      <c r="AE802" s="383"/>
      <c r="AF802" s="383"/>
      <c r="AG802" s="383"/>
    </row>
    <row r="803" spans="2:33" s="639" customFormat="1" ht="12" customHeight="1">
      <c r="B803" s="638"/>
      <c r="N803" s="639" t="s">
        <v>2537</v>
      </c>
      <c r="O803" s="639" t="s">
        <v>702</v>
      </c>
      <c r="X803" s="383"/>
      <c r="Y803" s="383"/>
      <c r="Z803" s="383"/>
      <c r="AA803" s="383"/>
      <c r="AB803" s="383"/>
      <c r="AC803" s="383"/>
      <c r="AD803" s="383"/>
      <c r="AE803" s="383"/>
      <c r="AF803" s="383"/>
      <c r="AG803" s="383"/>
    </row>
    <row r="804" spans="2:33" s="639" customFormat="1" ht="12" customHeight="1">
      <c r="B804" s="638"/>
      <c r="N804" s="639" t="s">
        <v>2538</v>
      </c>
      <c r="O804" s="639" t="s">
        <v>346</v>
      </c>
      <c r="X804" s="383"/>
      <c r="Y804" s="383"/>
      <c r="Z804" s="383"/>
      <c r="AA804" s="383"/>
      <c r="AB804" s="383"/>
      <c r="AC804" s="383"/>
      <c r="AD804" s="383"/>
      <c r="AE804" s="383"/>
      <c r="AF804" s="383"/>
      <c r="AG804" s="383"/>
    </row>
    <row r="805" spans="2:33" s="639" customFormat="1" ht="12" customHeight="1">
      <c r="B805" s="638"/>
      <c r="N805" s="639" t="s">
        <v>887</v>
      </c>
      <c r="O805" s="639" t="s">
        <v>350</v>
      </c>
      <c r="X805" s="383"/>
      <c r="Y805" s="383"/>
      <c r="Z805" s="383"/>
      <c r="AA805" s="383"/>
      <c r="AB805" s="383"/>
      <c r="AC805" s="383"/>
      <c r="AD805" s="383"/>
      <c r="AE805" s="383"/>
      <c r="AF805" s="383"/>
      <c r="AG805" s="383"/>
    </row>
    <row r="806" spans="2:33" s="639" customFormat="1" ht="12" customHeight="1">
      <c r="B806" s="638"/>
      <c r="N806" s="639" t="s">
        <v>888</v>
      </c>
      <c r="O806" s="639" t="s">
        <v>2140</v>
      </c>
      <c r="X806" s="383"/>
      <c r="Y806" s="383"/>
      <c r="Z806" s="383"/>
      <c r="AA806" s="383"/>
      <c r="AB806" s="383"/>
      <c r="AC806" s="383"/>
      <c r="AD806" s="383"/>
      <c r="AE806" s="383"/>
      <c r="AF806" s="383"/>
      <c r="AG806" s="383"/>
    </row>
    <row r="807" spans="2:33" s="639" customFormat="1" ht="12" customHeight="1">
      <c r="B807" s="638"/>
      <c r="N807" s="639" t="s">
        <v>3513</v>
      </c>
      <c r="O807" s="639" t="s">
        <v>117</v>
      </c>
      <c r="X807" s="383"/>
      <c r="Y807" s="383"/>
      <c r="Z807" s="383"/>
      <c r="AA807" s="383"/>
      <c r="AB807" s="383"/>
      <c r="AC807" s="383"/>
      <c r="AD807" s="383"/>
      <c r="AE807" s="383"/>
      <c r="AF807" s="383"/>
      <c r="AG807" s="383"/>
    </row>
    <row r="808" spans="2:33" s="639" customFormat="1" ht="12" customHeight="1">
      <c r="B808" s="638"/>
      <c r="N808" s="639" t="s">
        <v>889</v>
      </c>
      <c r="O808" s="639" t="s">
        <v>2044</v>
      </c>
      <c r="X808" s="383"/>
      <c r="Y808" s="383"/>
      <c r="Z808" s="383"/>
      <c r="AA808" s="383"/>
      <c r="AB808" s="383"/>
      <c r="AC808" s="383"/>
      <c r="AD808" s="383"/>
      <c r="AE808" s="383"/>
      <c r="AF808" s="383"/>
      <c r="AG808" s="383"/>
    </row>
    <row r="809" spans="2:33" s="639" customFormat="1" ht="12" customHeight="1">
      <c r="B809" s="638"/>
      <c r="N809" s="639" t="s">
        <v>890</v>
      </c>
      <c r="O809" s="639" t="s">
        <v>1160</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47">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E143:G143"/>
    <mergeCell ref="M145:O145"/>
    <mergeCell ref="J145:K145"/>
    <mergeCell ref="J106:L106"/>
    <mergeCell ref="L93:M93"/>
    <mergeCell ref="M92:P92"/>
    <mergeCell ref="O93:P93"/>
    <mergeCell ref="I49:I50"/>
    <mergeCell ref="N158:O158"/>
    <mergeCell ref="C106:E106"/>
    <mergeCell ref="F9:H9"/>
    <mergeCell ref="E91:G91"/>
    <mergeCell ref="H66:I66"/>
    <mergeCell ref="I92:K92"/>
    <mergeCell ref="K91:L91"/>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J107:L107"/>
    <mergeCell ref="F36:H36"/>
    <mergeCell ref="N38:O38"/>
    <mergeCell ref="F37:K37"/>
    <mergeCell ref="I38:K38"/>
    <mergeCell ref="K66:L66"/>
    <mergeCell ref="J36:L36"/>
    <mergeCell ref="I93:J93"/>
    <mergeCell ref="H85:I85"/>
    <mergeCell ref="O90:P90"/>
  </mergeCells>
  <phoneticPr fontId="7"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115"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38" t="str">
        <f>CONCATENATE("PART TWO - DEVELOPMENT TEAM INFORMATION","  -  ",'Part I-Project Information'!$O$4," ",'Part I-Project Information'!$F$23,", ",'Part I-Project Information'!F27,", ",'Part I-Project Information'!J28," County")</f>
        <v>PART TWO - DEVELOPMENT TEAM INFORMATION  -  2014-006 North Grove Apartments, Athens, Clarke County</v>
      </c>
      <c r="B1" s="1639"/>
      <c r="C1" s="1639"/>
      <c r="D1" s="1639"/>
      <c r="E1" s="1639"/>
      <c r="F1" s="1639"/>
      <c r="G1" s="1639"/>
      <c r="H1" s="1639"/>
      <c r="I1" s="1639"/>
      <c r="J1" s="1639"/>
      <c r="K1" s="1639"/>
      <c r="L1" s="1639"/>
      <c r="M1" s="1639"/>
      <c r="N1" s="1639"/>
      <c r="O1" s="1639"/>
      <c r="P1" s="1639"/>
      <c r="Q1" s="1639"/>
      <c r="R1" s="1639"/>
      <c r="S1" s="1640"/>
    </row>
    <row r="3" spans="1:26" s="363" customFormat="1" ht="13.15" customHeight="1">
      <c r="A3" s="366" t="s">
        <v>656</v>
      </c>
      <c r="B3" s="370" t="s">
        <v>1986</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2117</v>
      </c>
      <c r="C5" s="370" t="s">
        <v>1982</v>
      </c>
      <c r="H5" s="1506" t="s">
        <v>3716</v>
      </c>
      <c r="I5" s="1518"/>
      <c r="J5" s="1518"/>
      <c r="K5" s="1518"/>
      <c r="L5" s="1518"/>
      <c r="M5" s="1518"/>
      <c r="N5" s="1519"/>
      <c r="O5" s="1147" t="s">
        <v>2124</v>
      </c>
      <c r="P5" s="1147"/>
      <c r="Q5" s="1506" t="s">
        <v>3719</v>
      </c>
      <c r="R5" s="1518"/>
      <c r="S5" s="1519"/>
    </row>
    <row r="6" spans="1:26" s="363" customFormat="1" ht="12.6" customHeight="1">
      <c r="D6" s="407"/>
      <c r="E6" s="369" t="s">
        <v>1082</v>
      </c>
      <c r="F6" s="377"/>
      <c r="H6" s="1506" t="s">
        <v>3717</v>
      </c>
      <c r="I6" s="1518"/>
      <c r="J6" s="1518"/>
      <c r="K6" s="1518"/>
      <c r="L6" s="1518"/>
      <c r="M6" s="1518"/>
      <c r="N6" s="1519"/>
      <c r="O6" s="1147" t="s">
        <v>1869</v>
      </c>
      <c r="Q6" s="1506" t="s">
        <v>3720</v>
      </c>
      <c r="R6" s="1518"/>
      <c r="S6" s="1519"/>
    </row>
    <row r="7" spans="1:26" s="363" customFormat="1" ht="12.6" customHeight="1">
      <c r="D7" s="407"/>
      <c r="E7" s="369" t="s">
        <v>658</v>
      </c>
      <c r="H7" s="1506" t="s">
        <v>1281</v>
      </c>
      <c r="I7" s="1518"/>
      <c r="J7" s="1519"/>
      <c r="K7" s="1314" t="s">
        <v>812</v>
      </c>
      <c r="L7" s="1506"/>
      <c r="M7" s="1518"/>
      <c r="N7" s="1519"/>
      <c r="O7" s="1147" t="s">
        <v>1926</v>
      </c>
      <c r="Q7" s="1560">
        <v>4049493873</v>
      </c>
      <c r="R7" s="1561"/>
      <c r="S7" s="1562"/>
    </row>
    <row r="8" spans="1:26" s="363" customFormat="1" ht="12.6" customHeight="1">
      <c r="D8" s="407"/>
      <c r="E8" s="369" t="s">
        <v>1922</v>
      </c>
      <c r="H8" s="1294" t="s">
        <v>901</v>
      </c>
      <c r="I8" s="1153" t="s">
        <v>1365</v>
      </c>
      <c r="J8" s="1563">
        <v>303272800</v>
      </c>
      <c r="K8" s="1519"/>
      <c r="L8" s="330" t="s">
        <v>3002</v>
      </c>
      <c r="M8" s="1636">
        <v>98.02</v>
      </c>
      <c r="N8" s="1637"/>
      <c r="O8" s="1147" t="s">
        <v>2113</v>
      </c>
      <c r="Q8" s="1560">
        <v>7708619049</v>
      </c>
      <c r="R8" s="1561"/>
      <c r="S8" s="1562"/>
    </row>
    <row r="9" spans="1:26" s="363" customFormat="1" ht="12.6" customHeight="1">
      <c r="D9" s="407"/>
      <c r="E9" s="369" t="s">
        <v>2119</v>
      </c>
      <c r="H9" s="1560">
        <v>4049493873</v>
      </c>
      <c r="I9" s="1562"/>
      <c r="J9" s="1315"/>
      <c r="K9" s="1153" t="s">
        <v>1925</v>
      </c>
      <c r="L9" s="1532">
        <v>4049493880</v>
      </c>
      <c r="M9" s="1641"/>
      <c r="N9" s="371" t="s">
        <v>2118</v>
      </c>
      <c r="O9" s="1536" t="s">
        <v>3718</v>
      </c>
      <c r="P9" s="1573"/>
      <c r="Q9" s="1573"/>
      <c r="R9" s="1573"/>
      <c r="S9" s="1537"/>
    </row>
    <row r="10" spans="1:26" s="363" customFormat="1" ht="13.15" customHeight="1">
      <c r="D10" s="407"/>
      <c r="E10" s="356" t="s">
        <v>3001</v>
      </c>
      <c r="H10" s="401"/>
      <c r="K10" s="330"/>
      <c r="N10" s="442" t="s">
        <v>1366</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2120</v>
      </c>
      <c r="C12" s="370" t="s">
        <v>1983</v>
      </c>
      <c r="F12" s="370"/>
      <c r="G12" s="370"/>
      <c r="H12" s="370"/>
      <c r="I12" s="370"/>
      <c r="J12" s="370"/>
      <c r="N12" s="1316" t="s">
        <v>3119</v>
      </c>
      <c r="P12" s="1317" t="s">
        <v>1364</v>
      </c>
      <c r="W12" s="1317"/>
      <c r="X12" s="1317"/>
      <c r="Y12" s="1317"/>
      <c r="Z12" s="1317"/>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2121</v>
      </c>
      <c r="D14" s="406" t="s">
        <v>2122</v>
      </c>
      <c r="H14" s="1157"/>
      <c r="I14" s="1157"/>
      <c r="J14" s="1157"/>
      <c r="N14" s="1316"/>
      <c r="W14" s="1318"/>
      <c r="X14" s="1318"/>
      <c r="Y14" s="1318"/>
      <c r="Z14" s="1318"/>
    </row>
    <row r="15" spans="1:26" s="363" customFormat="1" ht="4.1500000000000004" customHeight="1">
      <c r="D15" s="409"/>
      <c r="E15" s="410"/>
      <c r="H15" s="1319"/>
      <c r="I15" s="1319"/>
      <c r="J15" s="1319"/>
      <c r="K15" s="1149"/>
      <c r="L15" s="1319"/>
      <c r="M15" s="1319"/>
      <c r="N15" s="1149"/>
      <c r="O15" s="1320"/>
      <c r="P15" s="1320"/>
      <c r="Q15" s="1153"/>
      <c r="R15" s="1320"/>
      <c r="S15" s="1320"/>
    </row>
    <row r="16" spans="1:26" s="363" customFormat="1" ht="12.6" customHeight="1">
      <c r="D16" s="366" t="s">
        <v>2253</v>
      </c>
      <c r="E16" s="363" t="s">
        <v>1984</v>
      </c>
      <c r="H16" s="1506" t="s">
        <v>3799</v>
      </c>
      <c r="I16" s="1518"/>
      <c r="J16" s="1518"/>
      <c r="K16" s="1518"/>
      <c r="L16" s="1518"/>
      <c r="M16" s="1518"/>
      <c r="N16" s="1519"/>
      <c r="O16" s="1147" t="s">
        <v>2124</v>
      </c>
      <c r="P16" s="1147"/>
      <c r="Q16" s="1506" t="s">
        <v>3719</v>
      </c>
      <c r="R16" s="1518"/>
      <c r="S16" s="1519"/>
    </row>
    <row r="17" spans="4:19" s="363" customFormat="1" ht="12.6" customHeight="1">
      <c r="D17" s="407"/>
      <c r="E17" s="369" t="s">
        <v>1082</v>
      </c>
      <c r="F17" s="377"/>
      <c r="H17" s="1506" t="s">
        <v>3721</v>
      </c>
      <c r="I17" s="1518"/>
      <c r="J17" s="1518"/>
      <c r="K17" s="1518"/>
      <c r="L17" s="1518"/>
      <c r="M17" s="1518"/>
      <c r="N17" s="1519"/>
      <c r="O17" s="1147" t="s">
        <v>1869</v>
      </c>
      <c r="Q17" s="1506" t="s">
        <v>3722</v>
      </c>
      <c r="R17" s="1518"/>
      <c r="S17" s="1519"/>
    </row>
    <row r="18" spans="4:19" s="363" customFormat="1" ht="12.6" customHeight="1">
      <c r="D18" s="407"/>
      <c r="E18" s="369" t="s">
        <v>658</v>
      </c>
      <c r="H18" s="1506" t="s">
        <v>1281</v>
      </c>
      <c r="I18" s="1518"/>
      <c r="J18" s="1519"/>
      <c r="K18" s="1150" t="s">
        <v>2943</v>
      </c>
      <c r="L18" s="1506"/>
      <c r="M18" s="1518"/>
      <c r="N18" s="1519"/>
      <c r="O18" s="1147" t="s">
        <v>1926</v>
      </c>
      <c r="Q18" s="1560">
        <v>4049493873</v>
      </c>
      <c r="R18" s="1561"/>
      <c r="S18" s="1562"/>
    </row>
    <row r="19" spans="4:19" s="363" customFormat="1" ht="12.6" customHeight="1">
      <c r="D19" s="366"/>
      <c r="E19" s="369" t="s">
        <v>1922</v>
      </c>
      <c r="H19" s="1294" t="s">
        <v>901</v>
      </c>
      <c r="I19" s="1153" t="s">
        <v>1365</v>
      </c>
      <c r="J19" s="1563">
        <v>303272800</v>
      </c>
      <c r="K19" s="1519"/>
      <c r="O19" s="1147" t="s">
        <v>2113</v>
      </c>
      <c r="Q19" s="1560">
        <v>7708619049</v>
      </c>
      <c r="R19" s="1561"/>
      <c r="S19" s="1562"/>
    </row>
    <row r="20" spans="4:19" s="363" customFormat="1" ht="12.6" customHeight="1">
      <c r="D20" s="407"/>
      <c r="E20" s="369" t="s">
        <v>2119</v>
      </c>
      <c r="H20" s="1560">
        <v>4049493873</v>
      </c>
      <c r="I20" s="1562"/>
      <c r="J20" s="1315"/>
      <c r="K20" s="1153" t="s">
        <v>1925</v>
      </c>
      <c r="L20" s="1532">
        <v>4049493880</v>
      </c>
      <c r="M20" s="1519"/>
      <c r="N20" s="371" t="s">
        <v>2118</v>
      </c>
      <c r="O20" s="1536" t="s">
        <v>3718</v>
      </c>
      <c r="P20" s="1573"/>
      <c r="Q20" s="1573"/>
      <c r="R20" s="1573"/>
      <c r="S20" s="1537"/>
    </row>
    <row r="21" spans="4:19" ht="4.1500000000000004" customHeight="1">
      <c r="D21" s="392"/>
      <c r="H21" s="1321"/>
      <c r="I21" s="1321"/>
      <c r="J21" s="1321"/>
      <c r="K21" s="1153"/>
      <c r="L21" s="1321"/>
      <c r="M21" s="1321"/>
      <c r="N21" s="1149"/>
      <c r="O21" s="1320"/>
      <c r="P21" s="1320"/>
      <c r="Q21" s="1153"/>
      <c r="R21" s="1320"/>
      <c r="S21" s="1320"/>
    </row>
    <row r="22" spans="4:19" s="363" customFormat="1" ht="12.6" customHeight="1">
      <c r="D22" s="366" t="s">
        <v>2254</v>
      </c>
      <c r="E22" s="363" t="s">
        <v>1985</v>
      </c>
      <c r="F22" s="1157"/>
      <c r="H22" s="1506"/>
      <c r="I22" s="1518"/>
      <c r="J22" s="1518"/>
      <c r="K22" s="1518"/>
      <c r="L22" s="1518"/>
      <c r="M22" s="1518"/>
      <c r="N22" s="1519"/>
      <c r="O22" s="1147" t="s">
        <v>2124</v>
      </c>
      <c r="P22" s="1147"/>
      <c r="Q22" s="1506"/>
      <c r="R22" s="1518"/>
      <c r="S22" s="1519"/>
    </row>
    <row r="23" spans="4:19" s="363" customFormat="1" ht="12.6" customHeight="1">
      <c r="D23" s="407"/>
      <c r="E23" s="369" t="s">
        <v>1082</v>
      </c>
      <c r="F23" s="377"/>
      <c r="H23" s="1506"/>
      <c r="I23" s="1518"/>
      <c r="J23" s="1518"/>
      <c r="K23" s="1518"/>
      <c r="L23" s="1518"/>
      <c r="M23" s="1518"/>
      <c r="N23" s="1519"/>
      <c r="O23" s="1147" t="s">
        <v>1869</v>
      </c>
      <c r="Q23" s="1506"/>
      <c r="R23" s="1518"/>
      <c r="S23" s="1519"/>
    </row>
    <row r="24" spans="4:19" s="363" customFormat="1" ht="12.6" customHeight="1">
      <c r="D24" s="407"/>
      <c r="E24" s="369" t="s">
        <v>658</v>
      </c>
      <c r="H24" s="1506"/>
      <c r="I24" s="1518"/>
      <c r="J24" s="1519"/>
      <c r="K24" s="1150" t="s">
        <v>2943</v>
      </c>
      <c r="L24" s="1506"/>
      <c r="M24" s="1518"/>
      <c r="N24" s="1519"/>
      <c r="O24" s="1147" t="s">
        <v>1926</v>
      </c>
      <c r="Q24" s="1560"/>
      <c r="R24" s="1561"/>
      <c r="S24" s="1562"/>
    </row>
    <row r="25" spans="4:19" s="363" customFormat="1" ht="12.6" customHeight="1">
      <c r="E25" s="369" t="s">
        <v>1922</v>
      </c>
      <c r="H25" s="1294"/>
      <c r="I25" s="394" t="s">
        <v>2374</v>
      </c>
      <c r="J25" s="1563"/>
      <c r="K25" s="1519"/>
      <c r="O25" s="1147" t="s">
        <v>2113</v>
      </c>
      <c r="Q25" s="1560"/>
      <c r="R25" s="1561"/>
      <c r="S25" s="1562"/>
    </row>
    <row r="26" spans="4:19" s="363" customFormat="1" ht="12.6" customHeight="1">
      <c r="D26" s="407"/>
      <c r="E26" s="369" t="s">
        <v>2119</v>
      </c>
      <c r="H26" s="1560"/>
      <c r="I26" s="1562"/>
      <c r="J26" s="1315"/>
      <c r="K26" s="1153" t="s">
        <v>1925</v>
      </c>
      <c r="L26" s="1532"/>
      <c r="M26" s="1519"/>
      <c r="N26" s="371" t="s">
        <v>2118</v>
      </c>
      <c r="O26" s="1536"/>
      <c r="P26" s="1573"/>
      <c r="Q26" s="1573"/>
      <c r="R26" s="1573"/>
      <c r="S26" s="1537"/>
    </row>
    <row r="27" spans="4:19" s="363" customFormat="1" ht="4.1500000000000004" customHeight="1">
      <c r="D27" s="407"/>
      <c r="E27" s="1157"/>
      <c r="F27" s="1157"/>
      <c r="G27" s="1147"/>
      <c r="H27" s="1321"/>
      <c r="I27" s="1321"/>
      <c r="J27" s="1321"/>
      <c r="K27" s="1153"/>
      <c r="L27" s="1321"/>
      <c r="M27" s="1321"/>
      <c r="N27" s="1149"/>
      <c r="O27" s="1320"/>
      <c r="P27" s="1320"/>
      <c r="Q27" s="1153"/>
      <c r="R27" s="1320"/>
      <c r="S27" s="1320"/>
    </row>
    <row r="28" spans="4:19" s="363" customFormat="1" ht="12.6" customHeight="1">
      <c r="D28" s="366" t="s">
        <v>1855</v>
      </c>
      <c r="E28" s="363" t="s">
        <v>1985</v>
      </c>
      <c r="F28" s="1157"/>
      <c r="H28" s="1506"/>
      <c r="I28" s="1518"/>
      <c r="J28" s="1518"/>
      <c r="K28" s="1518"/>
      <c r="L28" s="1518"/>
      <c r="M28" s="1518"/>
      <c r="N28" s="1519"/>
      <c r="O28" s="1147" t="s">
        <v>2124</v>
      </c>
      <c r="P28" s="1147"/>
      <c r="Q28" s="1506"/>
      <c r="R28" s="1518"/>
      <c r="S28" s="1519"/>
    </row>
    <row r="29" spans="4:19" s="363" customFormat="1" ht="12.6" customHeight="1">
      <c r="D29" s="407"/>
      <c r="E29" s="369" t="s">
        <v>1082</v>
      </c>
      <c r="F29" s="377"/>
      <c r="H29" s="1506"/>
      <c r="I29" s="1518"/>
      <c r="J29" s="1518"/>
      <c r="K29" s="1518"/>
      <c r="L29" s="1518"/>
      <c r="M29" s="1518"/>
      <c r="N29" s="1519"/>
      <c r="O29" s="1147" t="s">
        <v>1869</v>
      </c>
      <c r="Q29" s="1506"/>
      <c r="R29" s="1518"/>
      <c r="S29" s="1519"/>
    </row>
    <row r="30" spans="4:19" s="363" customFormat="1" ht="12.6" customHeight="1">
      <c r="D30" s="407"/>
      <c r="E30" s="369" t="s">
        <v>658</v>
      </c>
      <c r="H30" s="1506"/>
      <c r="I30" s="1518"/>
      <c r="J30" s="1519"/>
      <c r="K30" s="1150" t="s">
        <v>2943</v>
      </c>
      <c r="L30" s="1506"/>
      <c r="M30" s="1518"/>
      <c r="N30" s="1519"/>
      <c r="O30" s="1147" t="s">
        <v>1926</v>
      </c>
      <c r="Q30" s="1560"/>
      <c r="R30" s="1561"/>
      <c r="S30" s="1562"/>
    </row>
    <row r="31" spans="4:19" s="363" customFormat="1" ht="12.6" customHeight="1">
      <c r="E31" s="369" t="s">
        <v>1922</v>
      </c>
      <c r="H31" s="1294"/>
      <c r="I31" s="394" t="s">
        <v>2374</v>
      </c>
      <c r="J31" s="1563"/>
      <c r="K31" s="1519"/>
      <c r="O31" s="1147" t="s">
        <v>2113</v>
      </c>
      <c r="Q31" s="1560"/>
      <c r="R31" s="1561"/>
      <c r="S31" s="1562"/>
    </row>
    <row r="32" spans="4:19" s="363" customFormat="1" ht="12.6" customHeight="1">
      <c r="D32" s="407"/>
      <c r="E32" s="369" t="s">
        <v>2119</v>
      </c>
      <c r="H32" s="1560"/>
      <c r="I32" s="1562"/>
      <c r="J32" s="1315"/>
      <c r="K32" s="1153" t="s">
        <v>1925</v>
      </c>
      <c r="L32" s="1532"/>
      <c r="M32" s="1519"/>
      <c r="N32" s="371" t="s">
        <v>2118</v>
      </c>
      <c r="O32" s="1536"/>
      <c r="P32" s="1573"/>
      <c r="Q32" s="1573"/>
      <c r="R32" s="1573"/>
      <c r="S32" s="1537"/>
    </row>
    <row r="33" spans="3:19" ht="4.1500000000000004" customHeight="1"/>
    <row r="34" spans="3:19" s="363" customFormat="1" ht="13.15" customHeight="1">
      <c r="C34" s="409" t="s">
        <v>2123</v>
      </c>
      <c r="D34" s="406" t="s">
        <v>1987</v>
      </c>
      <c r="H34" s="1157"/>
      <c r="I34" s="1157"/>
      <c r="J34" s="1157"/>
      <c r="K34" s="1157"/>
      <c r="L34" s="1157"/>
      <c r="M34" s="1157"/>
    </row>
    <row r="35" spans="3:19" s="363" customFormat="1" ht="4.1500000000000004" customHeight="1">
      <c r="C35" s="411"/>
      <c r="D35" s="406"/>
      <c r="H35" s="1319"/>
      <c r="I35" s="1319"/>
      <c r="J35" s="1319"/>
      <c r="K35" s="1149"/>
      <c r="L35" s="1319"/>
      <c r="M35" s="1319"/>
      <c r="N35" s="1149"/>
      <c r="O35" s="1320"/>
      <c r="P35" s="1320"/>
      <c r="Q35" s="1153"/>
      <c r="R35" s="1320"/>
      <c r="S35" s="1320"/>
    </row>
    <row r="36" spans="3:19" s="363" customFormat="1" ht="12.6" customHeight="1">
      <c r="D36" s="366" t="s">
        <v>2253</v>
      </c>
      <c r="E36" s="363" t="s">
        <v>799</v>
      </c>
      <c r="H36" s="1506" t="s">
        <v>3800</v>
      </c>
      <c r="I36" s="1518"/>
      <c r="J36" s="1518"/>
      <c r="K36" s="1518"/>
      <c r="L36" s="1518"/>
      <c r="M36" s="1518"/>
      <c r="N36" s="1519"/>
      <c r="O36" s="1147" t="s">
        <v>2124</v>
      </c>
      <c r="P36" s="1147"/>
      <c r="Q36" s="1506" t="s">
        <v>3803</v>
      </c>
      <c r="R36" s="1518"/>
      <c r="S36" s="1519"/>
    </row>
    <row r="37" spans="3:19" s="363" customFormat="1" ht="12.6" customHeight="1">
      <c r="D37" s="407"/>
      <c r="E37" s="369" t="s">
        <v>1082</v>
      </c>
      <c r="F37" s="377"/>
      <c r="H37" s="1506" t="s">
        <v>3801</v>
      </c>
      <c r="I37" s="1518"/>
      <c r="J37" s="1518"/>
      <c r="K37" s="1518"/>
      <c r="L37" s="1518"/>
      <c r="M37" s="1518"/>
      <c r="N37" s="1519"/>
      <c r="O37" s="1147" t="s">
        <v>1869</v>
      </c>
      <c r="Q37" s="1506" t="s">
        <v>3728</v>
      </c>
      <c r="R37" s="1518"/>
      <c r="S37" s="1519"/>
    </row>
    <row r="38" spans="3:19" s="363" customFormat="1" ht="12.6" customHeight="1">
      <c r="D38" s="407"/>
      <c r="E38" s="369" t="s">
        <v>658</v>
      </c>
      <c r="H38" s="1506" t="s">
        <v>2700</v>
      </c>
      <c r="I38" s="1518"/>
      <c r="J38" s="1519"/>
      <c r="K38" s="1150" t="s">
        <v>2943</v>
      </c>
      <c r="L38" s="1506" t="s">
        <v>3802</v>
      </c>
      <c r="M38" s="1518"/>
      <c r="N38" s="1519"/>
      <c r="O38" s="1147" t="s">
        <v>1926</v>
      </c>
      <c r="Q38" s="1560">
        <v>4107732723</v>
      </c>
      <c r="R38" s="1561"/>
      <c r="S38" s="1562"/>
    </row>
    <row r="39" spans="3:19" s="363" customFormat="1" ht="12.6" customHeight="1">
      <c r="E39" s="369" t="s">
        <v>1922</v>
      </c>
      <c r="H39" s="1294" t="s">
        <v>911</v>
      </c>
      <c r="I39" s="394" t="s">
        <v>2374</v>
      </c>
      <c r="J39" s="1563">
        <v>210443491</v>
      </c>
      <c r="K39" s="1519"/>
      <c r="O39" s="1147" t="s">
        <v>2113</v>
      </c>
      <c r="Q39" s="1560">
        <v>4438784774</v>
      </c>
      <c r="R39" s="1561"/>
      <c r="S39" s="1562"/>
    </row>
    <row r="40" spans="3:19" s="363" customFormat="1" ht="12.6" customHeight="1">
      <c r="D40" s="407"/>
      <c r="E40" s="369" t="s">
        <v>2119</v>
      </c>
      <c r="H40" s="1560">
        <v>4107722723</v>
      </c>
      <c r="I40" s="1562"/>
      <c r="J40" s="1315"/>
      <c r="K40" s="1153" t="s">
        <v>1925</v>
      </c>
      <c r="L40" s="1532">
        <v>4107722742</v>
      </c>
      <c r="M40" s="1519"/>
      <c r="N40" s="371" t="s">
        <v>2118</v>
      </c>
      <c r="O40" s="1536" t="s">
        <v>3804</v>
      </c>
      <c r="P40" s="1573"/>
      <c r="Q40" s="1573"/>
      <c r="R40" s="1573"/>
      <c r="S40" s="1537"/>
    </row>
    <row r="41" spans="3:19" ht="4.1500000000000004" customHeight="1">
      <c r="H41" s="1321"/>
      <c r="I41" s="1321"/>
      <c r="J41" s="1321"/>
      <c r="K41" s="1153"/>
      <c r="L41" s="1321"/>
      <c r="M41" s="1321"/>
      <c r="N41" s="1149"/>
      <c r="O41" s="1320"/>
      <c r="P41" s="1320"/>
      <c r="Q41" s="1153"/>
      <c r="R41" s="1320"/>
      <c r="S41" s="1320"/>
    </row>
    <row r="42" spans="3:19" s="363" customFormat="1" ht="12.6" customHeight="1">
      <c r="D42" s="366" t="s">
        <v>2254</v>
      </c>
      <c r="E42" s="363" t="s">
        <v>800</v>
      </c>
      <c r="F42" s="366"/>
      <c r="H42" s="1506" t="s">
        <v>3800</v>
      </c>
      <c r="I42" s="1518"/>
      <c r="J42" s="1518"/>
      <c r="K42" s="1518"/>
      <c r="L42" s="1518"/>
      <c r="M42" s="1518"/>
      <c r="N42" s="1519"/>
      <c r="O42" s="1147" t="s">
        <v>2124</v>
      </c>
      <c r="P42" s="1147"/>
      <c r="Q42" s="1506" t="s">
        <v>3803</v>
      </c>
      <c r="R42" s="1518"/>
      <c r="S42" s="1519"/>
    </row>
    <row r="43" spans="3:19" s="363" customFormat="1" ht="12.6" customHeight="1">
      <c r="D43" s="407"/>
      <c r="E43" s="369" t="s">
        <v>1082</v>
      </c>
      <c r="F43" s="377"/>
      <c r="H43" s="1506" t="s">
        <v>3801</v>
      </c>
      <c r="I43" s="1518"/>
      <c r="J43" s="1518"/>
      <c r="K43" s="1518"/>
      <c r="L43" s="1518"/>
      <c r="M43" s="1518"/>
      <c r="N43" s="1519"/>
      <c r="O43" s="1147" t="s">
        <v>1869</v>
      </c>
      <c r="Q43" s="1506" t="s">
        <v>3728</v>
      </c>
      <c r="R43" s="1518"/>
      <c r="S43" s="1519"/>
    </row>
    <row r="44" spans="3:19" s="363" customFormat="1" ht="12.6" customHeight="1">
      <c r="D44" s="407"/>
      <c r="E44" s="369" t="s">
        <v>658</v>
      </c>
      <c r="H44" s="1506" t="s">
        <v>2700</v>
      </c>
      <c r="I44" s="1518"/>
      <c r="J44" s="1519"/>
      <c r="K44" s="1150" t="s">
        <v>2943</v>
      </c>
      <c r="L44" s="1506" t="s">
        <v>3802</v>
      </c>
      <c r="M44" s="1518"/>
      <c r="N44" s="1519"/>
      <c r="O44" s="1147" t="s">
        <v>1926</v>
      </c>
      <c r="Q44" s="1560">
        <v>4107732723</v>
      </c>
      <c r="R44" s="1561"/>
      <c r="S44" s="1562"/>
    </row>
    <row r="45" spans="3:19" s="363" customFormat="1" ht="12.6" customHeight="1">
      <c r="D45" s="366"/>
      <c r="E45" s="369" t="s">
        <v>1922</v>
      </c>
      <c r="H45" s="1294" t="s">
        <v>911</v>
      </c>
      <c r="I45" s="394" t="s">
        <v>2374</v>
      </c>
      <c r="J45" s="1563">
        <v>210443491</v>
      </c>
      <c r="K45" s="1519"/>
      <c r="O45" s="1147" t="s">
        <v>2113</v>
      </c>
      <c r="Q45" s="1560">
        <v>4438784774</v>
      </c>
      <c r="R45" s="1561"/>
      <c r="S45" s="1562"/>
    </row>
    <row r="46" spans="3:19" s="363" customFormat="1" ht="12.6" customHeight="1">
      <c r="D46" s="407"/>
      <c r="E46" s="369" t="s">
        <v>2119</v>
      </c>
      <c r="H46" s="1560">
        <v>4107722723</v>
      </c>
      <c r="I46" s="1562"/>
      <c r="J46" s="1315"/>
      <c r="K46" s="1153" t="s">
        <v>1925</v>
      </c>
      <c r="L46" s="1532">
        <v>4107722742</v>
      </c>
      <c r="M46" s="1519"/>
      <c r="N46" s="371" t="s">
        <v>2118</v>
      </c>
      <c r="O46" s="1536" t="s">
        <v>3804</v>
      </c>
      <c r="P46" s="1573"/>
      <c r="Q46" s="1573"/>
      <c r="R46" s="1573"/>
      <c r="S46" s="1537"/>
    </row>
    <row r="47" spans="3:19" s="363" customFormat="1" ht="4.1500000000000004" customHeight="1">
      <c r="D47" s="407"/>
      <c r="E47" s="369"/>
      <c r="F47" s="366"/>
      <c r="H47" s="401"/>
      <c r="I47" s="401"/>
      <c r="J47" s="1322"/>
      <c r="K47" s="1153"/>
      <c r="L47" s="401"/>
      <c r="M47" s="401"/>
      <c r="N47" s="1153"/>
      <c r="O47" s="401"/>
      <c r="P47" s="401"/>
      <c r="Q47" s="1153"/>
      <c r="R47" s="401"/>
      <c r="S47" s="401"/>
    </row>
    <row r="48" spans="3:19" s="363" customFormat="1" ht="13.15" customHeight="1">
      <c r="C48" s="411" t="s">
        <v>2706</v>
      </c>
      <c r="D48" s="406" t="s">
        <v>695</v>
      </c>
      <c r="H48" s="1157"/>
      <c r="I48" s="1157"/>
      <c r="J48" s="1157"/>
      <c r="K48" s="1157"/>
      <c r="L48" s="1157"/>
      <c r="M48" s="1157"/>
    </row>
    <row r="49" spans="1:19" s="363" customFormat="1" ht="4.1500000000000004" customHeight="1">
      <c r="D49" s="411"/>
      <c r="E49" s="410"/>
      <c r="H49" s="1319"/>
      <c r="I49" s="1319"/>
      <c r="J49" s="1319"/>
      <c r="K49" s="1149"/>
      <c r="L49" s="1319"/>
      <c r="M49" s="1319"/>
      <c r="N49" s="1149"/>
      <c r="O49" s="1320"/>
      <c r="P49" s="1320"/>
      <c r="Q49" s="1153"/>
      <c r="R49" s="1320"/>
      <c r="S49" s="1320"/>
    </row>
    <row r="50" spans="1:19" s="363" customFormat="1" ht="12.6" customHeight="1">
      <c r="E50" s="363" t="s">
        <v>95</v>
      </c>
      <c r="H50" s="1506"/>
      <c r="I50" s="1518"/>
      <c r="J50" s="1518"/>
      <c r="K50" s="1518"/>
      <c r="L50" s="1518"/>
      <c r="M50" s="1518"/>
      <c r="N50" s="1519"/>
      <c r="O50" s="1147" t="s">
        <v>2124</v>
      </c>
      <c r="P50" s="1147"/>
      <c r="Q50" s="1506"/>
      <c r="R50" s="1518"/>
      <c r="S50" s="1519"/>
    </row>
    <row r="51" spans="1:19" s="363" customFormat="1" ht="12.6" customHeight="1">
      <c r="D51" s="407"/>
      <c r="E51" s="369" t="s">
        <v>1082</v>
      </c>
      <c r="F51" s="377"/>
      <c r="H51" s="1506"/>
      <c r="I51" s="1518"/>
      <c r="J51" s="1518"/>
      <c r="K51" s="1518"/>
      <c r="L51" s="1518"/>
      <c r="M51" s="1518"/>
      <c r="N51" s="1519"/>
      <c r="O51" s="1147" t="s">
        <v>1869</v>
      </c>
      <c r="Q51" s="1506"/>
      <c r="R51" s="1518"/>
      <c r="S51" s="1519"/>
    </row>
    <row r="52" spans="1:19" s="363" customFormat="1" ht="12.6" customHeight="1">
      <c r="D52" s="407"/>
      <c r="E52" s="369" t="s">
        <v>658</v>
      </c>
      <c r="H52" s="1506"/>
      <c r="I52" s="1518"/>
      <c r="J52" s="1519"/>
      <c r="K52" s="1150" t="s">
        <v>2943</v>
      </c>
      <c r="L52" s="1506"/>
      <c r="M52" s="1518"/>
      <c r="N52" s="1519"/>
      <c r="O52" s="1147" t="s">
        <v>1926</v>
      </c>
      <c r="Q52" s="1560"/>
      <c r="R52" s="1561"/>
      <c r="S52" s="1562"/>
    </row>
    <row r="53" spans="1:19" s="363" customFormat="1" ht="12.6" customHeight="1">
      <c r="E53" s="369" t="s">
        <v>1922</v>
      </c>
      <c r="H53" s="1294"/>
      <c r="I53" s="394" t="s">
        <v>2374</v>
      </c>
      <c r="J53" s="1563"/>
      <c r="K53" s="1519"/>
      <c r="O53" s="1147" t="s">
        <v>2113</v>
      </c>
      <c r="Q53" s="1560"/>
      <c r="R53" s="1561"/>
      <c r="S53" s="1562"/>
    </row>
    <row r="54" spans="1:19" s="363" customFormat="1" ht="12.6" customHeight="1">
      <c r="D54" s="407"/>
      <c r="E54" s="369" t="s">
        <v>2119</v>
      </c>
      <c r="H54" s="1560"/>
      <c r="I54" s="1562"/>
      <c r="J54" s="1315"/>
      <c r="K54" s="1153" t="s">
        <v>1925</v>
      </c>
      <c r="L54" s="1532"/>
      <c r="M54" s="1519"/>
      <c r="N54" s="371" t="s">
        <v>2118</v>
      </c>
      <c r="O54" s="1536"/>
      <c r="P54" s="1573"/>
      <c r="Q54" s="1573"/>
      <c r="R54" s="1573"/>
      <c r="S54" s="1537"/>
    </row>
    <row r="55" spans="1:19" ht="6.75" customHeight="1"/>
    <row r="56" spans="1:19" s="363" customFormat="1" ht="13.15" customHeight="1">
      <c r="A56" s="366" t="s">
        <v>789</v>
      </c>
      <c r="B56" s="366" t="s">
        <v>696</v>
      </c>
      <c r="F56" s="366"/>
      <c r="G56" s="1153"/>
      <c r="H56" s="1153"/>
      <c r="I56" s="1153"/>
      <c r="J56" s="1157"/>
      <c r="K56" s="1157"/>
      <c r="L56" s="1157"/>
      <c r="M56" s="1157"/>
      <c r="N56" s="1157"/>
      <c r="O56" s="1157"/>
      <c r="P56" s="1157"/>
      <c r="Q56" s="1157"/>
      <c r="R56" s="1157"/>
      <c r="S56" s="1157"/>
    </row>
    <row r="57" spans="1:19" s="363" customFormat="1" ht="9" customHeight="1">
      <c r="A57" s="366"/>
      <c r="B57" s="366"/>
      <c r="F57" s="366"/>
      <c r="G57" s="1153"/>
      <c r="H57" s="1319"/>
      <c r="I57" s="1319"/>
      <c r="J57" s="1319"/>
      <c r="K57" s="1149"/>
      <c r="L57" s="1319"/>
      <c r="M57" s="1319"/>
      <c r="N57" s="1149"/>
      <c r="O57" s="1320"/>
      <c r="P57" s="1320"/>
      <c r="Q57" s="1153"/>
      <c r="R57" s="1320"/>
      <c r="S57" s="1320"/>
    </row>
    <row r="58" spans="1:19" s="363" customFormat="1" ht="13.15" customHeight="1">
      <c r="B58" s="366" t="s">
        <v>2117</v>
      </c>
      <c r="C58" s="366" t="s">
        <v>298</v>
      </c>
      <c r="H58" s="1506" t="s">
        <v>3723</v>
      </c>
      <c r="I58" s="1518"/>
      <c r="J58" s="1518"/>
      <c r="K58" s="1518"/>
      <c r="L58" s="1518"/>
      <c r="M58" s="1518"/>
      <c r="N58" s="1519"/>
      <c r="O58" s="1147" t="s">
        <v>2124</v>
      </c>
      <c r="P58" s="1147"/>
      <c r="Q58" s="1506" t="s">
        <v>3719</v>
      </c>
      <c r="R58" s="1518"/>
      <c r="S58" s="1519"/>
    </row>
    <row r="59" spans="1:19" s="363" customFormat="1" ht="13.15" customHeight="1">
      <c r="D59" s="407"/>
      <c r="E59" s="369" t="s">
        <v>1082</v>
      </c>
      <c r="F59" s="377"/>
      <c r="H59" s="1506" t="s">
        <v>3721</v>
      </c>
      <c r="I59" s="1518"/>
      <c r="J59" s="1518"/>
      <c r="K59" s="1518"/>
      <c r="L59" s="1518"/>
      <c r="M59" s="1518"/>
      <c r="N59" s="1519"/>
      <c r="O59" s="1147" t="s">
        <v>1869</v>
      </c>
      <c r="Q59" s="1506" t="s">
        <v>3720</v>
      </c>
      <c r="R59" s="1518"/>
      <c r="S59" s="1519"/>
    </row>
    <row r="60" spans="1:19" s="363" customFormat="1" ht="13.15" customHeight="1">
      <c r="D60" s="407"/>
      <c r="E60" s="369" t="s">
        <v>658</v>
      </c>
      <c r="H60" s="1506" t="s">
        <v>1281</v>
      </c>
      <c r="I60" s="1518"/>
      <c r="J60" s="1519"/>
      <c r="K60" s="1150" t="s">
        <v>2943</v>
      </c>
      <c r="L60" s="1506" t="s">
        <v>3839</v>
      </c>
      <c r="M60" s="1518"/>
      <c r="N60" s="1519"/>
      <c r="O60" s="1147" t="s">
        <v>1926</v>
      </c>
      <c r="Q60" s="1560">
        <v>4049493873</v>
      </c>
      <c r="R60" s="1561"/>
      <c r="S60" s="1562"/>
    </row>
    <row r="61" spans="1:19" s="363" customFormat="1" ht="13.15" customHeight="1">
      <c r="E61" s="369" t="s">
        <v>1922</v>
      </c>
      <c r="H61" s="1294" t="s">
        <v>901</v>
      </c>
      <c r="I61" s="394" t="s">
        <v>2374</v>
      </c>
      <c r="J61" s="1563">
        <v>303272800</v>
      </c>
      <c r="K61" s="1519"/>
      <c r="O61" s="1147" t="s">
        <v>2113</v>
      </c>
      <c r="Q61" s="1560">
        <v>7708619049</v>
      </c>
      <c r="R61" s="1561"/>
      <c r="S61" s="1562"/>
    </row>
    <row r="62" spans="1:19" s="363" customFormat="1" ht="13.15" customHeight="1">
      <c r="D62" s="407"/>
      <c r="E62" s="369" t="s">
        <v>2119</v>
      </c>
      <c r="H62" s="1560">
        <v>4049493873</v>
      </c>
      <c r="I62" s="1562"/>
      <c r="J62" s="1315"/>
      <c r="K62" s="1153" t="s">
        <v>1925</v>
      </c>
      <c r="L62" s="1532">
        <v>4049493880</v>
      </c>
      <c r="M62" s="1519"/>
      <c r="N62" s="371" t="s">
        <v>2118</v>
      </c>
      <c r="O62" s="1536" t="s">
        <v>3718</v>
      </c>
      <c r="P62" s="1573"/>
      <c r="Q62" s="1573"/>
      <c r="R62" s="1573"/>
      <c r="S62" s="1537"/>
    </row>
    <row r="63" spans="1:19" s="363" customFormat="1" ht="6.6" customHeight="1">
      <c r="D63" s="407"/>
      <c r="E63" s="1157"/>
      <c r="F63" s="1157"/>
      <c r="G63" s="1147"/>
      <c r="H63" s="1321"/>
      <c r="I63" s="1321"/>
      <c r="J63" s="1321"/>
      <c r="K63" s="1153"/>
      <c r="L63" s="1321"/>
      <c r="M63" s="1321"/>
      <c r="N63" s="1149"/>
      <c r="O63" s="1320"/>
      <c r="P63" s="1320"/>
      <c r="Q63" s="1153"/>
      <c r="R63" s="1320"/>
      <c r="S63" s="1320"/>
    </row>
    <row r="64" spans="1:19" s="363" customFormat="1" ht="13.15" customHeight="1">
      <c r="B64" s="366" t="s">
        <v>2120</v>
      </c>
      <c r="C64" s="366" t="s">
        <v>299</v>
      </c>
      <c r="H64" s="1506"/>
      <c r="I64" s="1518"/>
      <c r="J64" s="1518"/>
      <c r="K64" s="1518"/>
      <c r="L64" s="1518"/>
      <c r="M64" s="1518"/>
      <c r="N64" s="1519"/>
      <c r="O64" s="1147" t="s">
        <v>2124</v>
      </c>
      <c r="P64" s="1147"/>
      <c r="Q64" s="1506"/>
      <c r="R64" s="1518"/>
      <c r="S64" s="1519"/>
    </row>
    <row r="65" spans="2:19" s="363" customFormat="1" ht="13.15" customHeight="1">
      <c r="D65" s="407"/>
      <c r="E65" s="369" t="s">
        <v>1082</v>
      </c>
      <c r="F65" s="377"/>
      <c r="H65" s="1506"/>
      <c r="I65" s="1518"/>
      <c r="J65" s="1518"/>
      <c r="K65" s="1518"/>
      <c r="L65" s="1518"/>
      <c r="M65" s="1518"/>
      <c r="N65" s="1519"/>
      <c r="O65" s="1147" t="s">
        <v>1869</v>
      </c>
      <c r="Q65" s="1506"/>
      <c r="R65" s="1518"/>
      <c r="S65" s="1519"/>
    </row>
    <row r="66" spans="2:19" s="363" customFormat="1" ht="13.15" customHeight="1">
      <c r="D66" s="407"/>
      <c r="E66" s="369" t="s">
        <v>658</v>
      </c>
      <c r="H66" s="1506"/>
      <c r="I66" s="1518"/>
      <c r="J66" s="1519"/>
      <c r="K66" s="1150" t="s">
        <v>2943</v>
      </c>
      <c r="L66" s="1506"/>
      <c r="M66" s="1518"/>
      <c r="N66" s="1519"/>
      <c r="O66" s="1147" t="s">
        <v>1926</v>
      </c>
      <c r="Q66" s="1560"/>
      <c r="R66" s="1561"/>
      <c r="S66" s="1562"/>
    </row>
    <row r="67" spans="2:19" s="363" customFormat="1" ht="13.15" customHeight="1">
      <c r="E67" s="369" t="s">
        <v>1922</v>
      </c>
      <c r="H67" s="1294"/>
      <c r="I67" s="394" t="s">
        <v>2374</v>
      </c>
      <c r="J67" s="1563"/>
      <c r="K67" s="1519"/>
      <c r="O67" s="1147" t="s">
        <v>2113</v>
      </c>
      <c r="Q67" s="1560"/>
      <c r="R67" s="1561"/>
      <c r="S67" s="1562"/>
    </row>
    <row r="68" spans="2:19" s="363" customFormat="1" ht="13.15" customHeight="1">
      <c r="D68" s="407"/>
      <c r="E68" s="369" t="s">
        <v>2119</v>
      </c>
      <c r="H68" s="1560"/>
      <c r="I68" s="1562"/>
      <c r="J68" s="1315"/>
      <c r="K68" s="1153" t="s">
        <v>1925</v>
      </c>
      <c r="L68" s="1532"/>
      <c r="M68" s="1519"/>
      <c r="N68" s="371" t="s">
        <v>2118</v>
      </c>
      <c r="O68" s="1536"/>
      <c r="P68" s="1573"/>
      <c r="Q68" s="1573"/>
      <c r="R68" s="1573"/>
      <c r="S68" s="1537"/>
    </row>
    <row r="69" spans="2:19" s="363" customFormat="1" ht="6.6" customHeight="1">
      <c r="D69" s="407"/>
      <c r="E69" s="1157"/>
      <c r="F69" s="1157"/>
      <c r="G69" s="1147"/>
      <c r="H69" s="1321"/>
      <c r="I69" s="1321"/>
      <c r="J69" s="1321"/>
      <c r="K69" s="1153"/>
      <c r="L69" s="1321"/>
      <c r="M69" s="1321"/>
      <c r="N69" s="1149"/>
      <c r="O69" s="1320"/>
      <c r="P69" s="1320"/>
      <c r="Q69" s="1153"/>
      <c r="R69" s="1320"/>
      <c r="S69" s="1320"/>
    </row>
    <row r="70" spans="2:19" s="363" customFormat="1" ht="13.15" customHeight="1">
      <c r="B70" s="366" t="s">
        <v>798</v>
      </c>
      <c r="C70" s="366" t="s">
        <v>1633</v>
      </c>
      <c r="H70" s="1506"/>
      <c r="I70" s="1518"/>
      <c r="J70" s="1518"/>
      <c r="K70" s="1518"/>
      <c r="L70" s="1518"/>
      <c r="M70" s="1518"/>
      <c r="N70" s="1519"/>
      <c r="O70" s="1147" t="s">
        <v>2124</v>
      </c>
      <c r="P70" s="1147"/>
      <c r="Q70" s="1506"/>
      <c r="R70" s="1518"/>
      <c r="S70" s="1519"/>
    </row>
    <row r="71" spans="2:19" s="363" customFormat="1" ht="13.15" customHeight="1">
      <c r="D71" s="407"/>
      <c r="E71" s="369" t="s">
        <v>1082</v>
      </c>
      <c r="F71" s="377"/>
      <c r="H71" s="1506"/>
      <c r="I71" s="1518"/>
      <c r="J71" s="1518"/>
      <c r="K71" s="1518"/>
      <c r="L71" s="1518"/>
      <c r="M71" s="1518"/>
      <c r="N71" s="1519"/>
      <c r="O71" s="1147" t="s">
        <v>1869</v>
      </c>
      <c r="Q71" s="1506"/>
      <c r="R71" s="1518"/>
      <c r="S71" s="1519"/>
    </row>
    <row r="72" spans="2:19" s="363" customFormat="1" ht="13.15" customHeight="1">
      <c r="D72" s="407"/>
      <c r="E72" s="369" t="s">
        <v>658</v>
      </c>
      <c r="H72" s="1506"/>
      <c r="I72" s="1518"/>
      <c r="J72" s="1519"/>
      <c r="K72" s="1150" t="s">
        <v>2943</v>
      </c>
      <c r="L72" s="1506"/>
      <c r="M72" s="1518"/>
      <c r="N72" s="1519"/>
      <c r="O72" s="1147" t="s">
        <v>1926</v>
      </c>
      <c r="Q72" s="1560"/>
      <c r="R72" s="1561"/>
      <c r="S72" s="1562"/>
    </row>
    <row r="73" spans="2:19" s="363" customFormat="1" ht="13.15" customHeight="1">
      <c r="E73" s="369" t="s">
        <v>1922</v>
      </c>
      <c r="H73" s="1294"/>
      <c r="I73" s="394" t="s">
        <v>2374</v>
      </c>
      <c r="J73" s="1563"/>
      <c r="K73" s="1519"/>
      <c r="O73" s="1147" t="s">
        <v>2113</v>
      </c>
      <c r="Q73" s="1560"/>
      <c r="R73" s="1561"/>
      <c r="S73" s="1562"/>
    </row>
    <row r="74" spans="2:19" s="363" customFormat="1" ht="13.15" customHeight="1">
      <c r="D74" s="407"/>
      <c r="E74" s="369" t="s">
        <v>2119</v>
      </c>
      <c r="H74" s="1560"/>
      <c r="I74" s="1562"/>
      <c r="J74" s="1315"/>
      <c r="K74" s="1153" t="s">
        <v>1925</v>
      </c>
      <c r="L74" s="1532"/>
      <c r="M74" s="1519"/>
      <c r="N74" s="371" t="s">
        <v>2118</v>
      </c>
      <c r="O74" s="1536"/>
      <c r="P74" s="1573"/>
      <c r="Q74" s="1573"/>
      <c r="R74" s="1573"/>
      <c r="S74" s="1537"/>
    </row>
    <row r="75" spans="2:19" ht="6.6" customHeight="1">
      <c r="H75" s="1321"/>
      <c r="I75" s="1321"/>
      <c r="J75" s="1321"/>
      <c r="K75" s="1153"/>
      <c r="L75" s="1321"/>
      <c r="M75" s="1321"/>
      <c r="N75" s="1149"/>
      <c r="O75" s="1320"/>
      <c r="P75" s="1320"/>
      <c r="Q75" s="1153"/>
      <c r="R75" s="1320"/>
      <c r="S75" s="1320"/>
    </row>
    <row r="76" spans="2:19" s="363" customFormat="1" ht="13.15" customHeight="1">
      <c r="B76" s="366" t="s">
        <v>2252</v>
      </c>
      <c r="C76" s="366" t="s">
        <v>300</v>
      </c>
      <c r="H76" s="1506"/>
      <c r="I76" s="1518"/>
      <c r="J76" s="1518"/>
      <c r="K76" s="1518"/>
      <c r="L76" s="1518"/>
      <c r="M76" s="1518"/>
      <c r="N76" s="1519"/>
      <c r="O76" s="1147" t="s">
        <v>2124</v>
      </c>
      <c r="P76" s="1147"/>
      <c r="Q76" s="1506"/>
      <c r="R76" s="1518"/>
      <c r="S76" s="1519"/>
    </row>
    <row r="77" spans="2:19" s="363" customFormat="1" ht="13.15" customHeight="1">
      <c r="D77" s="407"/>
      <c r="E77" s="369" t="s">
        <v>1082</v>
      </c>
      <c r="F77" s="377"/>
      <c r="H77" s="1506"/>
      <c r="I77" s="1518"/>
      <c r="J77" s="1518"/>
      <c r="K77" s="1518"/>
      <c r="L77" s="1518"/>
      <c r="M77" s="1518"/>
      <c r="N77" s="1519"/>
      <c r="O77" s="1147" t="s">
        <v>1869</v>
      </c>
      <c r="Q77" s="1506"/>
      <c r="R77" s="1518"/>
      <c r="S77" s="1519"/>
    </row>
    <row r="78" spans="2:19" s="363" customFormat="1" ht="13.15" customHeight="1">
      <c r="D78" s="407"/>
      <c r="E78" s="369" t="s">
        <v>658</v>
      </c>
      <c r="H78" s="1506"/>
      <c r="I78" s="1518"/>
      <c r="J78" s="1519"/>
      <c r="K78" s="1150" t="s">
        <v>2943</v>
      </c>
      <c r="L78" s="1506"/>
      <c r="M78" s="1518"/>
      <c r="N78" s="1519"/>
      <c r="O78" s="1147" t="s">
        <v>1926</v>
      </c>
      <c r="Q78" s="1560"/>
      <c r="R78" s="1561"/>
      <c r="S78" s="1562"/>
    </row>
    <row r="79" spans="2:19" s="363" customFormat="1" ht="13.15" customHeight="1">
      <c r="E79" s="369" t="s">
        <v>1922</v>
      </c>
      <c r="H79" s="1294"/>
      <c r="I79" s="394" t="s">
        <v>2374</v>
      </c>
      <c r="J79" s="1563"/>
      <c r="K79" s="1519"/>
      <c r="O79" s="1147" t="s">
        <v>2113</v>
      </c>
      <c r="Q79" s="1560"/>
      <c r="R79" s="1561"/>
      <c r="S79" s="1562"/>
    </row>
    <row r="80" spans="2:19" s="363" customFormat="1" ht="13.15" customHeight="1">
      <c r="D80" s="407"/>
      <c r="E80" s="369" t="s">
        <v>2119</v>
      </c>
      <c r="H80" s="1560"/>
      <c r="I80" s="1562"/>
      <c r="J80" s="1315"/>
      <c r="K80" s="1153" t="s">
        <v>1925</v>
      </c>
      <c r="L80" s="1532"/>
      <c r="M80" s="1519"/>
      <c r="N80" s="371" t="s">
        <v>2118</v>
      </c>
      <c r="O80" s="1536"/>
      <c r="P80" s="1573"/>
      <c r="Q80" s="1573"/>
      <c r="R80" s="1573"/>
      <c r="S80" s="1537"/>
    </row>
    <row r="81" spans="1:19" ht="6.75" customHeight="1"/>
    <row r="82" spans="1:19" s="369" customFormat="1" ht="13.15" customHeight="1">
      <c r="A82" s="370" t="s">
        <v>791</v>
      </c>
      <c r="B82" s="370" t="s">
        <v>301</v>
      </c>
      <c r="D82" s="370"/>
      <c r="E82" s="1147"/>
      <c r="F82" s="329"/>
      <c r="G82" s="329"/>
      <c r="H82" s="329"/>
      <c r="I82" s="329"/>
      <c r="J82" s="329"/>
      <c r="K82" s="329"/>
      <c r="L82" s="329"/>
      <c r="M82" s="329"/>
    </row>
    <row r="83" spans="1:19" s="369" customFormat="1" ht="9" customHeight="1">
      <c r="A83" s="370"/>
      <c r="B83" s="370"/>
      <c r="D83" s="370"/>
      <c r="E83" s="1147"/>
      <c r="F83" s="329"/>
      <c r="G83" s="329"/>
      <c r="H83" s="1319"/>
      <c r="I83" s="1319"/>
      <c r="J83" s="1319"/>
      <c r="K83" s="1149"/>
      <c r="L83" s="1319"/>
      <c r="M83" s="1319"/>
      <c r="N83" s="1149"/>
      <c r="O83" s="1320"/>
      <c r="P83" s="1320"/>
      <c r="Q83" s="1153"/>
      <c r="R83" s="1320"/>
      <c r="S83" s="1320"/>
    </row>
    <row r="84" spans="1:19" s="363" customFormat="1" ht="13.15" customHeight="1">
      <c r="B84" s="366" t="s">
        <v>2117</v>
      </c>
      <c r="C84" s="366" t="s">
        <v>302</v>
      </c>
      <c r="H84" s="1506"/>
      <c r="I84" s="1518"/>
      <c r="J84" s="1518"/>
      <c r="K84" s="1518"/>
      <c r="L84" s="1518"/>
      <c r="M84" s="1518"/>
      <c r="N84" s="1519"/>
      <c r="O84" s="1147" t="s">
        <v>2124</v>
      </c>
      <c r="P84" s="1147"/>
      <c r="Q84" s="1506"/>
      <c r="R84" s="1518"/>
      <c r="S84" s="1519"/>
    </row>
    <row r="85" spans="1:19" s="363" customFormat="1" ht="13.15" customHeight="1">
      <c r="D85" s="407"/>
      <c r="E85" s="369" t="s">
        <v>1082</v>
      </c>
      <c r="F85" s="377"/>
      <c r="H85" s="1506"/>
      <c r="I85" s="1518"/>
      <c r="J85" s="1518"/>
      <c r="K85" s="1518"/>
      <c r="L85" s="1518"/>
      <c r="M85" s="1518"/>
      <c r="N85" s="1519"/>
      <c r="O85" s="1147" t="s">
        <v>1869</v>
      </c>
      <c r="Q85" s="1506"/>
      <c r="R85" s="1518"/>
      <c r="S85" s="1519"/>
    </row>
    <row r="86" spans="1:19" s="363" customFormat="1" ht="13.15" customHeight="1">
      <c r="D86" s="407"/>
      <c r="E86" s="369" t="s">
        <v>658</v>
      </c>
      <c r="H86" s="1506"/>
      <c r="I86" s="1518"/>
      <c r="J86" s="1519"/>
      <c r="K86" s="1150" t="s">
        <v>2943</v>
      </c>
      <c r="L86" s="1506"/>
      <c r="M86" s="1518"/>
      <c r="N86" s="1519"/>
      <c r="O86" s="1147" t="s">
        <v>1926</v>
      </c>
      <c r="Q86" s="1560"/>
      <c r="R86" s="1561"/>
      <c r="S86" s="1562"/>
    </row>
    <row r="87" spans="1:19" s="363" customFormat="1" ht="13.15" customHeight="1">
      <c r="E87" s="369" t="s">
        <v>1922</v>
      </c>
      <c r="H87" s="1294"/>
      <c r="I87" s="394" t="s">
        <v>2374</v>
      </c>
      <c r="J87" s="1563"/>
      <c r="K87" s="1519"/>
      <c r="O87" s="1147" t="s">
        <v>2113</v>
      </c>
      <c r="Q87" s="1560"/>
      <c r="R87" s="1561"/>
      <c r="S87" s="1562"/>
    </row>
    <row r="88" spans="1:19" s="363" customFormat="1" ht="13.15" customHeight="1">
      <c r="D88" s="407"/>
      <c r="E88" s="369" t="s">
        <v>2119</v>
      </c>
      <c r="H88" s="1560"/>
      <c r="I88" s="1562"/>
      <c r="J88" s="1315"/>
      <c r="K88" s="1153" t="s">
        <v>1925</v>
      </c>
      <c r="L88" s="1532"/>
      <c r="M88" s="1519"/>
      <c r="N88" s="371" t="s">
        <v>2118</v>
      </c>
      <c r="O88" s="1536"/>
      <c r="P88" s="1573"/>
      <c r="Q88" s="1573"/>
      <c r="R88" s="1573"/>
      <c r="S88" s="1537"/>
    </row>
    <row r="89" spans="1:19" ht="6.6" customHeight="1">
      <c r="H89" s="1321"/>
      <c r="I89" s="1321"/>
      <c r="J89" s="1321"/>
      <c r="K89" s="1153"/>
      <c r="L89" s="1321"/>
      <c r="M89" s="1321"/>
      <c r="N89" s="1149"/>
      <c r="O89" s="1320"/>
      <c r="P89" s="1320"/>
      <c r="Q89" s="1153"/>
      <c r="R89" s="1320"/>
      <c r="S89" s="1320"/>
    </row>
    <row r="90" spans="1:19" s="363" customFormat="1" ht="13.15" customHeight="1">
      <c r="B90" s="366" t="s">
        <v>2120</v>
      </c>
      <c r="C90" s="366" t="s">
        <v>303</v>
      </c>
      <c r="H90" s="1506" t="s">
        <v>3724</v>
      </c>
      <c r="I90" s="1518"/>
      <c r="J90" s="1518"/>
      <c r="K90" s="1518"/>
      <c r="L90" s="1518"/>
      <c r="M90" s="1518"/>
      <c r="N90" s="1519"/>
      <c r="O90" s="1147" t="s">
        <v>2124</v>
      </c>
      <c r="P90" s="1147"/>
      <c r="Q90" s="1506" t="s">
        <v>3725</v>
      </c>
      <c r="R90" s="1518"/>
      <c r="S90" s="1519"/>
    </row>
    <row r="91" spans="1:19" s="363" customFormat="1" ht="13.15" customHeight="1">
      <c r="D91" s="407"/>
      <c r="E91" s="369" t="s">
        <v>1082</v>
      </c>
      <c r="F91" s="377"/>
      <c r="H91" s="1506" t="s">
        <v>3840</v>
      </c>
      <c r="I91" s="1518"/>
      <c r="J91" s="1518"/>
      <c r="K91" s="1518"/>
      <c r="L91" s="1518"/>
      <c r="M91" s="1518"/>
      <c r="N91" s="1519"/>
      <c r="O91" s="1147" t="s">
        <v>1869</v>
      </c>
      <c r="Q91" s="1506" t="s">
        <v>3726</v>
      </c>
      <c r="R91" s="1518"/>
      <c r="S91" s="1519"/>
    </row>
    <row r="92" spans="1:19" s="363" customFormat="1" ht="13.15" customHeight="1">
      <c r="D92" s="407"/>
      <c r="E92" s="369" t="s">
        <v>658</v>
      </c>
      <c r="H92" s="1506" t="s">
        <v>1281</v>
      </c>
      <c r="I92" s="1518"/>
      <c r="J92" s="1519"/>
      <c r="K92" s="1150" t="s">
        <v>2943</v>
      </c>
      <c r="L92" s="1506" t="s">
        <v>3839</v>
      </c>
      <c r="M92" s="1518"/>
      <c r="N92" s="1519"/>
      <c r="O92" s="1147" t="s">
        <v>1926</v>
      </c>
      <c r="Q92" s="1560">
        <v>4049493882</v>
      </c>
      <c r="R92" s="1561"/>
      <c r="S92" s="1562"/>
    </row>
    <row r="93" spans="1:19" s="363" customFormat="1" ht="13.15" customHeight="1">
      <c r="E93" s="369" t="s">
        <v>1922</v>
      </c>
      <c r="H93" s="1294" t="s">
        <v>901</v>
      </c>
      <c r="I93" s="394" t="s">
        <v>2374</v>
      </c>
      <c r="J93" s="1563">
        <v>303272806</v>
      </c>
      <c r="K93" s="1519"/>
      <c r="O93" s="1147" t="s">
        <v>2113</v>
      </c>
      <c r="Q93" s="1560">
        <v>4043761063</v>
      </c>
      <c r="R93" s="1561"/>
      <c r="S93" s="1562"/>
    </row>
    <row r="94" spans="1:19" s="363" customFormat="1" ht="13.15" customHeight="1">
      <c r="D94" s="407"/>
      <c r="E94" s="369" t="s">
        <v>2119</v>
      </c>
      <c r="H94" s="1560">
        <v>4049493882</v>
      </c>
      <c r="I94" s="1562"/>
      <c r="J94" s="1315"/>
      <c r="K94" s="1153" t="s">
        <v>1925</v>
      </c>
      <c r="L94" s="1532">
        <v>4049493880</v>
      </c>
      <c r="M94" s="1519"/>
      <c r="N94" s="371" t="s">
        <v>2118</v>
      </c>
      <c r="O94" s="1536" t="s">
        <v>3727</v>
      </c>
      <c r="P94" s="1573"/>
      <c r="Q94" s="1573"/>
      <c r="R94" s="1573"/>
      <c r="S94" s="1537"/>
    </row>
    <row r="95" spans="1:19" ht="6.6" customHeight="1">
      <c r="H95" s="1321"/>
      <c r="I95" s="1321"/>
      <c r="J95" s="1321"/>
      <c r="K95" s="1153"/>
      <c r="L95" s="1321"/>
      <c r="M95" s="1321"/>
      <c r="N95" s="1149"/>
      <c r="O95" s="1320"/>
      <c r="P95" s="1320"/>
      <c r="Q95" s="1153"/>
      <c r="R95" s="1320"/>
      <c r="S95" s="1320"/>
    </row>
    <row r="96" spans="1:19" s="363" customFormat="1" ht="13.15" customHeight="1">
      <c r="B96" s="366" t="s">
        <v>798</v>
      </c>
      <c r="C96" s="366" t="s">
        <v>304</v>
      </c>
      <c r="F96" s="383"/>
      <c r="H96" s="1642" t="s">
        <v>3835</v>
      </c>
      <c r="I96" s="1643"/>
      <c r="J96" s="1643"/>
      <c r="K96" s="1643"/>
      <c r="L96" s="1643"/>
      <c r="M96" s="1643"/>
      <c r="N96" s="1644"/>
      <c r="O96" s="1147" t="s">
        <v>2124</v>
      </c>
      <c r="P96" s="1147"/>
      <c r="Q96" s="1642" t="s">
        <v>3805</v>
      </c>
      <c r="R96" s="1645"/>
      <c r="S96" s="1644"/>
    </row>
    <row r="97" spans="2:19" s="363" customFormat="1" ht="13.15" customHeight="1">
      <c r="D97" s="407"/>
      <c r="E97" s="369" t="s">
        <v>1082</v>
      </c>
      <c r="F97" s="377"/>
      <c r="H97" s="1642" t="s">
        <v>3808</v>
      </c>
      <c r="I97" s="1643"/>
      <c r="J97" s="1643"/>
      <c r="K97" s="1643"/>
      <c r="L97" s="1643"/>
      <c r="M97" s="1643"/>
      <c r="N97" s="1644"/>
      <c r="O97" s="1147" t="s">
        <v>1869</v>
      </c>
      <c r="Q97" s="1642" t="s">
        <v>3806</v>
      </c>
      <c r="R97" s="1645"/>
      <c r="S97" s="1644"/>
    </row>
    <row r="98" spans="2:19" s="363" customFormat="1" ht="13.15" customHeight="1">
      <c r="D98" s="407"/>
      <c r="E98" s="369" t="s">
        <v>658</v>
      </c>
      <c r="H98" s="1642" t="s">
        <v>3809</v>
      </c>
      <c r="I98" s="1643"/>
      <c r="J98" s="1644"/>
      <c r="K98" s="1150"/>
      <c r="L98" s="1506" t="s">
        <v>3810</v>
      </c>
      <c r="M98" s="1518"/>
      <c r="N98" s="1519"/>
      <c r="O98" s="1147" t="s">
        <v>1926</v>
      </c>
      <c r="Q98" s="1646">
        <v>9014357720</v>
      </c>
      <c r="R98" s="1647"/>
      <c r="S98" s="1648"/>
    </row>
    <row r="99" spans="2:19" s="363" customFormat="1" ht="13.15" customHeight="1">
      <c r="D99" s="407"/>
      <c r="E99" s="369" t="s">
        <v>1922</v>
      </c>
      <c r="H99" s="1294" t="s">
        <v>1444</v>
      </c>
      <c r="I99" s="394" t="s">
        <v>2374</v>
      </c>
      <c r="J99" s="1563">
        <v>381182409</v>
      </c>
      <c r="K99" s="1519"/>
      <c r="O99" s="1147" t="s">
        <v>2113</v>
      </c>
      <c r="Q99" s="1646">
        <v>9015089195</v>
      </c>
      <c r="R99" s="1647"/>
      <c r="S99" s="1648"/>
    </row>
    <row r="100" spans="2:19" s="363" customFormat="1" ht="13.15" customHeight="1">
      <c r="D100" s="407"/>
      <c r="E100" s="369" t="s">
        <v>2119</v>
      </c>
      <c r="H100" s="1560">
        <v>9014357720</v>
      </c>
      <c r="I100" s="1562"/>
      <c r="J100" s="1315"/>
      <c r="K100" s="1153" t="s">
        <v>1925</v>
      </c>
      <c r="L100" s="1532">
        <v>9014357701</v>
      </c>
      <c r="M100" s="1519"/>
      <c r="N100" s="371" t="s">
        <v>2118</v>
      </c>
      <c r="O100" s="1649" t="s">
        <v>3807</v>
      </c>
      <c r="P100" s="1650"/>
      <c r="Q100" s="1650"/>
      <c r="R100" s="1650"/>
      <c r="S100" s="1651"/>
    </row>
    <row r="101" spans="2:19" ht="6.6" customHeight="1">
      <c r="H101" s="1321"/>
      <c r="I101" s="1321"/>
      <c r="J101" s="1321"/>
      <c r="K101" s="1153"/>
      <c r="L101" s="1321"/>
      <c r="M101" s="1321"/>
      <c r="N101" s="1149"/>
      <c r="O101" s="1320"/>
      <c r="P101" s="1320"/>
      <c r="Q101" s="1153"/>
      <c r="R101" s="1320"/>
      <c r="S101" s="1320"/>
    </row>
    <row r="102" spans="2:19" s="363" customFormat="1" ht="13.15" customHeight="1">
      <c r="B102" s="366" t="s">
        <v>2252</v>
      </c>
      <c r="C102" s="366" t="s">
        <v>305</v>
      </c>
      <c r="H102" s="1652" t="s">
        <v>3729</v>
      </c>
      <c r="I102" s="1653"/>
      <c r="J102" s="1653"/>
      <c r="K102" s="1653"/>
      <c r="L102" s="1653"/>
      <c r="M102" s="1653"/>
      <c r="N102" s="1654"/>
      <c r="O102" s="1147" t="s">
        <v>2124</v>
      </c>
      <c r="P102" s="1147"/>
      <c r="Q102" s="1652" t="s">
        <v>3731</v>
      </c>
      <c r="R102" s="1655"/>
      <c r="S102" s="1654"/>
    </row>
    <row r="103" spans="2:19" s="363" customFormat="1" ht="13.15" customHeight="1">
      <c r="D103" s="407"/>
      <c r="E103" s="369" t="s">
        <v>1082</v>
      </c>
      <c r="F103" s="377"/>
      <c r="H103" s="1652" t="s">
        <v>3730</v>
      </c>
      <c r="I103" s="1653"/>
      <c r="J103" s="1653"/>
      <c r="K103" s="1653"/>
      <c r="L103" s="1653"/>
      <c r="M103" s="1653"/>
      <c r="N103" s="1654"/>
      <c r="O103" s="1147" t="s">
        <v>1869</v>
      </c>
      <c r="Q103" s="1652" t="s">
        <v>3732</v>
      </c>
      <c r="R103" s="1655"/>
      <c r="S103" s="1654"/>
    </row>
    <row r="104" spans="2:19" s="363" customFormat="1" ht="13.15" customHeight="1">
      <c r="D104" s="407"/>
      <c r="E104" s="369" t="s">
        <v>658</v>
      </c>
      <c r="H104" s="1662" t="s">
        <v>1281</v>
      </c>
      <c r="I104" s="1663"/>
      <c r="J104" s="1664"/>
      <c r="K104" s="1150" t="s">
        <v>2943</v>
      </c>
      <c r="L104" s="1506" t="s">
        <v>3841</v>
      </c>
      <c r="M104" s="1518"/>
      <c r="N104" s="1519"/>
      <c r="O104" s="1147" t="s">
        <v>1926</v>
      </c>
      <c r="Q104" s="1656">
        <v>4048737014</v>
      </c>
      <c r="R104" s="1657"/>
      <c r="S104" s="1658"/>
    </row>
    <row r="105" spans="2:19" s="363" customFormat="1" ht="13.15" customHeight="1">
      <c r="D105" s="407"/>
      <c r="E105" s="369" t="s">
        <v>1922</v>
      </c>
      <c r="H105" s="1294" t="s">
        <v>901</v>
      </c>
      <c r="I105" s="394" t="s">
        <v>2374</v>
      </c>
      <c r="J105" s="1563">
        <v>303631031</v>
      </c>
      <c r="K105" s="1519"/>
      <c r="O105" s="1147" t="s">
        <v>2113</v>
      </c>
      <c r="Q105" s="1656">
        <v>4042340004</v>
      </c>
      <c r="R105" s="1657"/>
      <c r="S105" s="1658"/>
    </row>
    <row r="106" spans="2:19" ht="13.15" customHeight="1">
      <c r="E106" s="369" t="s">
        <v>2119</v>
      </c>
      <c r="F106" s="363"/>
      <c r="G106" s="363"/>
      <c r="H106" s="1560">
        <v>4048737014</v>
      </c>
      <c r="I106" s="1562"/>
      <c r="J106" s="1315"/>
      <c r="K106" s="1153" t="s">
        <v>1925</v>
      </c>
      <c r="L106" s="1532">
        <v>4048737015</v>
      </c>
      <c r="M106" s="1519"/>
      <c r="N106" s="371" t="s">
        <v>2118</v>
      </c>
      <c r="O106" s="1659" t="s">
        <v>3733</v>
      </c>
      <c r="P106" s="1660"/>
      <c r="Q106" s="1660"/>
      <c r="R106" s="1660"/>
      <c r="S106" s="1661"/>
    </row>
    <row r="107" spans="2:19" ht="6" customHeight="1">
      <c r="E107" s="369"/>
      <c r="F107" s="363"/>
      <c r="G107" s="363"/>
      <c r="H107" s="363"/>
      <c r="I107" s="363"/>
      <c r="J107" s="363"/>
      <c r="K107" s="363"/>
      <c r="L107" s="363"/>
      <c r="M107" s="363"/>
      <c r="N107" s="363"/>
      <c r="O107" s="363"/>
      <c r="P107" s="363"/>
      <c r="Q107" s="1153"/>
      <c r="R107" s="1153"/>
      <c r="S107" s="1323"/>
    </row>
    <row r="108" spans="2:19" ht="0.6" customHeight="1">
      <c r="E108" s="369"/>
      <c r="F108" s="363"/>
      <c r="G108" s="1157"/>
      <c r="H108" s="1319"/>
      <c r="I108" s="1319"/>
      <c r="J108" s="1319"/>
      <c r="K108" s="1149"/>
      <c r="L108" s="1319"/>
      <c r="M108" s="1319"/>
      <c r="N108" s="1149"/>
      <c r="O108" s="1320"/>
      <c r="P108" s="1320"/>
      <c r="Q108" s="1153"/>
      <c r="R108" s="1320"/>
      <c r="S108" s="1320"/>
    </row>
    <row r="109" spans="2:19" s="363" customFormat="1" ht="13.15" customHeight="1">
      <c r="B109" s="366" t="s">
        <v>1856</v>
      </c>
      <c r="C109" s="366" t="s">
        <v>306</v>
      </c>
      <c r="H109" s="1665" t="s">
        <v>3734</v>
      </c>
      <c r="I109" s="1666"/>
      <c r="J109" s="1666"/>
      <c r="K109" s="1666"/>
      <c r="L109" s="1666"/>
      <c r="M109" s="1666"/>
      <c r="N109" s="1667"/>
      <c r="O109" s="1147" t="s">
        <v>2124</v>
      </c>
      <c r="P109" s="1147"/>
      <c r="Q109" s="1670" t="s">
        <v>3736</v>
      </c>
      <c r="R109" s="1671"/>
      <c r="S109" s="1672"/>
    </row>
    <row r="110" spans="2:19" s="363" customFormat="1" ht="13.15" customHeight="1">
      <c r="D110" s="407"/>
      <c r="E110" s="369" t="s">
        <v>1082</v>
      </c>
      <c r="F110" s="377"/>
      <c r="H110" s="1665" t="s">
        <v>3735</v>
      </c>
      <c r="I110" s="1666"/>
      <c r="J110" s="1666"/>
      <c r="K110" s="1666"/>
      <c r="L110" s="1666"/>
      <c r="M110" s="1666"/>
      <c r="N110" s="1667"/>
      <c r="O110" s="1147" t="s">
        <v>1869</v>
      </c>
      <c r="Q110" s="1670" t="s">
        <v>3732</v>
      </c>
      <c r="R110" s="1671"/>
      <c r="S110" s="1672"/>
    </row>
    <row r="111" spans="2:19" s="363" customFormat="1" ht="13.15" customHeight="1">
      <c r="D111" s="407"/>
      <c r="E111" s="369" t="s">
        <v>658</v>
      </c>
      <c r="H111" s="1668" t="s">
        <v>1281</v>
      </c>
      <c r="I111" s="1663"/>
      <c r="J111" s="1669"/>
      <c r="K111" s="1150" t="s">
        <v>2943</v>
      </c>
      <c r="L111" s="1506" t="s">
        <v>3842</v>
      </c>
      <c r="M111" s="1518"/>
      <c r="N111" s="1519"/>
      <c r="O111" s="1147" t="s">
        <v>1926</v>
      </c>
      <c r="Q111" s="1673">
        <v>4048479447</v>
      </c>
      <c r="R111" s="1674"/>
      <c r="S111" s="1675"/>
    </row>
    <row r="112" spans="2:19" s="363" customFormat="1" ht="13.15" customHeight="1">
      <c r="D112" s="407"/>
      <c r="E112" s="369" t="s">
        <v>1922</v>
      </c>
      <c r="H112" s="1294" t="s">
        <v>901</v>
      </c>
      <c r="I112" s="394" t="s">
        <v>2374</v>
      </c>
      <c r="J112" s="1563">
        <v>303264276</v>
      </c>
      <c r="K112" s="1519"/>
      <c r="O112" s="1147" t="s">
        <v>2113</v>
      </c>
      <c r="Q112" s="1673">
        <v>6785760400</v>
      </c>
      <c r="R112" s="1674"/>
      <c r="S112" s="1675"/>
    </row>
    <row r="113" spans="1:19" ht="13.15" customHeight="1">
      <c r="E113" s="369" t="s">
        <v>2119</v>
      </c>
      <c r="F113" s="363"/>
      <c r="G113" s="363"/>
      <c r="H113" s="1560">
        <v>4048479447</v>
      </c>
      <c r="I113" s="1562"/>
      <c r="J113" s="1315"/>
      <c r="K113" s="1153" t="s">
        <v>1925</v>
      </c>
      <c r="L113" s="1532">
        <v>4048477765</v>
      </c>
      <c r="M113" s="1519"/>
      <c r="N113" s="371" t="s">
        <v>2118</v>
      </c>
      <c r="O113" s="1676" t="s">
        <v>3737</v>
      </c>
      <c r="P113" s="1677"/>
      <c r="Q113" s="1677"/>
      <c r="R113" s="1677"/>
      <c r="S113" s="1678"/>
    </row>
    <row r="114" spans="1:19" ht="6.6" customHeight="1">
      <c r="E114" s="369"/>
      <c r="F114" s="363"/>
      <c r="G114" s="1157"/>
      <c r="H114" s="1321"/>
      <c r="I114" s="1321"/>
      <c r="J114" s="1321"/>
      <c r="K114" s="1153"/>
      <c r="L114" s="1321"/>
      <c r="M114" s="1321"/>
      <c r="N114" s="1149"/>
      <c r="O114" s="1320"/>
      <c r="P114" s="1320"/>
      <c r="Q114" s="1153"/>
      <c r="R114" s="1320"/>
      <c r="S114" s="1320"/>
    </row>
    <row r="115" spans="1:19" s="363" customFormat="1" ht="13.15" customHeight="1">
      <c r="B115" s="366" t="s">
        <v>1857</v>
      </c>
      <c r="C115" s="366" t="s">
        <v>307</v>
      </c>
      <c r="H115" s="1506" t="s">
        <v>3843</v>
      </c>
      <c r="I115" s="1518"/>
      <c r="J115" s="1518"/>
      <c r="K115" s="1518"/>
      <c r="L115" s="1518"/>
      <c r="M115" s="1518"/>
      <c r="N115" s="1519"/>
      <c r="O115" s="1147" t="s">
        <v>2124</v>
      </c>
      <c r="P115" s="1147"/>
      <c r="Q115" s="1506" t="s">
        <v>3738</v>
      </c>
      <c r="R115" s="1518"/>
      <c r="S115" s="1519"/>
    </row>
    <row r="116" spans="1:19" s="363" customFormat="1" ht="13.15" customHeight="1">
      <c r="D116" s="407"/>
      <c r="E116" s="369" t="s">
        <v>1082</v>
      </c>
      <c r="F116" s="377"/>
      <c r="H116" s="1506" t="s">
        <v>3811</v>
      </c>
      <c r="I116" s="1518"/>
      <c r="J116" s="1518"/>
      <c r="K116" s="1518"/>
      <c r="L116" s="1518"/>
      <c r="M116" s="1518"/>
      <c r="N116" s="1519"/>
      <c r="O116" s="1147" t="s">
        <v>1869</v>
      </c>
      <c r="Q116" s="1506" t="s">
        <v>3702</v>
      </c>
      <c r="R116" s="1518"/>
      <c r="S116" s="1519"/>
    </row>
    <row r="117" spans="1:19" s="363" customFormat="1" ht="13.15" customHeight="1">
      <c r="D117" s="407"/>
      <c r="E117" s="369" t="s">
        <v>658</v>
      </c>
      <c r="H117" s="1506" t="s">
        <v>1814</v>
      </c>
      <c r="I117" s="1518"/>
      <c r="J117" s="1519"/>
      <c r="K117" s="1150" t="s">
        <v>2943</v>
      </c>
      <c r="L117" s="1506" t="s">
        <v>3812</v>
      </c>
      <c r="M117" s="1518"/>
      <c r="N117" s="1519"/>
      <c r="O117" s="1147" t="s">
        <v>1926</v>
      </c>
      <c r="Q117" s="1560">
        <v>2292441188</v>
      </c>
      <c r="R117" s="1561"/>
      <c r="S117" s="1562"/>
    </row>
    <row r="118" spans="1:19" s="363" customFormat="1" ht="13.15" customHeight="1">
      <c r="D118" s="412"/>
      <c r="E118" s="369" t="s">
        <v>1922</v>
      </c>
      <c r="H118" s="1294" t="s">
        <v>901</v>
      </c>
      <c r="I118" s="394" t="s">
        <v>2374</v>
      </c>
      <c r="J118" s="1563">
        <v>316020000</v>
      </c>
      <c r="K118" s="1519"/>
      <c r="O118" s="1147" t="s">
        <v>2113</v>
      </c>
      <c r="Q118" s="1560">
        <v>2295611863</v>
      </c>
      <c r="R118" s="1561"/>
      <c r="S118" s="1562"/>
    </row>
    <row r="119" spans="1:19" s="363" customFormat="1" ht="13.15" customHeight="1">
      <c r="D119" s="412"/>
      <c r="E119" s="369" t="s">
        <v>2119</v>
      </c>
      <c r="H119" s="1560">
        <v>2292441188</v>
      </c>
      <c r="I119" s="1562"/>
      <c r="J119" s="1315"/>
      <c r="K119" s="1153" t="s">
        <v>1925</v>
      </c>
      <c r="L119" s="1532">
        <v>2292530004</v>
      </c>
      <c r="M119" s="1519"/>
      <c r="N119" s="371" t="s">
        <v>2118</v>
      </c>
      <c r="O119" s="1536" t="s">
        <v>3815</v>
      </c>
      <c r="P119" s="1573"/>
      <c r="Q119" s="1573"/>
      <c r="R119" s="1573"/>
      <c r="S119" s="1537"/>
    </row>
    <row r="120" spans="1:19" ht="6" customHeight="1"/>
    <row r="121" spans="1:19" s="363" customFormat="1" ht="13.15" customHeight="1">
      <c r="A121" s="366" t="s">
        <v>1915</v>
      </c>
      <c r="B121" s="366" t="s">
        <v>2784</v>
      </c>
      <c r="F121" s="366"/>
      <c r="G121" s="1153"/>
      <c r="H121" s="1153"/>
      <c r="I121" s="1153"/>
      <c r="J121" s="1153"/>
      <c r="K121" s="1153"/>
      <c r="L121" s="1153"/>
      <c r="M121" s="1153"/>
      <c r="N121" s="1153"/>
      <c r="O121" s="1153"/>
      <c r="P121" s="1153"/>
      <c r="Q121" s="1150"/>
    </row>
    <row r="122" spans="1:19" s="363" customFormat="1" ht="3" customHeight="1">
      <c r="A122" s="366"/>
      <c r="B122" s="366"/>
      <c r="F122" s="366"/>
      <c r="G122" s="1153"/>
      <c r="H122" s="1153"/>
      <c r="I122" s="1153"/>
      <c r="J122" s="1153"/>
      <c r="K122" s="1153"/>
      <c r="L122" s="1153"/>
      <c r="M122" s="1153"/>
      <c r="N122" s="1153"/>
      <c r="O122" s="1153"/>
      <c r="P122" s="1153"/>
      <c r="Q122" s="1150"/>
    </row>
    <row r="123" spans="1:19" ht="13.15" customHeight="1">
      <c r="B123" s="366" t="s">
        <v>2117</v>
      </c>
      <c r="C123" s="366" t="s">
        <v>3381</v>
      </c>
    </row>
    <row r="124" spans="1:19" ht="13.15" customHeight="1">
      <c r="C124" s="383" t="s">
        <v>3382</v>
      </c>
      <c r="H124" s="443" t="s">
        <v>2680</v>
      </c>
      <c r="I124" s="383" t="s">
        <v>3385</v>
      </c>
    </row>
    <row r="125" spans="1:19" s="363" customFormat="1" ht="13.15" customHeight="1">
      <c r="C125" s="717" t="s">
        <v>2121</v>
      </c>
      <c r="D125" s="363" t="s">
        <v>3383</v>
      </c>
      <c r="H125" s="1324" t="s">
        <v>3698</v>
      </c>
      <c r="I125" s="1701" t="s">
        <v>3752</v>
      </c>
      <c r="J125" s="1702"/>
      <c r="K125" s="1702"/>
      <c r="L125" s="1702"/>
      <c r="M125" s="1702"/>
      <c r="N125" s="1702"/>
      <c r="O125" s="1702"/>
      <c r="P125" s="1702"/>
      <c r="Q125" s="1702"/>
      <c r="R125" s="1702"/>
      <c r="S125" s="1703"/>
    </row>
    <row r="126" spans="1:19" s="363" customFormat="1" ht="13.15" customHeight="1">
      <c r="C126" s="717" t="s">
        <v>2123</v>
      </c>
      <c r="D126" s="363" t="s">
        <v>3514</v>
      </c>
      <c r="H126" s="1325" t="s">
        <v>3699</v>
      </c>
      <c r="I126" s="1679"/>
      <c r="J126" s="1680"/>
      <c r="K126" s="1680"/>
      <c r="L126" s="1680"/>
      <c r="M126" s="1680"/>
      <c r="N126" s="1680"/>
      <c r="O126" s="1680"/>
      <c r="P126" s="1680"/>
      <c r="Q126" s="1680"/>
      <c r="R126" s="1680"/>
      <c r="S126" s="1681"/>
    </row>
    <row r="127" spans="1:19" s="363" customFormat="1" ht="13.15" customHeight="1">
      <c r="C127" s="717" t="s">
        <v>2706</v>
      </c>
      <c r="D127" s="363" t="s">
        <v>3573</v>
      </c>
      <c r="H127" s="1325" t="s">
        <v>3699</v>
      </c>
      <c r="I127" s="1679"/>
      <c r="J127" s="1680"/>
      <c r="K127" s="1680"/>
      <c r="L127" s="1680"/>
      <c r="M127" s="1680"/>
      <c r="N127" s="1680"/>
      <c r="O127" s="1680"/>
      <c r="P127" s="1680"/>
      <c r="Q127" s="1680"/>
      <c r="R127" s="1680"/>
      <c r="S127" s="1681"/>
    </row>
    <row r="128" spans="1:19" s="363" customFormat="1" ht="13.15" customHeight="1">
      <c r="C128" s="717" t="s">
        <v>1300</v>
      </c>
      <c r="D128" s="363" t="s">
        <v>3515</v>
      </c>
      <c r="H128" s="1325" t="s">
        <v>3698</v>
      </c>
      <c r="I128" s="1701" t="s">
        <v>3856</v>
      </c>
      <c r="J128" s="1702"/>
      <c r="K128" s="1702"/>
      <c r="L128" s="1702"/>
      <c r="M128" s="1702"/>
      <c r="N128" s="1702"/>
      <c r="O128" s="1702"/>
      <c r="P128" s="1702"/>
      <c r="Q128" s="1702"/>
      <c r="R128" s="1702"/>
      <c r="S128" s="1703"/>
    </row>
    <row r="129" spans="1:19" s="363" customFormat="1" ht="13.15" customHeight="1">
      <c r="C129" s="717" t="s">
        <v>1301</v>
      </c>
      <c r="D129" s="363" t="s">
        <v>3516</v>
      </c>
      <c r="H129" s="1325" t="s">
        <v>3699</v>
      </c>
      <c r="I129" s="1679"/>
      <c r="J129" s="1680"/>
      <c r="K129" s="1680"/>
      <c r="L129" s="1680"/>
      <c r="M129" s="1680"/>
      <c r="N129" s="1680"/>
      <c r="O129" s="1680"/>
      <c r="P129" s="1680"/>
      <c r="Q129" s="1680"/>
      <c r="R129" s="1680"/>
      <c r="S129" s="1681"/>
    </row>
    <row r="130" spans="1:19" s="363" customFormat="1" ht="13.15" customHeight="1">
      <c r="C130" s="717" t="s">
        <v>2013</v>
      </c>
      <c r="D130" s="363" t="s">
        <v>3384</v>
      </c>
      <c r="H130" s="1325" t="s">
        <v>3699</v>
      </c>
      <c r="I130" s="1679"/>
      <c r="J130" s="1680"/>
      <c r="K130" s="1680"/>
      <c r="L130" s="1680"/>
      <c r="M130" s="1680"/>
      <c r="N130" s="1680"/>
      <c r="O130" s="1680"/>
      <c r="P130" s="1680"/>
      <c r="Q130" s="1680"/>
      <c r="R130" s="1680"/>
      <c r="S130" s="1681"/>
    </row>
    <row r="131" spans="1:19" s="363" customFormat="1" ht="13.15" customHeight="1">
      <c r="C131" s="717" t="s">
        <v>534</v>
      </c>
      <c r="D131" s="363" t="s">
        <v>3386</v>
      </c>
      <c r="H131" s="1325" t="s">
        <v>3699</v>
      </c>
      <c r="I131" s="1679"/>
      <c r="J131" s="1680"/>
      <c r="K131" s="1680"/>
      <c r="L131" s="1680"/>
      <c r="M131" s="1680"/>
      <c r="N131" s="1680"/>
      <c r="O131" s="1680"/>
      <c r="P131" s="1680"/>
      <c r="Q131" s="1680"/>
      <c r="R131" s="1680"/>
      <c r="S131" s="1681"/>
    </row>
    <row r="132" spans="1:19" s="363" customFormat="1" ht="13.15" customHeight="1">
      <c r="C132" s="717" t="s">
        <v>535</v>
      </c>
      <c r="D132" s="363" t="s">
        <v>1709</v>
      </c>
      <c r="H132" s="1326"/>
      <c r="I132" s="1704"/>
      <c r="J132" s="1705"/>
      <c r="K132" s="1705"/>
      <c r="L132" s="1705"/>
      <c r="M132" s="1705"/>
      <c r="N132" s="1705"/>
      <c r="O132" s="1705"/>
      <c r="P132" s="1705"/>
      <c r="Q132" s="1705"/>
      <c r="R132" s="1705"/>
      <c r="S132" s="1706"/>
    </row>
    <row r="133" spans="1:19" s="363" customFormat="1" ht="13.15" customHeight="1">
      <c r="A133" s="366" t="s">
        <v>1915</v>
      </c>
      <c r="B133" s="366" t="s">
        <v>3407</v>
      </c>
      <c r="F133" s="366"/>
      <c r="G133" s="1153"/>
      <c r="H133" s="1153"/>
      <c r="I133" s="1153"/>
      <c r="J133" s="1153"/>
      <c r="K133" s="1153"/>
      <c r="L133" s="1153"/>
      <c r="M133" s="1153"/>
      <c r="N133" s="1153"/>
      <c r="O133" s="1153"/>
      <c r="P133" s="1153"/>
      <c r="Q133" s="1150"/>
    </row>
    <row r="134" spans="1:19" s="363" customFormat="1" ht="6.6" customHeight="1">
      <c r="A134" s="366"/>
      <c r="B134" s="366"/>
      <c r="F134" s="366"/>
      <c r="G134" s="1153"/>
      <c r="H134" s="1153"/>
      <c r="I134" s="1153"/>
      <c r="J134" s="1153"/>
      <c r="K134" s="1153"/>
      <c r="L134" s="1153"/>
      <c r="M134" s="1153"/>
      <c r="N134" s="1153"/>
      <c r="O134" s="1153"/>
      <c r="P134" s="1153"/>
      <c r="Q134" s="1150"/>
    </row>
    <row r="135" spans="1:19" ht="13.15" customHeight="1">
      <c r="B135" s="366" t="s">
        <v>2120</v>
      </c>
      <c r="C135" s="366" t="s">
        <v>3387</v>
      </c>
    </row>
    <row r="136" spans="1:19" s="363" customFormat="1" ht="6.6" customHeight="1">
      <c r="A136" s="366"/>
      <c r="B136" s="366"/>
      <c r="F136" s="366"/>
      <c r="G136" s="1153"/>
      <c r="H136" s="1153"/>
      <c r="I136" s="1153"/>
      <c r="J136" s="1153"/>
      <c r="K136" s="1153"/>
      <c r="L136" s="1153"/>
      <c r="M136" s="1153"/>
      <c r="N136" s="1153"/>
      <c r="O136" s="1153"/>
      <c r="P136" s="1153"/>
      <c r="Q136" s="1150"/>
    </row>
    <row r="137" spans="1:19" s="363" customFormat="1" ht="8.25" customHeight="1">
      <c r="A137" s="1592" t="s">
        <v>680</v>
      </c>
      <c r="B137" s="1621"/>
      <c r="C137" s="1621"/>
      <c r="D137" s="1621"/>
      <c r="E137" s="1593"/>
      <c r="F137" s="1625" t="s">
        <v>3567</v>
      </c>
      <c r="G137" s="1626"/>
      <c r="H137" s="1629" t="s">
        <v>3568</v>
      </c>
      <c r="I137" s="1630"/>
      <c r="J137" s="1630"/>
      <c r="K137" s="1630"/>
      <c r="L137" s="1682" t="s">
        <v>3569</v>
      </c>
      <c r="M137" s="1683"/>
      <c r="N137" s="1683"/>
      <c r="O137" s="1684"/>
      <c r="P137" s="1682" t="s">
        <v>3570</v>
      </c>
      <c r="Q137" s="1707"/>
      <c r="R137" s="1695" t="s">
        <v>3571</v>
      </c>
      <c r="S137" s="1696"/>
    </row>
    <row r="138" spans="1:19" s="363" customFormat="1" ht="8.25" customHeight="1">
      <c r="A138" s="1595"/>
      <c r="B138" s="1622"/>
      <c r="C138" s="1622"/>
      <c r="D138" s="1622"/>
      <c r="E138" s="1597"/>
      <c r="F138" s="1627"/>
      <c r="G138" s="1628"/>
      <c r="H138" s="1631"/>
      <c r="I138" s="1632"/>
      <c r="J138" s="1632"/>
      <c r="K138" s="1632"/>
      <c r="L138" s="1685"/>
      <c r="M138" s="1686"/>
      <c r="N138" s="1686"/>
      <c r="O138" s="1687"/>
      <c r="P138" s="1708"/>
      <c r="Q138" s="1709"/>
      <c r="R138" s="1685"/>
      <c r="S138" s="1697"/>
    </row>
    <row r="139" spans="1:19" s="363" customFormat="1" ht="8.25" customHeight="1">
      <c r="A139" s="1595"/>
      <c r="B139" s="1622"/>
      <c r="C139" s="1622"/>
      <c r="D139" s="1622"/>
      <c r="E139" s="1597"/>
      <c r="F139" s="1627"/>
      <c r="G139" s="1628"/>
      <c r="H139" s="1631"/>
      <c r="I139" s="1632"/>
      <c r="J139" s="1632"/>
      <c r="K139" s="1632"/>
      <c r="L139" s="1685"/>
      <c r="M139" s="1686"/>
      <c r="N139" s="1686"/>
      <c r="O139" s="1687"/>
      <c r="P139" s="1708"/>
      <c r="Q139" s="1709"/>
      <c r="R139" s="1698"/>
      <c r="S139" s="1697"/>
    </row>
    <row r="140" spans="1:19" s="363" customFormat="1" ht="8.25" customHeight="1">
      <c r="A140" s="1595"/>
      <c r="B140" s="1622"/>
      <c r="C140" s="1622"/>
      <c r="D140" s="1622"/>
      <c r="E140" s="1597"/>
      <c r="F140" s="1627"/>
      <c r="G140" s="1628"/>
      <c r="H140" s="1631"/>
      <c r="I140" s="1632"/>
      <c r="J140" s="1632"/>
      <c r="K140" s="1632"/>
      <c r="L140" s="1685"/>
      <c r="M140" s="1686"/>
      <c r="N140" s="1686"/>
      <c r="O140" s="1687"/>
      <c r="P140" s="1708"/>
      <c r="Q140" s="1709"/>
      <c r="R140" s="1698"/>
      <c r="S140" s="1697"/>
    </row>
    <row r="141" spans="1:19" s="363" customFormat="1" ht="8.25" customHeight="1">
      <c r="A141" s="1623"/>
      <c r="B141" s="1570"/>
      <c r="C141" s="1570"/>
      <c r="D141" s="1570"/>
      <c r="E141" s="1624"/>
      <c r="F141" s="1627"/>
      <c r="G141" s="1628"/>
      <c r="H141" s="1633"/>
      <c r="I141" s="1634"/>
      <c r="J141" s="1634"/>
      <c r="K141" s="1634"/>
      <c r="L141" s="1688"/>
      <c r="M141" s="1689"/>
      <c r="N141" s="1689"/>
      <c r="O141" s="1690"/>
      <c r="P141" s="1710"/>
      <c r="Q141" s="1711"/>
      <c r="R141" s="1699"/>
      <c r="S141" s="1700"/>
    </row>
    <row r="142" spans="1:19" s="363" customFormat="1" ht="13.5" customHeight="1">
      <c r="A142" s="1618" t="s">
        <v>3558</v>
      </c>
      <c r="B142" s="1619"/>
      <c r="C142" s="1619"/>
      <c r="D142" s="1619"/>
      <c r="E142" s="1620"/>
      <c r="F142" s="1635" t="s">
        <v>3699</v>
      </c>
      <c r="G142" s="1635"/>
      <c r="H142" s="1635" t="s">
        <v>3699</v>
      </c>
      <c r="I142" s="1635"/>
      <c r="J142" s="1635"/>
      <c r="K142" s="1635"/>
      <c r="L142" s="1635" t="s">
        <v>3699</v>
      </c>
      <c r="M142" s="1635"/>
      <c r="N142" s="1635"/>
      <c r="O142" s="1635"/>
      <c r="P142" s="1691" t="s">
        <v>3739</v>
      </c>
      <c r="Q142" s="1692"/>
      <c r="R142" s="1693">
        <v>1E-4</v>
      </c>
      <c r="S142" s="1694"/>
    </row>
    <row r="143" spans="1:19" s="363" customFormat="1" ht="13.5" customHeight="1">
      <c r="A143" s="1616" t="s">
        <v>3559</v>
      </c>
      <c r="B143" s="1535"/>
      <c r="C143" s="1535"/>
      <c r="D143" s="1535"/>
      <c r="E143" s="1617"/>
      <c r="F143" s="1615"/>
      <c r="G143" s="1615"/>
      <c r="H143" s="1615"/>
      <c r="I143" s="1615"/>
      <c r="J143" s="1615"/>
      <c r="K143" s="1615"/>
      <c r="L143" s="1615"/>
      <c r="M143" s="1615"/>
      <c r="N143" s="1615"/>
      <c r="O143" s="1615"/>
      <c r="P143" s="1712"/>
      <c r="Q143" s="1713"/>
      <c r="R143" s="1714"/>
      <c r="S143" s="1715"/>
    </row>
    <row r="144" spans="1:19" s="363" customFormat="1" ht="13.5" customHeight="1">
      <c r="A144" s="1616" t="s">
        <v>3560</v>
      </c>
      <c r="B144" s="1535"/>
      <c r="C144" s="1535"/>
      <c r="D144" s="1535"/>
      <c r="E144" s="1617"/>
      <c r="F144" s="1615"/>
      <c r="G144" s="1615"/>
      <c r="H144" s="1615"/>
      <c r="I144" s="1615"/>
      <c r="J144" s="1615"/>
      <c r="K144" s="1615"/>
      <c r="L144" s="1615"/>
      <c r="M144" s="1615"/>
      <c r="N144" s="1615"/>
      <c r="O144" s="1615"/>
      <c r="P144" s="1712"/>
      <c r="Q144" s="1713"/>
      <c r="R144" s="1714"/>
      <c r="S144" s="1715"/>
    </row>
    <row r="145" spans="1:24" s="363" customFormat="1" ht="13.5" customHeight="1">
      <c r="A145" s="1616" t="s">
        <v>799</v>
      </c>
      <c r="B145" s="1535"/>
      <c r="C145" s="1535"/>
      <c r="D145" s="1535"/>
      <c r="E145" s="1617"/>
      <c r="F145" s="1615" t="s">
        <v>3699</v>
      </c>
      <c r="G145" s="1615"/>
      <c r="H145" s="1615" t="s">
        <v>3699</v>
      </c>
      <c r="I145" s="1615"/>
      <c r="J145" s="1615"/>
      <c r="K145" s="1615"/>
      <c r="L145" s="1615" t="s">
        <v>3699</v>
      </c>
      <c r="M145" s="1615"/>
      <c r="N145" s="1615"/>
      <c r="O145" s="1615"/>
      <c r="P145" s="1712" t="s">
        <v>3739</v>
      </c>
      <c r="Q145" s="1713"/>
      <c r="R145" s="1714">
        <v>0.99980000000000002</v>
      </c>
      <c r="S145" s="1715"/>
    </row>
    <row r="146" spans="1:24" s="363" customFormat="1" ht="13.5" customHeight="1">
      <c r="A146" s="1616" t="s">
        <v>800</v>
      </c>
      <c r="B146" s="1535"/>
      <c r="C146" s="1535"/>
      <c r="D146" s="1535"/>
      <c r="E146" s="1617"/>
      <c r="F146" s="1615" t="s">
        <v>3699</v>
      </c>
      <c r="G146" s="1615"/>
      <c r="H146" s="1615" t="s">
        <v>3699</v>
      </c>
      <c r="I146" s="1615"/>
      <c r="J146" s="1615"/>
      <c r="K146" s="1615"/>
      <c r="L146" s="1615" t="s">
        <v>3699</v>
      </c>
      <c r="M146" s="1615"/>
      <c r="N146" s="1615"/>
      <c r="O146" s="1615"/>
      <c r="P146" s="1712" t="s">
        <v>3739</v>
      </c>
      <c r="Q146" s="1713"/>
      <c r="R146" s="1714">
        <v>1E-4</v>
      </c>
      <c r="S146" s="1715"/>
    </row>
    <row r="147" spans="1:24" s="363" customFormat="1" ht="13.5" customHeight="1">
      <c r="A147" s="1616" t="s">
        <v>3561</v>
      </c>
      <c r="B147" s="1535"/>
      <c r="C147" s="1535"/>
      <c r="D147" s="1535"/>
      <c r="E147" s="1617"/>
      <c r="F147" s="1615"/>
      <c r="G147" s="1615"/>
      <c r="H147" s="1615"/>
      <c r="I147" s="1615"/>
      <c r="J147" s="1615"/>
      <c r="K147" s="1615"/>
      <c r="L147" s="1615"/>
      <c r="M147" s="1615"/>
      <c r="N147" s="1615"/>
      <c r="O147" s="1615"/>
      <c r="P147" s="1712"/>
      <c r="Q147" s="1713"/>
      <c r="R147" s="1714"/>
      <c r="S147" s="1715"/>
    </row>
    <row r="148" spans="1:24" s="363" customFormat="1" ht="13.5" customHeight="1">
      <c r="A148" s="1616" t="s">
        <v>697</v>
      </c>
      <c r="B148" s="1535"/>
      <c r="C148" s="1535"/>
      <c r="D148" s="1535"/>
      <c r="E148" s="1617"/>
      <c r="F148" s="1615" t="s">
        <v>3699</v>
      </c>
      <c r="G148" s="1615"/>
      <c r="H148" s="1615" t="s">
        <v>3699</v>
      </c>
      <c r="I148" s="1615"/>
      <c r="J148" s="1615"/>
      <c r="K148" s="1615"/>
      <c r="L148" s="1615" t="s">
        <v>3699</v>
      </c>
      <c r="M148" s="1615"/>
      <c r="N148" s="1615"/>
      <c r="O148" s="1615"/>
      <c r="P148" s="1712" t="s">
        <v>3739</v>
      </c>
      <c r="Q148" s="1713"/>
      <c r="R148" s="1714"/>
      <c r="S148" s="1715"/>
    </row>
    <row r="149" spans="1:24" s="363" customFormat="1" ht="13.5" customHeight="1">
      <c r="A149" s="1616" t="s">
        <v>3562</v>
      </c>
      <c r="B149" s="1535"/>
      <c r="C149" s="1535"/>
      <c r="D149" s="1535"/>
      <c r="E149" s="1617"/>
      <c r="F149" s="1615"/>
      <c r="G149" s="1615"/>
      <c r="H149" s="1615"/>
      <c r="I149" s="1615"/>
      <c r="J149" s="1615"/>
      <c r="K149" s="1615"/>
      <c r="L149" s="1615"/>
      <c r="M149" s="1615"/>
      <c r="N149" s="1615"/>
      <c r="O149" s="1615"/>
      <c r="P149" s="1712"/>
      <c r="Q149" s="1713"/>
      <c r="R149" s="1714"/>
      <c r="S149" s="1715"/>
    </row>
    <row r="150" spans="1:24" s="363" customFormat="1" ht="13.5" customHeight="1">
      <c r="A150" s="1616" t="s">
        <v>3563</v>
      </c>
      <c r="B150" s="1535"/>
      <c r="C150" s="1535"/>
      <c r="D150" s="1535"/>
      <c r="E150" s="1617"/>
      <c r="F150" s="1615"/>
      <c r="G150" s="1615"/>
      <c r="H150" s="1615"/>
      <c r="I150" s="1615"/>
      <c r="J150" s="1615"/>
      <c r="K150" s="1615"/>
      <c r="L150" s="1615"/>
      <c r="M150" s="1615"/>
      <c r="N150" s="1615"/>
      <c r="O150" s="1615"/>
      <c r="P150" s="1712"/>
      <c r="Q150" s="1713"/>
      <c r="R150" s="1714"/>
      <c r="S150" s="1715"/>
    </row>
    <row r="151" spans="1:24" s="363" customFormat="1" ht="13.5" customHeight="1">
      <c r="A151" s="1616" t="s">
        <v>3565</v>
      </c>
      <c r="B151" s="1535"/>
      <c r="C151" s="1535"/>
      <c r="D151" s="1535"/>
      <c r="E151" s="1617"/>
      <c r="F151" s="1615"/>
      <c r="G151" s="1615"/>
      <c r="H151" s="1615"/>
      <c r="I151" s="1615"/>
      <c r="J151" s="1615"/>
      <c r="K151" s="1615"/>
      <c r="L151" s="1615"/>
      <c r="M151" s="1615"/>
      <c r="N151" s="1615"/>
      <c r="O151" s="1615"/>
      <c r="P151" s="1712"/>
      <c r="Q151" s="1713"/>
      <c r="R151" s="1714"/>
      <c r="S151" s="1715"/>
    </row>
    <row r="152" spans="1:24" s="363" customFormat="1" ht="13.5" customHeight="1">
      <c r="A152" s="1616" t="s">
        <v>3564</v>
      </c>
      <c r="B152" s="1535"/>
      <c r="C152" s="1535"/>
      <c r="D152" s="1535"/>
      <c r="E152" s="1617"/>
      <c r="F152" s="1615"/>
      <c r="G152" s="1615"/>
      <c r="H152" s="1615"/>
      <c r="I152" s="1615"/>
      <c r="J152" s="1615"/>
      <c r="K152" s="1615"/>
      <c r="L152" s="1615"/>
      <c r="M152" s="1615"/>
      <c r="N152" s="1615"/>
      <c r="O152" s="1615"/>
      <c r="P152" s="1712"/>
      <c r="Q152" s="1713"/>
      <c r="R152" s="1714"/>
      <c r="S152" s="1715"/>
    </row>
    <row r="153" spans="1:24" s="363" customFormat="1" ht="13.5" customHeight="1">
      <c r="A153" s="1616" t="s">
        <v>1634</v>
      </c>
      <c r="B153" s="1535"/>
      <c r="C153" s="1535"/>
      <c r="D153" s="1535"/>
      <c r="E153" s="1617"/>
      <c r="F153" s="1615" t="s">
        <v>3699</v>
      </c>
      <c r="G153" s="1615"/>
      <c r="H153" s="1615" t="s">
        <v>3699</v>
      </c>
      <c r="I153" s="1615"/>
      <c r="J153" s="1615"/>
      <c r="K153" s="1615"/>
      <c r="L153" s="1615" t="s">
        <v>3699</v>
      </c>
      <c r="M153" s="1615"/>
      <c r="N153" s="1615"/>
      <c r="O153" s="1615"/>
      <c r="P153" s="1712" t="s">
        <v>3739</v>
      </c>
      <c r="Q153" s="1713"/>
      <c r="R153" s="1714"/>
      <c r="S153" s="1715"/>
    </row>
    <row r="154" spans="1:24" s="363" customFormat="1" ht="13.5" customHeight="1">
      <c r="A154" s="1722" t="s">
        <v>3566</v>
      </c>
      <c r="B154" s="1723"/>
      <c r="C154" s="1723"/>
      <c r="D154" s="1723"/>
      <c r="E154" s="1724"/>
      <c r="F154" s="1725" t="s">
        <v>3699</v>
      </c>
      <c r="G154" s="1725"/>
      <c r="H154" s="1725" t="s">
        <v>3699</v>
      </c>
      <c r="I154" s="1725"/>
      <c r="J154" s="1725"/>
      <c r="K154" s="1725"/>
      <c r="L154" s="1725" t="s">
        <v>3699</v>
      </c>
      <c r="M154" s="1725"/>
      <c r="N154" s="1725"/>
      <c r="O154" s="1725"/>
      <c r="P154" s="1718" t="s">
        <v>3739</v>
      </c>
      <c r="Q154" s="1719"/>
      <c r="R154" s="1720"/>
      <c r="S154" s="1721"/>
    </row>
    <row r="155" spans="1:24" s="1157" customFormat="1" ht="13.9" customHeight="1">
      <c r="G155" s="375"/>
      <c r="H155" s="375"/>
      <c r="I155" s="375"/>
      <c r="J155" s="1153"/>
      <c r="K155" s="1153"/>
      <c r="L155" s="1153"/>
      <c r="M155" s="1153"/>
      <c r="P155" s="373"/>
      <c r="Q155" s="390" t="s">
        <v>571</v>
      </c>
      <c r="R155" s="1716">
        <f>SUM(R142:S154)</f>
        <v>1</v>
      </c>
      <c r="S155" s="1717"/>
    </row>
    <row r="156" spans="1:24" s="1157" customFormat="1" ht="12" customHeight="1">
      <c r="G156" s="375"/>
      <c r="H156" s="375"/>
      <c r="I156" s="375"/>
      <c r="J156" s="1153"/>
      <c r="K156" s="1153"/>
      <c r="L156" s="1153"/>
      <c r="M156" s="1153"/>
      <c r="P156" s="373"/>
      <c r="R156" s="364"/>
      <c r="S156" s="414"/>
    </row>
    <row r="157" spans="1:24" ht="12" customHeight="1">
      <c r="A157" s="392" t="s">
        <v>1917</v>
      </c>
      <c r="B157" s="406"/>
      <c r="C157" s="392" t="s">
        <v>607</v>
      </c>
      <c r="N157" s="392" t="s">
        <v>562</v>
      </c>
      <c r="O157" s="392" t="s">
        <v>82</v>
      </c>
    </row>
    <row r="158" spans="1:24" ht="3.6" customHeight="1">
      <c r="B158" s="406"/>
    </row>
    <row r="159" spans="1:24" ht="192.75" customHeight="1">
      <c r="A159" s="1551" t="s">
        <v>3813</v>
      </c>
      <c r="B159" s="1552"/>
      <c r="C159" s="1552"/>
      <c r="D159" s="1552"/>
      <c r="E159" s="1552"/>
      <c r="F159" s="1552"/>
      <c r="G159" s="1552"/>
      <c r="H159" s="1552"/>
      <c r="I159" s="1552"/>
      <c r="J159" s="1552"/>
      <c r="K159" s="1552"/>
      <c r="L159" s="1552"/>
      <c r="M159" s="1553"/>
      <c r="N159" s="1554"/>
      <c r="O159" s="1555"/>
      <c r="P159" s="1555"/>
      <c r="Q159" s="1555"/>
      <c r="R159" s="1555"/>
      <c r="S159" s="1556"/>
      <c r="T159" s="1491" t="s">
        <v>2923</v>
      </c>
      <c r="U159" s="1491"/>
      <c r="V159" s="1491"/>
      <c r="W159" s="1491"/>
      <c r="X159" s="1491"/>
    </row>
    <row r="160" spans="1:24" s="363" customFormat="1" ht="12" customHeight="1">
      <c r="A160" s="370"/>
      <c r="B160" s="383"/>
      <c r="C160" s="383"/>
      <c r="D160" s="383"/>
      <c r="E160" s="383"/>
      <c r="F160" s="383"/>
      <c r="G160" s="383"/>
      <c r="H160" s="383"/>
      <c r="I160" s="383"/>
      <c r="J160" s="383"/>
      <c r="K160" s="383"/>
      <c r="L160" s="383"/>
      <c r="M160" s="383"/>
      <c r="N160" s="383"/>
      <c r="O160" s="383"/>
      <c r="T160" s="1491"/>
      <c r="U160" s="1491"/>
      <c r="V160" s="1491"/>
      <c r="W160" s="1491"/>
      <c r="X160" s="1491"/>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27" t="s">
        <v>1922</v>
      </c>
    </row>
    <row r="165" spans="1:16" s="363" customFormat="1" ht="12" customHeight="1">
      <c r="A165" s="407"/>
      <c r="B165" s="383"/>
      <c r="C165" s="383"/>
      <c r="D165" s="383"/>
      <c r="E165" s="383"/>
      <c r="F165" s="383"/>
      <c r="G165" s="383"/>
      <c r="H165" s="383"/>
      <c r="I165" s="383"/>
      <c r="J165" s="383"/>
      <c r="K165" s="383"/>
      <c r="L165" s="383"/>
      <c r="M165" s="383"/>
      <c r="N165" s="383"/>
      <c r="O165" s="383"/>
      <c r="P165" s="1328" t="s">
        <v>891</v>
      </c>
    </row>
    <row r="166" spans="1:16" s="363" customFormat="1" ht="12" customHeight="1">
      <c r="A166" s="407"/>
      <c r="B166" s="383"/>
      <c r="C166" s="383"/>
      <c r="D166" s="383"/>
      <c r="E166" s="383"/>
      <c r="F166" s="383"/>
      <c r="G166" s="383"/>
      <c r="H166" s="383"/>
      <c r="I166" s="383"/>
      <c r="J166" s="383"/>
      <c r="K166" s="383"/>
      <c r="L166" s="383"/>
      <c r="M166" s="383"/>
      <c r="N166" s="383"/>
      <c r="O166" s="383"/>
      <c r="P166" s="1328" t="s">
        <v>892</v>
      </c>
    </row>
    <row r="167" spans="1:16" s="363" customFormat="1" ht="12" customHeight="1">
      <c r="A167" s="407"/>
      <c r="B167" s="383"/>
      <c r="C167" s="383"/>
      <c r="D167" s="383"/>
      <c r="E167" s="383"/>
      <c r="F167" s="383"/>
      <c r="G167" s="383"/>
      <c r="H167" s="383"/>
      <c r="I167" s="383"/>
      <c r="J167" s="383"/>
      <c r="K167" s="383"/>
      <c r="L167" s="383"/>
      <c r="M167" s="383"/>
      <c r="N167" s="383"/>
      <c r="O167" s="383"/>
      <c r="P167" s="1328" t="s">
        <v>893</v>
      </c>
    </row>
    <row r="168" spans="1:16" s="363" customFormat="1" ht="12" customHeight="1">
      <c r="A168" s="621"/>
      <c r="B168" s="383"/>
      <c r="C168" s="383"/>
      <c r="D168" s="383"/>
      <c r="E168" s="383"/>
      <c r="F168" s="383"/>
      <c r="G168" s="383"/>
      <c r="H168" s="383"/>
      <c r="I168" s="383"/>
      <c r="J168" s="383"/>
      <c r="K168" s="383"/>
      <c r="L168" s="383"/>
      <c r="M168" s="383"/>
      <c r="N168" s="383"/>
      <c r="O168" s="383"/>
      <c r="P168" s="1328" t="s">
        <v>894</v>
      </c>
    </row>
    <row r="169" spans="1:16" s="363" customFormat="1" ht="12" customHeight="1">
      <c r="B169" s="383"/>
      <c r="C169" s="383"/>
      <c r="D169" s="383"/>
      <c r="E169" s="383"/>
      <c r="F169" s="383"/>
      <c r="G169" s="383"/>
      <c r="H169" s="383"/>
      <c r="I169" s="383"/>
      <c r="J169" s="383"/>
      <c r="K169" s="383"/>
      <c r="L169" s="383"/>
      <c r="M169" s="383"/>
      <c r="N169" s="383"/>
      <c r="O169" s="383"/>
      <c r="P169" s="1328" t="s">
        <v>895</v>
      </c>
    </row>
    <row r="170" spans="1:16" s="363" customFormat="1" ht="12" customHeight="1">
      <c r="B170" s="383"/>
      <c r="C170" s="383"/>
      <c r="D170" s="383"/>
      <c r="E170" s="383"/>
      <c r="F170" s="383"/>
      <c r="G170" s="383"/>
      <c r="H170" s="383"/>
      <c r="I170" s="383"/>
      <c r="J170" s="383"/>
      <c r="K170" s="383"/>
      <c r="L170" s="383"/>
      <c r="M170" s="383"/>
      <c r="N170" s="383"/>
      <c r="O170" s="383"/>
      <c r="P170" s="1328" t="s">
        <v>896</v>
      </c>
    </row>
    <row r="171" spans="1:16" s="363" customFormat="1" ht="12" customHeight="1">
      <c r="B171" s="383"/>
      <c r="C171" s="383"/>
      <c r="D171" s="383"/>
      <c r="E171" s="383"/>
      <c r="F171" s="383"/>
      <c r="G171" s="383"/>
      <c r="H171" s="383"/>
      <c r="I171" s="383"/>
      <c r="J171" s="383"/>
      <c r="K171" s="383"/>
      <c r="L171" s="383"/>
      <c r="M171" s="383"/>
      <c r="N171" s="383"/>
      <c r="O171" s="383"/>
      <c r="P171" s="1328" t="s">
        <v>897</v>
      </c>
    </row>
    <row r="172" spans="1:16" s="363" customFormat="1" ht="12" customHeight="1">
      <c r="B172" s="383"/>
      <c r="C172" s="383"/>
      <c r="D172" s="383"/>
      <c r="E172" s="383"/>
      <c r="F172" s="383"/>
      <c r="G172" s="383"/>
      <c r="H172" s="383"/>
      <c r="I172" s="383"/>
      <c r="J172" s="383"/>
      <c r="K172" s="383"/>
      <c r="L172" s="383"/>
      <c r="M172" s="383"/>
      <c r="N172" s="383"/>
      <c r="O172" s="383"/>
      <c r="P172" s="1328" t="s">
        <v>898</v>
      </c>
    </row>
    <row r="173" spans="1:16" ht="12" customHeight="1">
      <c r="P173" s="1328" t="s">
        <v>899</v>
      </c>
    </row>
    <row r="174" spans="1:16" ht="12" customHeight="1">
      <c r="A174" s="392"/>
      <c r="P174" s="1328" t="s">
        <v>900</v>
      </c>
    </row>
    <row r="175" spans="1:16" ht="12" customHeight="1">
      <c r="P175" s="1328" t="s">
        <v>901</v>
      </c>
    </row>
    <row r="176" spans="1:16" ht="12" customHeight="1">
      <c r="P176" s="1328" t="s">
        <v>902</v>
      </c>
    </row>
    <row r="177" spans="16:16" ht="12" customHeight="1">
      <c r="P177" s="1328" t="s">
        <v>903</v>
      </c>
    </row>
    <row r="178" spans="16:16" ht="12" customHeight="1">
      <c r="P178" s="1328" t="s">
        <v>904</v>
      </c>
    </row>
    <row r="179" spans="16:16" ht="12" customHeight="1">
      <c r="P179" s="1328" t="s">
        <v>905</v>
      </c>
    </row>
    <row r="180" spans="16:16" ht="12" customHeight="1">
      <c r="P180" s="1328" t="s">
        <v>906</v>
      </c>
    </row>
    <row r="181" spans="16:16" ht="12" customHeight="1">
      <c r="P181" s="1328" t="s">
        <v>907</v>
      </c>
    </row>
    <row r="182" spans="16:16" ht="12" customHeight="1">
      <c r="P182" s="1328" t="s">
        <v>908</v>
      </c>
    </row>
    <row r="183" spans="16:16" ht="12" customHeight="1">
      <c r="P183" s="1328" t="s">
        <v>909</v>
      </c>
    </row>
    <row r="184" spans="16:16" ht="12" customHeight="1">
      <c r="P184" s="1328" t="s">
        <v>910</v>
      </c>
    </row>
    <row r="185" spans="16:16" ht="12" customHeight="1">
      <c r="P185" s="1328" t="s">
        <v>911</v>
      </c>
    </row>
    <row r="186" spans="16:16" ht="12" customHeight="1">
      <c r="P186" s="1328" t="s">
        <v>912</v>
      </c>
    </row>
    <row r="187" spans="16:16" ht="12" customHeight="1">
      <c r="P187" s="1328" t="s">
        <v>913</v>
      </c>
    </row>
    <row r="188" spans="16:16" ht="12" customHeight="1">
      <c r="P188" s="1328" t="s">
        <v>914</v>
      </c>
    </row>
    <row r="189" spans="16:16" ht="12" customHeight="1">
      <c r="P189" s="1328" t="s">
        <v>915</v>
      </c>
    </row>
    <row r="190" spans="16:16" ht="12" customHeight="1">
      <c r="P190" s="1328" t="s">
        <v>1427</v>
      </c>
    </row>
    <row r="191" spans="16:16" ht="12" customHeight="1">
      <c r="P191" s="1328" t="s">
        <v>1428</v>
      </c>
    </row>
    <row r="192" spans="16:16" ht="12" customHeight="1">
      <c r="P192" s="1328" t="s">
        <v>1429</v>
      </c>
    </row>
    <row r="193" spans="16:16" ht="12" customHeight="1">
      <c r="P193" s="1328" t="s">
        <v>1430</v>
      </c>
    </row>
    <row r="194" spans="16:16" ht="12" customHeight="1">
      <c r="P194" s="1328" t="s">
        <v>1431</v>
      </c>
    </row>
    <row r="195" spans="16:16" ht="13.5">
      <c r="P195" s="1328" t="s">
        <v>1432</v>
      </c>
    </row>
    <row r="196" spans="16:16" ht="12" customHeight="1">
      <c r="P196" s="1328" t="s">
        <v>1433</v>
      </c>
    </row>
    <row r="197" spans="16:16" ht="12" customHeight="1">
      <c r="P197" s="1328" t="s">
        <v>1434</v>
      </c>
    </row>
    <row r="198" spans="16:16" ht="12" customHeight="1">
      <c r="P198" s="1328" t="s">
        <v>1435</v>
      </c>
    </row>
    <row r="199" spans="16:16" ht="12" customHeight="1">
      <c r="P199" s="1328" t="s">
        <v>1436</v>
      </c>
    </row>
    <row r="200" spans="16:16" ht="12" customHeight="1">
      <c r="P200" s="1328" t="s">
        <v>1437</v>
      </c>
    </row>
    <row r="201" spans="16:16" ht="12" customHeight="1">
      <c r="P201" s="1328" t="s">
        <v>1438</v>
      </c>
    </row>
    <row r="202" spans="16:16" ht="12" customHeight="1">
      <c r="P202" s="1328" t="s">
        <v>1439</v>
      </c>
    </row>
    <row r="203" spans="16:16" ht="12" customHeight="1">
      <c r="P203" s="1328" t="s">
        <v>1440</v>
      </c>
    </row>
    <row r="204" spans="16:16" ht="12" customHeight="1">
      <c r="P204" s="1328" t="s">
        <v>1441</v>
      </c>
    </row>
    <row r="205" spans="16:16" ht="12" customHeight="1">
      <c r="P205" s="1328" t="s">
        <v>1442</v>
      </c>
    </row>
    <row r="206" spans="16:16" ht="12" customHeight="1">
      <c r="P206" s="1328" t="s">
        <v>1443</v>
      </c>
    </row>
    <row r="207" spans="16:16" ht="12" customHeight="1">
      <c r="P207" s="1328" t="s">
        <v>1444</v>
      </c>
    </row>
    <row r="208" spans="16:16" ht="12" customHeight="1">
      <c r="P208" s="1328" t="s">
        <v>1445</v>
      </c>
    </row>
    <row r="209" spans="16:16" ht="12" customHeight="1">
      <c r="P209" s="1328" t="s">
        <v>1446</v>
      </c>
    </row>
    <row r="210" spans="16:16" ht="12" customHeight="1">
      <c r="P210" s="1328" t="s">
        <v>1447</v>
      </c>
    </row>
    <row r="211" spans="16:16" ht="12" customHeight="1">
      <c r="P211" s="1328" t="s">
        <v>1448</v>
      </c>
    </row>
    <row r="212" spans="16:16" ht="12" customHeight="1">
      <c r="P212" s="1328" t="s">
        <v>1449</v>
      </c>
    </row>
    <row r="213" spans="16:16" ht="12" customHeight="1">
      <c r="P213" s="1328" t="s">
        <v>1450</v>
      </c>
    </row>
    <row r="214" spans="16:16" ht="12" customHeight="1">
      <c r="P214" s="1328" t="s">
        <v>1451</v>
      </c>
    </row>
    <row r="215" spans="16:16" ht="12" customHeight="1">
      <c r="P215" s="1328"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J112:K112"/>
    <mergeCell ref="H113:I113"/>
    <mergeCell ref="L113:M113"/>
    <mergeCell ref="Q112:S112"/>
    <mergeCell ref="O113:S113"/>
    <mergeCell ref="H117:J117"/>
    <mergeCell ref="Q117:S117"/>
    <mergeCell ref="J118:K118"/>
    <mergeCell ref="Q118:S118"/>
    <mergeCell ref="L117:N117"/>
    <mergeCell ref="H115:N115"/>
    <mergeCell ref="Q115:S115"/>
    <mergeCell ref="H116:N116"/>
    <mergeCell ref="Q116:S116"/>
    <mergeCell ref="H106:I106"/>
    <mergeCell ref="L106:M106"/>
    <mergeCell ref="L111:N111"/>
    <mergeCell ref="J105:K105"/>
    <mergeCell ref="L104:N104"/>
    <mergeCell ref="Q104:S104"/>
    <mergeCell ref="Q105:S105"/>
    <mergeCell ref="O106:S106"/>
    <mergeCell ref="H104:J104"/>
    <mergeCell ref="H110:N110"/>
    <mergeCell ref="H109:N109"/>
    <mergeCell ref="H111:J111"/>
    <mergeCell ref="Q110:S110"/>
    <mergeCell ref="Q111:S111"/>
    <mergeCell ref="Q109:S109"/>
    <mergeCell ref="J99:K99"/>
    <mergeCell ref="H100:I100"/>
    <mergeCell ref="L100:M100"/>
    <mergeCell ref="Q99:S99"/>
    <mergeCell ref="O100:S100"/>
    <mergeCell ref="H102:N102"/>
    <mergeCell ref="H103:N103"/>
    <mergeCell ref="Q102:S102"/>
    <mergeCell ref="Q103:S103"/>
    <mergeCell ref="H94:I94"/>
    <mergeCell ref="L94:M94"/>
    <mergeCell ref="O94:S94"/>
    <mergeCell ref="L98:N98"/>
    <mergeCell ref="H97:N97"/>
    <mergeCell ref="H96:N96"/>
    <mergeCell ref="H98:J98"/>
    <mergeCell ref="Q97:S97"/>
    <mergeCell ref="Q98:S98"/>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7"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1" zoomScaleNormal="100" zoomScaleSheetLayoutView="90" workbookViewId="0">
      <selection activeCell="A31"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38" t="str">
        <f>CONCATENATE("PART THREE - SOURCES OF FUNDS","  -  ",'Part I-Project Information'!$O$4," ",'Part I-Project Information'!$F$23,", ",'Part I-Project Information'!$F$27,", ",'Part I-Project Information'!$J$28," County")</f>
        <v>PART THREE - SOURCES OF FUNDS  -  2014-006 North Grove Apartments, Athens, Clarke County</v>
      </c>
      <c r="B1" s="1639"/>
      <c r="C1" s="1639"/>
      <c r="D1" s="1639"/>
      <c r="E1" s="1639"/>
      <c r="F1" s="1639"/>
      <c r="G1" s="1639"/>
      <c r="H1" s="1639"/>
      <c r="I1" s="1639"/>
      <c r="J1" s="1639"/>
      <c r="K1" s="1639"/>
      <c r="L1" s="1639"/>
      <c r="M1" s="1639"/>
      <c r="N1" s="1639"/>
      <c r="O1" s="1639"/>
      <c r="P1" s="1639"/>
      <c r="Q1" s="1640"/>
      <c r="S1" s="1793" t="str">
        <f>$A$1</f>
        <v>PART THREE - SOURCES OF FUNDS  -  2014-006 North Grove Apartments, Athens, Clarke County</v>
      </c>
      <c r="T1" s="1793"/>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656</v>
      </c>
      <c r="B3" s="386" t="s">
        <v>2658</v>
      </c>
      <c r="C3" s="363"/>
      <c r="D3" s="1157"/>
      <c r="E3" s="1157"/>
      <c r="F3" s="1157"/>
      <c r="G3" s="1157"/>
      <c r="J3" s="1157"/>
      <c r="M3" s="1157"/>
      <c r="N3" s="1157"/>
      <c r="S3" s="416" t="str">
        <f>B3</f>
        <v>GOVERNMENT FUNDING SOURCES  (check all that apply)</v>
      </c>
    </row>
    <row r="4" spans="1:20" s="330" customFormat="1" ht="15.75" customHeight="1">
      <c r="A4" s="392"/>
      <c r="B4" s="621"/>
      <c r="C4" s="386"/>
      <c r="D4" s="1157"/>
      <c r="E4" s="1157"/>
      <c r="F4" s="1157"/>
      <c r="G4" s="1157"/>
      <c r="H4" s="1294" t="s">
        <v>3699</v>
      </c>
      <c r="I4" s="1147" t="s">
        <v>3231</v>
      </c>
      <c r="J4" s="363"/>
      <c r="P4" s="1796"/>
      <c r="Q4" s="1797"/>
      <c r="S4" s="1771" t="s">
        <v>2890</v>
      </c>
      <c r="T4" s="1771"/>
    </row>
    <row r="5" spans="1:20" s="330" customFormat="1" ht="15.75" customHeight="1">
      <c r="A5" s="621"/>
      <c r="B5" s="1294" t="s">
        <v>3698</v>
      </c>
      <c r="C5" s="1147" t="s">
        <v>2572</v>
      </c>
      <c r="D5" s="363"/>
      <c r="E5" s="1294" t="s">
        <v>3699</v>
      </c>
      <c r="F5" s="1147" t="s">
        <v>583</v>
      </c>
      <c r="H5" s="1294" t="s">
        <v>3699</v>
      </c>
      <c r="I5" s="363" t="s">
        <v>2792</v>
      </c>
      <c r="M5" s="1294" t="s">
        <v>3699</v>
      </c>
      <c r="N5" s="1147" t="s">
        <v>581</v>
      </c>
      <c r="S5" s="1757"/>
      <c r="T5" s="1758"/>
    </row>
    <row r="6" spans="1:20" s="330" customFormat="1" ht="15.75" customHeight="1">
      <c r="A6" s="621"/>
      <c r="B6" s="1294" t="s">
        <v>3699</v>
      </c>
      <c r="C6" s="1147" t="s">
        <v>1927</v>
      </c>
      <c r="D6" s="363"/>
      <c r="E6" s="1294" t="s">
        <v>3699</v>
      </c>
      <c r="F6" s="363" t="s">
        <v>2790</v>
      </c>
      <c r="H6" s="1294" t="s">
        <v>3699</v>
      </c>
      <c r="I6" s="369" t="s">
        <v>3249</v>
      </c>
      <c r="J6" s="1147"/>
      <c r="K6" s="356"/>
      <c r="L6" s="356"/>
      <c r="M6" s="1294" t="s">
        <v>3699</v>
      </c>
      <c r="N6" s="369" t="s">
        <v>2791</v>
      </c>
      <c r="Q6" s="656"/>
      <c r="S6" s="1753"/>
      <c r="T6" s="1754"/>
    </row>
    <row r="7" spans="1:20" s="330" customFormat="1" ht="15.75" customHeight="1">
      <c r="A7" s="363"/>
      <c r="B7" s="1294" t="s">
        <v>3699</v>
      </c>
      <c r="C7" s="1147" t="s">
        <v>1928</v>
      </c>
      <c r="E7" s="1294" t="s">
        <v>3699</v>
      </c>
      <c r="F7" s="1146" t="s">
        <v>2340</v>
      </c>
      <c r="G7" s="363"/>
      <c r="H7" s="1294" t="s">
        <v>3699</v>
      </c>
      <c r="I7" s="1147" t="s">
        <v>1643</v>
      </c>
      <c r="J7" s="356"/>
      <c r="M7" s="1294" t="s">
        <v>3699</v>
      </c>
      <c r="N7" s="369" t="s">
        <v>3230</v>
      </c>
      <c r="P7" s="1790"/>
      <c r="Q7" s="1791"/>
      <c r="S7" s="1753"/>
      <c r="T7" s="1754"/>
    </row>
    <row r="8" spans="1:20" s="330" customFormat="1" ht="15.75" customHeight="1">
      <c r="A8" s="621"/>
      <c r="B8" s="1294" t="s">
        <v>3699</v>
      </c>
      <c r="C8" s="1157" t="s">
        <v>2782</v>
      </c>
      <c r="D8" s="363"/>
      <c r="E8" s="1294" t="s">
        <v>3699</v>
      </c>
      <c r="F8" s="388" t="s">
        <v>2783</v>
      </c>
      <c r="H8" s="1294" t="s">
        <v>3699</v>
      </c>
      <c r="I8" s="1147" t="s">
        <v>582</v>
      </c>
      <c r="J8" s="356"/>
      <c r="K8" s="369"/>
      <c r="L8" s="1152"/>
      <c r="M8" s="1294" t="s">
        <v>3698</v>
      </c>
      <c r="N8" s="1506" t="s">
        <v>3814</v>
      </c>
      <c r="O8" s="1507"/>
      <c r="P8" s="1507"/>
      <c r="Q8" s="1508"/>
      <c r="S8" s="1755"/>
      <c r="T8" s="1756"/>
    </row>
    <row r="9" spans="1:20" s="330" customFormat="1" ht="16.899999999999999" customHeight="1">
      <c r="A9" s="621"/>
      <c r="B9" s="330" t="s">
        <v>3145</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789</v>
      </c>
      <c r="B11" s="329" t="s">
        <v>2495</v>
      </c>
      <c r="C11" s="363"/>
      <c r="D11" s="1157"/>
      <c r="E11" s="363"/>
      <c r="F11" s="363"/>
      <c r="G11" s="363"/>
      <c r="H11" s="330"/>
      <c r="I11" s="330"/>
      <c r="J11" s="366"/>
      <c r="K11" s="363"/>
      <c r="L11" s="363"/>
      <c r="M11" s="1157"/>
      <c r="N11" s="1596"/>
      <c r="O11" s="1596"/>
      <c r="P11" s="363"/>
      <c r="Q11" s="363"/>
      <c r="S11" s="416" t="str">
        <f>B11</f>
        <v>CONSTRUCTION FINANCING</v>
      </c>
    </row>
    <row r="12" spans="1:20" s="416" customFormat="1" ht="13.9" customHeight="1">
      <c r="A12" s="366"/>
      <c r="B12" s="329"/>
      <c r="C12" s="363"/>
      <c r="K12" s="363"/>
      <c r="L12" s="363"/>
      <c r="M12" s="1157"/>
      <c r="N12" s="1150"/>
      <c r="O12" s="1150"/>
      <c r="P12" s="363"/>
      <c r="Q12" s="363"/>
    </row>
    <row r="13" spans="1:20" s="330" customFormat="1" ht="16.899999999999999" customHeight="1">
      <c r="A13" s="363"/>
      <c r="B13" s="1147" t="s">
        <v>2000</v>
      </c>
      <c r="C13" s="363"/>
      <c r="D13" s="363"/>
      <c r="E13" s="363"/>
      <c r="F13" s="363"/>
      <c r="G13" s="363"/>
      <c r="H13" s="1723" t="s">
        <v>1382</v>
      </c>
      <c r="I13" s="1723"/>
      <c r="J13" s="1723"/>
      <c r="K13" s="1723"/>
      <c r="L13" s="1570" t="s">
        <v>2125</v>
      </c>
      <c r="M13" s="1570"/>
      <c r="N13" s="1570" t="s">
        <v>1612</v>
      </c>
      <c r="O13" s="1570"/>
      <c r="P13" s="1570" t="s">
        <v>1740</v>
      </c>
      <c r="Q13" s="1570"/>
      <c r="S13" s="1771" t="s">
        <v>2890</v>
      </c>
      <c r="T13" s="1771"/>
    </row>
    <row r="14" spans="1:20" s="330" customFormat="1" ht="16.899999999999999" customHeight="1">
      <c r="A14" s="363"/>
      <c r="B14" s="1740" t="s">
        <v>1698</v>
      </c>
      <c r="C14" s="1741"/>
      <c r="D14" s="1741"/>
      <c r="E14" s="1158"/>
      <c r="F14" s="1158"/>
      <c r="G14" s="1158"/>
      <c r="H14" s="1506" t="s">
        <v>3838</v>
      </c>
      <c r="I14" s="1507"/>
      <c r="J14" s="1507"/>
      <c r="K14" s="1508"/>
      <c r="L14" s="1751">
        <v>7466069</v>
      </c>
      <c r="M14" s="1752"/>
      <c r="N14" s="1772">
        <v>0.04</v>
      </c>
      <c r="O14" s="1773"/>
      <c r="P14" s="1774">
        <v>24</v>
      </c>
      <c r="Q14" s="1775"/>
      <c r="S14" s="1757"/>
      <c r="T14" s="1758"/>
    </row>
    <row r="15" spans="1:20" s="330" customFormat="1" ht="16.899999999999999" customHeight="1">
      <c r="A15" s="363"/>
      <c r="B15" s="1736" t="s">
        <v>1699</v>
      </c>
      <c r="C15" s="1737"/>
      <c r="D15" s="1737"/>
      <c r="E15" s="1157"/>
      <c r="F15" s="1157"/>
      <c r="G15" s="1157"/>
      <c r="H15" s="1506"/>
      <c r="I15" s="1507"/>
      <c r="J15" s="1507"/>
      <c r="K15" s="1508"/>
      <c r="L15" s="1751"/>
      <c r="M15" s="1752"/>
      <c r="N15" s="1772"/>
      <c r="O15" s="1773"/>
      <c r="P15" s="1794"/>
      <c r="Q15" s="1795"/>
      <c r="S15" s="1753"/>
      <c r="T15" s="1754"/>
    </row>
    <row r="16" spans="1:20" s="330" customFormat="1" ht="16.899999999999999" customHeight="1">
      <c r="A16" s="363"/>
      <c r="B16" s="1785" t="s">
        <v>1700</v>
      </c>
      <c r="C16" s="1786"/>
      <c r="D16" s="1786"/>
      <c r="E16" s="1162"/>
      <c r="F16" s="1162"/>
      <c r="G16" s="1162"/>
      <c r="H16" s="1506"/>
      <c r="I16" s="1507"/>
      <c r="J16" s="1507"/>
      <c r="K16" s="1508"/>
      <c r="L16" s="1751"/>
      <c r="M16" s="1752"/>
      <c r="N16" s="1772"/>
      <c r="O16" s="1773"/>
      <c r="P16" s="1794"/>
      <c r="Q16" s="1795"/>
      <c r="S16" s="1753"/>
      <c r="T16" s="1754"/>
    </row>
    <row r="17" spans="1:20" s="330" customFormat="1" ht="16.899999999999999" customHeight="1">
      <c r="A17" s="363"/>
      <c r="B17" s="1740" t="s">
        <v>2358</v>
      </c>
      <c r="C17" s="1741"/>
      <c r="D17" s="1741"/>
      <c r="E17" s="1157"/>
      <c r="F17" s="1157"/>
      <c r="G17" s="1157"/>
      <c r="H17" s="1506"/>
      <c r="I17" s="1507"/>
      <c r="J17" s="1507"/>
      <c r="K17" s="1508"/>
      <c r="L17" s="1751"/>
      <c r="M17" s="1752"/>
      <c r="N17" s="1763"/>
      <c r="O17" s="1764"/>
      <c r="P17" s="1622"/>
      <c r="Q17" s="1622"/>
      <c r="S17" s="1753"/>
      <c r="T17" s="1754"/>
    </row>
    <row r="18" spans="1:20" s="330" customFormat="1" ht="16.899999999999999" customHeight="1">
      <c r="A18" s="363"/>
      <c r="B18" s="1736" t="s">
        <v>854</v>
      </c>
      <c r="C18" s="1737"/>
      <c r="D18" s="1737"/>
      <c r="E18" s="1157"/>
      <c r="H18" s="1506"/>
      <c r="I18" s="1507"/>
      <c r="J18" s="1507"/>
      <c r="K18" s="1508"/>
      <c r="L18" s="1751"/>
      <c r="M18" s="1752"/>
      <c r="N18" s="1763"/>
      <c r="O18" s="1764"/>
      <c r="P18" s="1622"/>
      <c r="Q18" s="1622"/>
      <c r="S18" s="1753"/>
      <c r="T18" s="1754"/>
    </row>
    <row r="19" spans="1:20" s="330" customFormat="1" ht="16.899999999999999" customHeight="1">
      <c r="A19" s="363"/>
      <c r="B19" s="1736" t="s">
        <v>681</v>
      </c>
      <c r="C19" s="1737"/>
      <c r="D19" s="1737"/>
      <c r="E19" s="1157"/>
      <c r="H19" s="1506"/>
      <c r="I19" s="1507"/>
      <c r="J19" s="1507"/>
      <c r="K19" s="1508"/>
      <c r="L19" s="1751"/>
      <c r="M19" s="1752"/>
      <c r="N19" s="1763"/>
      <c r="O19" s="1764"/>
      <c r="P19" s="1622"/>
      <c r="Q19" s="1622"/>
      <c r="S19" s="1753"/>
      <c r="T19" s="1754"/>
    </row>
    <row r="20" spans="1:20" s="330" customFormat="1" ht="16.899999999999999" customHeight="1">
      <c r="A20" s="363"/>
      <c r="B20" s="1736" t="s">
        <v>855</v>
      </c>
      <c r="C20" s="1737"/>
      <c r="D20" s="1737"/>
      <c r="E20" s="1157"/>
      <c r="H20" s="1506" t="s">
        <v>3790</v>
      </c>
      <c r="I20" s="1507"/>
      <c r="J20" s="1507"/>
      <c r="K20" s="1508"/>
      <c r="L20" s="1751">
        <v>3869460</v>
      </c>
      <c r="M20" s="1752"/>
      <c r="N20" s="363"/>
      <c r="O20" s="363"/>
      <c r="P20" s="363"/>
      <c r="Q20" s="363"/>
      <c r="S20" s="1755"/>
      <c r="T20" s="1756"/>
    </row>
    <row r="21" spans="1:20" s="330" customFormat="1" ht="16.899999999999999" customHeight="1">
      <c r="A21" s="363"/>
      <c r="B21" s="1736" t="s">
        <v>856</v>
      </c>
      <c r="C21" s="1737"/>
      <c r="D21" s="1737"/>
      <c r="E21" s="1157"/>
      <c r="H21" s="1506"/>
      <c r="I21" s="1507"/>
      <c r="J21" s="1507"/>
      <c r="K21" s="1508"/>
      <c r="L21" s="1751"/>
      <c r="M21" s="1752"/>
      <c r="N21" s="363"/>
      <c r="O21" s="363"/>
      <c r="P21" s="363"/>
      <c r="Q21" s="363"/>
      <c r="S21" s="1757"/>
      <c r="T21" s="1758"/>
    </row>
    <row r="22" spans="1:20" s="330" customFormat="1" ht="16.899999999999999" customHeight="1">
      <c r="A22" s="363"/>
      <c r="B22" s="1156" t="s">
        <v>255</v>
      </c>
      <c r="C22" s="1157"/>
      <c r="D22" s="1787"/>
      <c r="E22" s="1787"/>
      <c r="F22" s="1787"/>
      <c r="G22" s="1787"/>
      <c r="H22" s="1506"/>
      <c r="I22" s="1507"/>
      <c r="J22" s="1507"/>
      <c r="K22" s="1508"/>
      <c r="L22" s="1751"/>
      <c r="M22" s="1752"/>
      <c r="N22" s="363"/>
      <c r="O22" s="363"/>
      <c r="P22" s="363"/>
      <c r="Q22" s="363"/>
      <c r="S22" s="1753"/>
      <c r="T22" s="1754"/>
    </row>
    <row r="23" spans="1:20" s="330" customFormat="1" ht="16.899999999999999" customHeight="1">
      <c r="A23" s="363"/>
      <c r="B23" s="1156" t="s">
        <v>255</v>
      </c>
      <c r="C23" s="1157"/>
      <c r="D23" s="1787"/>
      <c r="E23" s="1787"/>
      <c r="F23" s="1787"/>
      <c r="G23" s="1787"/>
      <c r="H23" s="1506"/>
      <c r="I23" s="1507"/>
      <c r="J23" s="1507"/>
      <c r="K23" s="1508"/>
      <c r="L23" s="1751"/>
      <c r="M23" s="1752"/>
      <c r="N23" s="363"/>
      <c r="O23" s="363"/>
      <c r="P23" s="363"/>
      <c r="Q23" s="363"/>
      <c r="S23" s="1753"/>
      <c r="T23" s="1754"/>
    </row>
    <row r="24" spans="1:20" s="330" customFormat="1" ht="16.899999999999999" customHeight="1">
      <c r="A24" s="363"/>
      <c r="B24" s="1161" t="s">
        <v>255</v>
      </c>
      <c r="C24" s="1162"/>
      <c r="D24" s="1787"/>
      <c r="E24" s="1787"/>
      <c r="F24" s="1787"/>
      <c r="G24" s="1787"/>
      <c r="H24" s="1506"/>
      <c r="I24" s="1507"/>
      <c r="J24" s="1507"/>
      <c r="K24" s="1508"/>
      <c r="L24" s="1751"/>
      <c r="M24" s="1752"/>
      <c r="N24" s="363"/>
      <c r="O24" s="363"/>
      <c r="P24" s="363"/>
      <c r="Q24" s="363"/>
      <c r="S24" s="1753"/>
      <c r="T24" s="1754"/>
    </row>
    <row r="25" spans="1:20" s="330" customFormat="1" ht="16.899999999999999" customHeight="1">
      <c r="A25" s="363"/>
      <c r="B25" s="329" t="s">
        <v>1383</v>
      </c>
      <c r="C25" s="363"/>
      <c r="D25" s="363"/>
      <c r="E25" s="363"/>
      <c r="F25" s="363"/>
      <c r="G25" s="363"/>
      <c r="H25" s="363"/>
      <c r="I25" s="363"/>
      <c r="L25" s="1767">
        <f>SUM(L14:L24)</f>
        <v>11335529</v>
      </c>
      <c r="M25" s="1768"/>
      <c r="N25" s="383"/>
      <c r="O25" s="383"/>
      <c r="P25" s="383"/>
      <c r="Q25" s="383"/>
      <c r="S25" s="1753"/>
      <c r="T25" s="1754"/>
    </row>
    <row r="26" spans="1:20" s="330" customFormat="1" ht="16.899999999999999" customHeight="1">
      <c r="A26" s="363"/>
      <c r="B26" s="1147" t="s">
        <v>1384</v>
      </c>
      <c r="C26" s="363"/>
      <c r="D26" s="363"/>
      <c r="E26" s="363"/>
      <c r="F26" s="363"/>
      <c r="G26" s="363"/>
      <c r="H26" s="363"/>
      <c r="I26" s="363"/>
      <c r="L26" s="176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11257616</v>
      </c>
      <c r="M26" s="1766"/>
      <c r="N26" s="1761"/>
      <c r="O26" s="1762"/>
      <c r="P26" s="1762"/>
      <c r="Q26" s="1762"/>
      <c r="S26" s="1753"/>
      <c r="T26" s="1754"/>
    </row>
    <row r="27" spans="1:20" s="330" customFormat="1" ht="16.899999999999999" customHeight="1">
      <c r="A27" s="363"/>
      <c r="B27" s="369" t="s">
        <v>2294</v>
      </c>
      <c r="C27" s="363"/>
      <c r="D27" s="363"/>
      <c r="E27" s="363"/>
      <c r="F27" s="363"/>
      <c r="G27" s="363"/>
      <c r="H27" s="363"/>
      <c r="I27" s="363"/>
      <c r="L27" s="1769">
        <f>L25-L26</f>
        <v>77913</v>
      </c>
      <c r="M27" s="1770"/>
      <c r="N27" s="1761"/>
      <c r="O27" s="1762"/>
      <c r="P27" s="1762"/>
      <c r="Q27" s="1762"/>
      <c r="S27" s="1755"/>
      <c r="T27" s="1756"/>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791</v>
      </c>
      <c r="B29" s="329" t="s">
        <v>853</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622"/>
      <c r="I30" s="1622"/>
      <c r="J30" s="443" t="s">
        <v>2236</v>
      </c>
      <c r="K30" s="1153" t="s">
        <v>1380</v>
      </c>
      <c r="L30" s="1153" t="s">
        <v>1385</v>
      </c>
      <c r="M30" s="1600" t="s">
        <v>36</v>
      </c>
      <c r="N30" s="1600"/>
      <c r="O30" s="1150"/>
      <c r="P30" s="1153"/>
      <c r="Q30" s="1776" t="s">
        <v>2492</v>
      </c>
      <c r="S30" s="416"/>
    </row>
    <row r="31" spans="1:20" s="330" customFormat="1" ht="13.15" customHeight="1">
      <c r="A31" s="363"/>
      <c r="B31" s="1154" t="s">
        <v>2000</v>
      </c>
      <c r="C31" s="1162"/>
      <c r="D31" s="1162"/>
      <c r="E31" s="1737" t="s">
        <v>1382</v>
      </c>
      <c r="F31" s="1737"/>
      <c r="G31" s="1737"/>
      <c r="H31" s="1570" t="s">
        <v>518</v>
      </c>
      <c r="I31" s="1570"/>
      <c r="J31" s="1149" t="s">
        <v>1932</v>
      </c>
      <c r="K31" s="1149" t="s">
        <v>2357</v>
      </c>
      <c r="L31" s="1149" t="s">
        <v>2357</v>
      </c>
      <c r="M31" s="1728"/>
      <c r="N31" s="1728"/>
      <c r="O31" s="1570" t="s">
        <v>77</v>
      </c>
      <c r="P31" s="1570"/>
      <c r="Q31" s="1777"/>
      <c r="S31" s="1771" t="s">
        <v>2890</v>
      </c>
      <c r="T31" s="1771"/>
    </row>
    <row r="32" spans="1:20" s="330" customFormat="1" ht="13.15" customHeight="1">
      <c r="A32" s="363"/>
      <c r="B32" s="1740" t="s">
        <v>2796</v>
      </c>
      <c r="C32" s="1741"/>
      <c r="D32" s="1741"/>
      <c r="E32" s="1493" t="s">
        <v>3838</v>
      </c>
      <c r="F32" s="1738"/>
      <c r="G32" s="1739"/>
      <c r="H32" s="1784">
        <v>1515000</v>
      </c>
      <c r="I32" s="1745"/>
      <c r="J32" s="1329">
        <v>6.5000000000000002E-2</v>
      </c>
      <c r="K32" s="1294">
        <v>18</v>
      </c>
      <c r="L32" s="1294">
        <v>30</v>
      </c>
      <c r="M32" s="1742">
        <f t="shared" ref="M32:M37" si="0">IF(OR(H32&lt;=0,H32=""),"",IF(O32="Amortizing",-PMT(J32/12,L32*12,H32,0,0)*12,""))</f>
        <v>114909.96667102081</v>
      </c>
      <c r="N32" s="1743"/>
      <c r="O32" s="1581" t="s">
        <v>3791</v>
      </c>
      <c r="P32" s="1582"/>
      <c r="Q32" s="1330">
        <v>1.66</v>
      </c>
      <c r="S32" s="1757"/>
      <c r="T32" s="1758"/>
    </row>
    <row r="33" spans="1:20" s="330" customFormat="1" ht="13.15" customHeight="1">
      <c r="A33" s="363"/>
      <c r="B33" s="1736" t="s">
        <v>2797</v>
      </c>
      <c r="C33" s="1737"/>
      <c r="D33" s="1737"/>
      <c r="E33" s="1589"/>
      <c r="F33" s="1788"/>
      <c r="G33" s="1789"/>
      <c r="H33" s="1733"/>
      <c r="I33" s="1745"/>
      <c r="J33" s="1329"/>
      <c r="K33" s="1294"/>
      <c r="L33" s="1294"/>
      <c r="M33" s="1742" t="str">
        <f t="shared" si="0"/>
        <v/>
      </c>
      <c r="N33" s="1743"/>
      <c r="O33" s="1581"/>
      <c r="P33" s="1582"/>
      <c r="Q33" s="1330"/>
      <c r="S33" s="1753"/>
      <c r="T33" s="1754"/>
    </row>
    <row r="34" spans="1:20" s="330" customFormat="1" ht="13.15" customHeight="1">
      <c r="A34" s="363"/>
      <c r="B34" s="1736" t="s">
        <v>2798</v>
      </c>
      <c r="C34" s="1737"/>
      <c r="D34" s="1737"/>
      <c r="E34" s="1506"/>
      <c r="F34" s="1750"/>
      <c r="G34" s="1745"/>
      <c r="H34" s="1733"/>
      <c r="I34" s="1745"/>
      <c r="J34" s="1329"/>
      <c r="K34" s="1294"/>
      <c r="L34" s="1294"/>
      <c r="M34" s="1742" t="str">
        <f t="shared" si="0"/>
        <v/>
      </c>
      <c r="N34" s="1743"/>
      <c r="O34" s="1581"/>
      <c r="P34" s="1582"/>
      <c r="Q34" s="1330"/>
      <c r="S34" s="1753"/>
      <c r="T34" s="1754"/>
    </row>
    <row r="35" spans="1:20" s="330" customFormat="1" ht="13.15" customHeight="1">
      <c r="A35" s="363"/>
      <c r="B35" s="1156" t="s">
        <v>790</v>
      </c>
      <c r="C35" s="1493"/>
      <c r="D35" s="1495"/>
      <c r="E35" s="1506"/>
      <c r="F35" s="1750"/>
      <c r="G35" s="1745"/>
      <c r="H35" s="1733"/>
      <c r="I35" s="1745"/>
      <c r="J35" s="1329"/>
      <c r="K35" s="1294"/>
      <c r="L35" s="1294"/>
      <c r="M35" s="1742" t="str">
        <f t="shared" si="0"/>
        <v/>
      </c>
      <c r="N35" s="1743"/>
      <c r="O35" s="1581"/>
      <c r="P35" s="1582"/>
      <c r="Q35" s="1330"/>
      <c r="S35" s="1753"/>
      <c r="T35" s="1754"/>
    </row>
    <row r="36" spans="1:20" s="330" customFormat="1" ht="13.15" customHeight="1">
      <c r="A36" s="363"/>
      <c r="B36" s="1156" t="s">
        <v>3021</v>
      </c>
      <c r="C36" s="1157"/>
      <c r="D36" s="1159"/>
      <c r="E36" s="1506"/>
      <c r="F36" s="1750"/>
      <c r="G36" s="1745"/>
      <c r="H36" s="1733"/>
      <c r="I36" s="1745"/>
      <c r="J36" s="589"/>
      <c r="K36" s="1155"/>
      <c r="L36" s="1155"/>
      <c r="M36" s="1744" t="str">
        <f t="shared" si="0"/>
        <v/>
      </c>
      <c r="N36" s="1744"/>
      <c r="O36" s="1735"/>
      <c r="P36" s="1735"/>
      <c r="Q36" s="590"/>
      <c r="S36" s="1753"/>
      <c r="T36" s="1754"/>
    </row>
    <row r="37" spans="1:20" s="330" customFormat="1" ht="13.15" customHeight="1">
      <c r="A37" s="363"/>
      <c r="B37" s="1161" t="s">
        <v>239</v>
      </c>
      <c r="C37" s="1162"/>
      <c r="D37" s="444">
        <f>IF(OR(H37="",H37=0,'Part IV-Uses of Funds'!$G$116="",'Part IV-Uses of Funds'!$G$116=0),"",H37/'Part IV-Uses of Funds'!$G$116)</f>
        <v>6.7197056035984776E-2</v>
      </c>
      <c r="E37" s="1506" t="s">
        <v>3723</v>
      </c>
      <c r="F37" s="1750"/>
      <c r="G37" s="1745"/>
      <c r="H37" s="1733">
        <v>119751</v>
      </c>
      <c r="I37" s="1745"/>
      <c r="J37" s="1329">
        <v>0</v>
      </c>
      <c r="K37" s="1294">
        <v>2</v>
      </c>
      <c r="L37" s="1294">
        <v>2</v>
      </c>
      <c r="M37" s="1742" t="str">
        <f t="shared" si="0"/>
        <v/>
      </c>
      <c r="N37" s="1743"/>
      <c r="O37" s="1581" t="s">
        <v>1234</v>
      </c>
      <c r="P37" s="1582"/>
      <c r="Q37" s="1330"/>
      <c r="S37" s="1753"/>
      <c r="T37" s="1754"/>
    </row>
    <row r="38" spans="1:20" s="330" customFormat="1" ht="13.15" customHeight="1">
      <c r="A38" s="363"/>
      <c r="B38" s="1740" t="s">
        <v>2358</v>
      </c>
      <c r="C38" s="1741"/>
      <c r="D38" s="1746"/>
      <c r="E38" s="1506"/>
      <c r="F38" s="1750"/>
      <c r="G38" s="1745"/>
      <c r="H38" s="1748"/>
      <c r="I38" s="1749"/>
      <c r="K38" s="445"/>
      <c r="L38" s="445"/>
      <c r="M38" s="445"/>
      <c r="N38" s="445"/>
      <c r="O38" s="445"/>
      <c r="P38" s="445"/>
      <c r="Q38" s="445"/>
      <c r="S38" s="1757"/>
      <c r="T38" s="1758"/>
    </row>
    <row r="39" spans="1:20" s="330" customFormat="1" ht="13.15" customHeight="1">
      <c r="A39" s="363"/>
      <c r="B39" s="1736" t="s">
        <v>854</v>
      </c>
      <c r="C39" s="1737"/>
      <c r="D39" s="1747"/>
      <c r="E39" s="1506"/>
      <c r="F39" s="1750"/>
      <c r="G39" s="1745"/>
      <c r="H39" s="1748"/>
      <c r="I39" s="1749"/>
      <c r="J39" s="1780" t="s">
        <v>549</v>
      </c>
      <c r="K39" s="1781"/>
      <c r="L39" s="1779" t="s">
        <v>550</v>
      </c>
      <c r="M39" s="1779"/>
      <c r="O39" s="491" t="s">
        <v>548</v>
      </c>
      <c r="P39" s="446"/>
      <c r="Q39" s="445"/>
      <c r="S39" s="1753"/>
      <c r="T39" s="1754"/>
    </row>
    <row r="40" spans="1:20" s="330" customFormat="1" ht="13.15" customHeight="1">
      <c r="A40" s="363"/>
      <c r="B40" s="1736" t="s">
        <v>855</v>
      </c>
      <c r="C40" s="1737"/>
      <c r="D40" s="1747"/>
      <c r="E40" s="1506" t="s">
        <v>3790</v>
      </c>
      <c r="F40" s="1507"/>
      <c r="G40" s="1508"/>
      <c r="H40" s="1733">
        <v>8998200</v>
      </c>
      <c r="I40" s="1734"/>
      <c r="J40" s="1782">
        <f>'Part IV-Uses of Funds'!$J$173*10*'Part IV-Uses of Funds'!$N$166</f>
        <v>9000000</v>
      </c>
      <c r="K40" s="1783"/>
      <c r="L40" s="1778">
        <f>H40-J40</f>
        <v>-1800</v>
      </c>
      <c r="M40" s="1778"/>
      <c r="O40" s="492" t="s">
        <v>2741</v>
      </c>
      <c r="P40" s="446"/>
      <c r="Q40" s="445"/>
      <c r="S40" s="1753"/>
      <c r="T40" s="1754"/>
    </row>
    <row r="41" spans="1:20" s="330" customFormat="1" ht="13.15" customHeight="1">
      <c r="A41" s="363"/>
      <c r="B41" s="1736" t="s">
        <v>856</v>
      </c>
      <c r="C41" s="1737"/>
      <c r="D41" s="1747"/>
      <c r="E41" s="1506" t="s">
        <v>3790</v>
      </c>
      <c r="F41" s="1507"/>
      <c r="G41" s="1508"/>
      <c r="H41" s="1733">
        <v>3900000</v>
      </c>
      <c r="I41" s="1734"/>
      <c r="J41" s="1782">
        <f>'Part IV-Uses of Funds'!$J$173*10*'Part IV-Uses of Funds'!$Q$166</f>
        <v>3900000</v>
      </c>
      <c r="K41" s="1783"/>
      <c r="L41" s="1778">
        <f>H41-J41</f>
        <v>0</v>
      </c>
      <c r="M41" s="1778"/>
      <c r="O41" s="493">
        <f>H40/H50</f>
        <v>0.61915849024743841</v>
      </c>
      <c r="P41" s="446"/>
      <c r="Q41" s="445"/>
      <c r="S41" s="1753"/>
      <c r="T41" s="1754"/>
    </row>
    <row r="42" spans="1:20" s="330" customFormat="1" ht="13.15" customHeight="1">
      <c r="A42" s="363"/>
      <c r="B42" s="1736" t="s">
        <v>1501</v>
      </c>
      <c r="C42" s="1737"/>
      <c r="D42" s="1747"/>
      <c r="E42" s="1506"/>
      <c r="F42" s="1507"/>
      <c r="G42" s="1508"/>
      <c r="H42" s="1733"/>
      <c r="I42" s="1734"/>
      <c r="M42" s="446"/>
      <c r="O42" s="493">
        <f>H41/H50</f>
        <v>0.26835568357727208</v>
      </c>
      <c r="P42" s="446"/>
      <c r="Q42" s="445"/>
      <c r="S42" s="1755"/>
      <c r="T42" s="1756"/>
    </row>
    <row r="43" spans="1:20" s="330" customFormat="1" ht="13.15" customHeight="1">
      <c r="A43" s="363"/>
      <c r="B43" s="1156" t="s">
        <v>563</v>
      </c>
      <c r="C43" s="1157"/>
      <c r="D43" s="1159"/>
      <c r="E43" s="1506"/>
      <c r="F43" s="1507"/>
      <c r="G43" s="1508"/>
      <c r="H43" s="1733"/>
      <c r="I43" s="1734"/>
      <c r="K43" s="363"/>
      <c r="L43" s="363"/>
      <c r="M43" s="446"/>
      <c r="O43" s="494">
        <f>SUM(O41:O42)</f>
        <v>0.88751417382471054</v>
      </c>
      <c r="P43" s="446"/>
      <c r="Q43" s="445"/>
      <c r="S43" s="1753"/>
      <c r="T43" s="1754"/>
    </row>
    <row r="44" spans="1:20" s="330" customFormat="1" ht="13.15" customHeight="1">
      <c r="A44" s="363"/>
      <c r="B44" s="1156" t="s">
        <v>1998</v>
      </c>
      <c r="C44" s="1157"/>
      <c r="D44" s="1159"/>
      <c r="E44" s="1506"/>
      <c r="F44" s="1507"/>
      <c r="G44" s="1508"/>
      <c r="H44" s="1733"/>
      <c r="I44" s="1734"/>
      <c r="J44" s="363"/>
      <c r="M44" s="446"/>
      <c r="N44" s="446"/>
      <c r="O44" s="446"/>
      <c r="P44" s="446"/>
      <c r="Q44" s="445"/>
      <c r="S44" s="1753"/>
      <c r="T44" s="1754"/>
    </row>
    <row r="45" spans="1:20" s="330" customFormat="1" ht="13.15" customHeight="1">
      <c r="A45" s="363"/>
      <c r="B45" s="1156" t="s">
        <v>1999</v>
      </c>
      <c r="C45" s="1157"/>
      <c r="D45" s="1159"/>
      <c r="E45" s="1506"/>
      <c r="F45" s="1507"/>
      <c r="G45" s="1508"/>
      <c r="H45" s="1733"/>
      <c r="I45" s="1734"/>
      <c r="J45" s="363"/>
      <c r="M45" s="446"/>
      <c r="N45" s="446"/>
      <c r="O45" s="446"/>
      <c r="P45" s="446"/>
      <c r="Q45" s="445"/>
      <c r="S45" s="1753"/>
      <c r="T45" s="1754"/>
    </row>
    <row r="46" spans="1:20" s="330" customFormat="1" ht="13.15" customHeight="1">
      <c r="A46" s="363"/>
      <c r="B46" s="1156" t="s">
        <v>790</v>
      </c>
      <c r="C46" s="1506"/>
      <c r="D46" s="1508"/>
      <c r="E46" s="1506"/>
      <c r="F46" s="1507"/>
      <c r="G46" s="1508"/>
      <c r="H46" s="1733"/>
      <c r="I46" s="1734"/>
      <c r="J46" s="363"/>
      <c r="M46" s="446"/>
      <c r="N46" s="446"/>
      <c r="O46" s="446"/>
      <c r="P46" s="446"/>
      <c r="Q46" s="445"/>
      <c r="S46" s="1753"/>
      <c r="T46" s="1754"/>
    </row>
    <row r="47" spans="1:20" s="330" customFormat="1" ht="13.15" customHeight="1">
      <c r="A47" s="363"/>
      <c r="B47" s="1156" t="s">
        <v>790</v>
      </c>
      <c r="C47" s="1506"/>
      <c r="D47" s="1508"/>
      <c r="E47" s="1506"/>
      <c r="F47" s="1507"/>
      <c r="G47" s="1508"/>
      <c r="H47" s="1733"/>
      <c r="I47" s="1734"/>
      <c r="J47" s="363"/>
      <c r="K47" s="363"/>
      <c r="L47" s="447"/>
      <c r="M47" s="446"/>
      <c r="N47" s="446"/>
      <c r="O47" s="446"/>
      <c r="P47" s="446"/>
      <c r="Q47" s="445"/>
      <c r="S47" s="1753"/>
      <c r="T47" s="1754"/>
    </row>
    <row r="48" spans="1:20" s="330" customFormat="1" ht="13.15" customHeight="1">
      <c r="A48" s="363"/>
      <c r="B48" s="1161" t="s">
        <v>790</v>
      </c>
      <c r="C48" s="1506"/>
      <c r="D48" s="1508"/>
      <c r="E48" s="1506"/>
      <c r="F48" s="1507"/>
      <c r="G48" s="1508"/>
      <c r="H48" s="1733"/>
      <c r="I48" s="1734"/>
      <c r="J48" s="363"/>
      <c r="K48" s="363"/>
      <c r="L48" s="447"/>
      <c r="M48" s="446"/>
      <c r="N48" s="446"/>
      <c r="O48" s="446"/>
      <c r="P48" s="446"/>
      <c r="Q48" s="445"/>
      <c r="S48" s="1753"/>
      <c r="T48" s="1754"/>
    </row>
    <row r="49" spans="1:23" s="330" customFormat="1" ht="13.15" customHeight="1">
      <c r="A49" s="363"/>
      <c r="B49" s="1147" t="s">
        <v>2359</v>
      </c>
      <c r="C49" s="363"/>
      <c r="D49" s="363"/>
      <c r="E49" s="363"/>
      <c r="F49" s="363"/>
      <c r="G49" s="363"/>
      <c r="H49" s="1731">
        <f>SUM(H32:I48)</f>
        <v>14532951</v>
      </c>
      <c r="I49" s="1732"/>
      <c r="J49" s="383"/>
      <c r="K49" s="363"/>
      <c r="L49" s="447"/>
      <c r="M49" s="446"/>
      <c r="N49" s="446"/>
      <c r="O49" s="446"/>
      <c r="P49" s="446"/>
      <c r="Q49" s="445"/>
      <c r="S49" s="1753"/>
      <c r="T49" s="1754"/>
    </row>
    <row r="50" spans="1:23" s="330" customFormat="1" ht="13.15" customHeight="1" thickBot="1">
      <c r="A50" s="363"/>
      <c r="B50" s="1147" t="s">
        <v>2360</v>
      </c>
      <c r="C50" s="363"/>
      <c r="D50" s="363"/>
      <c r="E50" s="363"/>
      <c r="F50" s="363"/>
      <c r="G50" s="363"/>
      <c r="H50" s="1729">
        <f>'Part IV-Uses of Funds'!$G$130</f>
        <v>14532951</v>
      </c>
      <c r="I50" s="1730"/>
      <c r="J50" s="383"/>
      <c r="K50" s="363"/>
      <c r="L50" s="447"/>
      <c r="M50" s="446"/>
      <c r="N50" s="446"/>
      <c r="O50" s="446"/>
      <c r="P50" s="446"/>
      <c r="Q50" s="445"/>
      <c r="S50" s="1753"/>
      <c r="T50" s="1754"/>
    </row>
    <row r="51" spans="1:23" s="330" customFormat="1" ht="13.15" customHeight="1" thickBot="1">
      <c r="A51" s="363"/>
      <c r="B51" s="369" t="s">
        <v>1630</v>
      </c>
      <c r="C51" s="363"/>
      <c r="D51" s="363"/>
      <c r="E51" s="363"/>
      <c r="F51" s="363"/>
      <c r="G51" s="363"/>
      <c r="H51" s="1759">
        <f>H49-H50</f>
        <v>0</v>
      </c>
      <c r="I51" s="1760"/>
      <c r="J51" s="383"/>
      <c r="K51" s="363"/>
      <c r="L51" s="447"/>
      <c r="M51" s="446"/>
      <c r="N51" s="446"/>
      <c r="O51" s="446"/>
      <c r="P51" s="446"/>
      <c r="Q51" s="445"/>
      <c r="S51" s="1755"/>
      <c r="T51" s="1756"/>
    </row>
    <row r="52" spans="1:23" s="330" customFormat="1" ht="13.15" customHeight="1">
      <c r="A52" s="363" t="s">
        <v>3022</v>
      </c>
      <c r="B52" s="369"/>
      <c r="C52" s="363"/>
      <c r="D52" s="363"/>
      <c r="E52" s="363"/>
      <c r="F52" s="363"/>
      <c r="G52" s="363"/>
      <c r="H52" s="439"/>
      <c r="I52" s="439"/>
      <c r="J52" s="383"/>
      <c r="K52" s="363"/>
      <c r="L52" s="447"/>
      <c r="M52" s="446"/>
      <c r="N52" s="446"/>
      <c r="O52" s="446"/>
      <c r="P52" s="446"/>
      <c r="Q52" s="445"/>
      <c r="S52" s="1331"/>
      <c r="T52" s="1331"/>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1915</v>
      </c>
      <c r="B54" s="366" t="s">
        <v>607</v>
      </c>
      <c r="C54" s="383"/>
      <c r="D54" s="383"/>
      <c r="E54" s="383"/>
      <c r="F54" s="383"/>
      <c r="G54" s="383"/>
      <c r="H54" s="383"/>
      <c r="I54" s="383"/>
      <c r="J54" s="383"/>
      <c r="K54" s="366" t="s">
        <v>1915</v>
      </c>
      <c r="L54" s="366" t="s">
        <v>82</v>
      </c>
      <c r="M54" s="383"/>
      <c r="N54" s="383"/>
      <c r="O54" s="383"/>
      <c r="P54" s="383"/>
      <c r="Q54" s="383"/>
    </row>
    <row r="55" spans="1:23" ht="5.45" customHeight="1">
      <c r="B55" s="418"/>
    </row>
    <row r="56" spans="1:23" ht="109.5" customHeight="1">
      <c r="A56" s="1551" t="s">
        <v>3834</v>
      </c>
      <c r="B56" s="1726"/>
      <c r="C56" s="1726"/>
      <c r="D56" s="1726"/>
      <c r="E56" s="1726"/>
      <c r="F56" s="1726"/>
      <c r="G56" s="1726"/>
      <c r="H56" s="1726"/>
      <c r="I56" s="1726"/>
      <c r="J56" s="1727"/>
      <c r="K56" s="1554"/>
      <c r="L56" s="1726"/>
      <c r="M56" s="1726"/>
      <c r="N56" s="1726"/>
      <c r="O56" s="1726"/>
      <c r="P56" s="1726"/>
      <c r="Q56" s="1727"/>
      <c r="S56" s="1792" t="s">
        <v>2923</v>
      </c>
      <c r="T56" s="1792"/>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7"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98" t="str">
        <f>CONCATENATE("PART III B: USD 538 LOAN","  -  ",'Part I-Project Information'!$O$4," ",'Part I-Project Information'!$F$23,", ",'Part I-Project Information'!$F$27,", ",'Part I-Project Information'!$J$28," County")</f>
        <v>PART III B: USD 538 LOAN  -  2014-006 North Grove Apartments, Athens, Clarke County</v>
      </c>
      <c r="B1" s="1799"/>
      <c r="C1" s="1799"/>
      <c r="D1" s="1799"/>
      <c r="E1" s="1799"/>
      <c r="F1" s="180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807" t="s">
        <v>226</v>
      </c>
      <c r="B3" s="1807"/>
      <c r="C3" s="1807"/>
      <c r="D3" s="1807"/>
      <c r="E3" s="1807"/>
      <c r="F3" s="1807"/>
      <c r="G3" s="239"/>
      <c r="H3" s="239"/>
    </row>
    <row r="4" spans="1:17" s="227" customFormat="1" ht="6" customHeight="1"/>
    <row r="5" spans="1:17">
      <c r="A5" s="40" t="s">
        <v>2402</v>
      </c>
      <c r="B5" s="40"/>
      <c r="C5" s="312"/>
      <c r="D5" s="313">
        <f>IF(C5&gt;1500000,1500000,0)</f>
        <v>0</v>
      </c>
      <c r="E5" s="314">
        <f>IF(C5&gt;1500000,C5-1500000,0)</f>
        <v>0</v>
      </c>
    </row>
    <row r="6" spans="1:17">
      <c r="A6" s="40" t="s">
        <v>2630</v>
      </c>
      <c r="B6" s="262" t="s">
        <v>536</v>
      </c>
      <c r="C6" s="315">
        <v>0</v>
      </c>
      <c r="D6" s="138" t="s">
        <v>537</v>
      </c>
      <c r="E6" s="40"/>
    </row>
    <row r="7" spans="1:17">
      <c r="A7" s="40"/>
      <c r="B7" s="262" t="s">
        <v>2646</v>
      </c>
      <c r="C7" s="316"/>
      <c r="D7" s="138" t="s">
        <v>1775</v>
      </c>
      <c r="E7" s="40"/>
    </row>
    <row r="8" spans="1:17" ht="13.15" customHeight="1">
      <c r="A8" s="40" t="s">
        <v>2634</v>
      </c>
      <c r="B8" s="40"/>
      <c r="C8" s="315">
        <v>0</v>
      </c>
      <c r="D8" s="138" t="s">
        <v>1776</v>
      </c>
      <c r="E8" s="40"/>
    </row>
    <row r="9" spans="1:17">
      <c r="A9" s="40" t="s">
        <v>1474</v>
      </c>
      <c r="B9" s="40"/>
      <c r="C9" s="317"/>
      <c r="D9" s="40"/>
      <c r="E9" s="40"/>
    </row>
    <row r="10" spans="1:17">
      <c r="A10" s="40" t="s">
        <v>1475</v>
      </c>
      <c r="B10" s="40"/>
      <c r="C10" s="317"/>
      <c r="D10" s="40"/>
      <c r="E10" s="40"/>
    </row>
    <row r="11" spans="1:17">
      <c r="A11" s="40" t="s">
        <v>1472</v>
      </c>
      <c r="B11" s="40"/>
      <c r="C11" s="318" t="e">
        <f>PMT(C7/12,C10*12,-C5,0,0)*12</f>
        <v>#NUM!</v>
      </c>
      <c r="D11" s="313" t="e">
        <f>PMT($C$7/12,$C$10*12,-D5,0,0)*12</f>
        <v>#NUM!</v>
      </c>
      <c r="E11" s="313" t="e">
        <f>PMT($C$7/12,$C$10*12,-E5,0,0)*12</f>
        <v>#NUM!</v>
      </c>
    </row>
    <row r="12" spans="1:17">
      <c r="A12" s="40" t="s">
        <v>1473</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808" t="s">
        <v>131</v>
      </c>
      <c r="B14" s="1808"/>
      <c r="C14" s="1808"/>
      <c r="D14" s="1808"/>
      <c r="E14" s="1808"/>
      <c r="F14" s="1808"/>
      <c r="G14" s="239"/>
      <c r="H14" s="239"/>
    </row>
    <row r="15" spans="1:17" ht="5.45" customHeight="1">
      <c r="A15" s="32"/>
      <c r="E15" s="250"/>
      <c r="F15" s="239"/>
      <c r="G15" s="239"/>
      <c r="H15" s="239"/>
    </row>
    <row r="16" spans="1:17" ht="13.15" customHeight="1">
      <c r="A16" s="252" t="s">
        <v>2647</v>
      </c>
      <c r="B16" s="253" t="s">
        <v>2644</v>
      </c>
      <c r="C16" s="253" t="s">
        <v>2645</v>
      </c>
      <c r="D16" s="1804" t="s">
        <v>2401</v>
      </c>
      <c r="E16" s="1804"/>
      <c r="F16" s="239"/>
      <c r="G16" s="239"/>
      <c r="H16" s="239"/>
    </row>
    <row r="17" spans="1:8" ht="12.6" customHeight="1">
      <c r="A17" s="94">
        <v>1</v>
      </c>
      <c r="B17" s="228">
        <f>IF(A17&gt;$C$9,0,SUM(C64:C75)*($C$6/$C$7))</f>
        <v>0</v>
      </c>
      <c r="C17" s="251">
        <f>IF(A17&gt;C9,0,(E63+K63)*$C$8)</f>
        <v>0</v>
      </c>
      <c r="D17" s="1809">
        <f t="shared" ref="D17:D56" si="0">IF(A17&gt;$C$9,0,$C$11+C17)</f>
        <v>0</v>
      </c>
      <c r="E17" s="1809"/>
      <c r="F17" s="239"/>
      <c r="G17" s="239"/>
      <c r="H17" s="239"/>
    </row>
    <row r="18" spans="1:8" ht="12.6" customHeight="1">
      <c r="A18" s="94">
        <v>2</v>
      </c>
      <c r="B18" s="228">
        <f>IF(A18&gt;C9,0,SUM(C76:C87)*($C$6/$C$7))</f>
        <v>0</v>
      </c>
      <c r="C18" s="258">
        <f>IF(A18&gt;C9,0,(E75+K75)*$C$8)</f>
        <v>0</v>
      </c>
      <c r="D18" s="1801">
        <f t="shared" si="0"/>
        <v>0</v>
      </c>
      <c r="E18" s="1801"/>
      <c r="F18" s="239"/>
      <c r="G18" s="239"/>
      <c r="H18" s="239"/>
    </row>
    <row r="19" spans="1:8" ht="12.6" customHeight="1">
      <c r="A19" s="94">
        <v>3</v>
      </c>
      <c r="B19" s="228">
        <f>IF(A19&gt;C9,0,SUM(C88:C99)*($C$6/$C$7))</f>
        <v>0</v>
      </c>
      <c r="C19" s="251">
        <f>IF(A19&gt;C9,0,(E87+K87)*$C$8)</f>
        <v>0</v>
      </c>
      <c r="D19" s="1801">
        <f t="shared" si="0"/>
        <v>0</v>
      </c>
      <c r="E19" s="1801"/>
      <c r="F19" s="239"/>
      <c r="G19" s="239"/>
      <c r="H19" s="239"/>
    </row>
    <row r="20" spans="1:8" ht="12.6" customHeight="1">
      <c r="A20" s="94">
        <v>4</v>
      </c>
      <c r="B20" s="228">
        <f>IF(A20&gt;C9,0,SUM(C100:C111)*($C$6/$C$7))</f>
        <v>0</v>
      </c>
      <c r="C20" s="251">
        <f>IF(A20&gt;C9,0,(E99+K99)*$C$8)</f>
        <v>0</v>
      </c>
      <c r="D20" s="1801">
        <f t="shared" si="0"/>
        <v>0</v>
      </c>
      <c r="E20" s="1801"/>
      <c r="F20" s="239"/>
      <c r="G20" s="239"/>
      <c r="H20" s="239"/>
    </row>
    <row r="21" spans="1:8" ht="12.6" customHeight="1">
      <c r="A21" s="94">
        <v>5</v>
      </c>
      <c r="B21" s="228">
        <f>IF(A21&gt;C9,0,SUM(C112:C123)*($C$6/$C$7))</f>
        <v>0</v>
      </c>
      <c r="C21" s="251">
        <f>IF(A21&gt;C9,0,(E111+K111)*$C$8)</f>
        <v>0</v>
      </c>
      <c r="D21" s="1802">
        <f t="shared" si="0"/>
        <v>0</v>
      </c>
      <c r="E21" s="1802"/>
      <c r="F21" s="239"/>
      <c r="G21" s="239"/>
      <c r="H21" s="239"/>
    </row>
    <row r="22" spans="1:8" ht="12.6" customHeight="1">
      <c r="A22" s="229">
        <v>6</v>
      </c>
      <c r="B22" s="230">
        <f>IF(A22&gt;C9,0,SUM(C124:C135)*($C$6/$C$7))</f>
        <v>0</v>
      </c>
      <c r="C22" s="255">
        <f>IF(A22&gt;C9,0,(E123+K123)*$C$8)</f>
        <v>0</v>
      </c>
      <c r="D22" s="1801">
        <f t="shared" si="0"/>
        <v>0</v>
      </c>
      <c r="E22" s="1801"/>
      <c r="F22" s="239"/>
      <c r="G22" s="239"/>
      <c r="H22" s="239"/>
    </row>
    <row r="23" spans="1:8" ht="12.6" customHeight="1">
      <c r="A23" s="231">
        <v>7</v>
      </c>
      <c r="B23" s="232">
        <f>IF(A23&gt;C9,0,SUM(C136:C147)*($C$6/$C$7))</f>
        <v>0</v>
      </c>
      <c r="C23" s="233">
        <f>IF(A23&gt;C9,0,(E135+K135)*$C$8)</f>
        <v>0</v>
      </c>
      <c r="D23" s="1801">
        <f t="shared" si="0"/>
        <v>0</v>
      </c>
      <c r="E23" s="1801"/>
      <c r="F23" s="239"/>
      <c r="G23" s="239"/>
      <c r="H23" s="239"/>
    </row>
    <row r="24" spans="1:8" ht="12.6" customHeight="1">
      <c r="A24" s="231">
        <v>8</v>
      </c>
      <c r="B24" s="232">
        <f>IF(A24&gt;C9,0,SUM(C148:C159)*($C$6/$C$7))</f>
        <v>0</v>
      </c>
      <c r="C24" s="233">
        <f>IF(A24&gt;C9,0,(E147+K147)*$C$8)</f>
        <v>0</v>
      </c>
      <c r="D24" s="1801">
        <f t="shared" si="0"/>
        <v>0</v>
      </c>
      <c r="E24" s="1801"/>
      <c r="F24" s="239"/>
      <c r="G24" s="239"/>
      <c r="H24" s="239"/>
    </row>
    <row r="25" spans="1:8" ht="12.6" customHeight="1">
      <c r="A25" s="231">
        <v>9</v>
      </c>
      <c r="B25" s="232">
        <f>IF(A25&gt;C9,0,SUM(C160:C171)*($C$6/$C$7))</f>
        <v>0</v>
      </c>
      <c r="C25" s="233">
        <f>IF(A25&gt;C9,0,(E159+K159)*$C$8)</f>
        <v>0</v>
      </c>
      <c r="D25" s="1801">
        <f t="shared" si="0"/>
        <v>0</v>
      </c>
      <c r="E25" s="1801"/>
      <c r="F25" s="239"/>
      <c r="G25" s="239"/>
      <c r="H25" s="239"/>
    </row>
    <row r="26" spans="1:8" ht="12.6" customHeight="1">
      <c r="A26" s="234">
        <v>10</v>
      </c>
      <c r="B26" s="235">
        <f>IF(A26&gt;C9,0,SUM(C172:C183)*($C$6/$C$7))</f>
        <v>0</v>
      </c>
      <c r="C26" s="254">
        <f>IF(A26&gt;C9,0,(E171+K171)*$C$8)</f>
        <v>0</v>
      </c>
      <c r="D26" s="1802">
        <f t="shared" si="0"/>
        <v>0</v>
      </c>
      <c r="E26" s="1802"/>
      <c r="F26" s="239"/>
      <c r="G26" s="239"/>
      <c r="H26" s="239"/>
    </row>
    <row r="27" spans="1:8" ht="12.6" customHeight="1">
      <c r="A27" s="236">
        <v>11</v>
      </c>
      <c r="B27" s="228">
        <f>IF(A27&gt;C9,0,SUM(C184:C195)*($C$6/$C$7))</f>
        <v>0</v>
      </c>
      <c r="C27" s="251">
        <f>IF(A27&gt;C9,0,(E183+K183)*$C$8)</f>
        <v>0</v>
      </c>
      <c r="D27" s="1801">
        <f t="shared" si="0"/>
        <v>0</v>
      </c>
      <c r="E27" s="1801"/>
      <c r="F27" s="239"/>
      <c r="G27" s="239"/>
      <c r="H27" s="239"/>
    </row>
    <row r="28" spans="1:8" ht="12.6" customHeight="1">
      <c r="A28" s="236">
        <v>12</v>
      </c>
      <c r="B28" s="228">
        <f>IF(A28&gt;C9,0,SUM(C196:C207)*($C$6/$C$7))</f>
        <v>0</v>
      </c>
      <c r="C28" s="251">
        <f>IF(A28&gt;C9,0,(E195+K195)*$C$8)</f>
        <v>0</v>
      </c>
      <c r="D28" s="1801">
        <f t="shared" si="0"/>
        <v>0</v>
      </c>
      <c r="E28" s="1801"/>
      <c r="F28" s="239"/>
      <c r="G28" s="239"/>
      <c r="H28" s="239"/>
    </row>
    <row r="29" spans="1:8" ht="12.6" customHeight="1">
      <c r="A29" s="236">
        <v>13</v>
      </c>
      <c r="B29" s="228">
        <f>IF(A29&gt;C9,0,SUM(C208:C219)*($C$6/$C$7))</f>
        <v>0</v>
      </c>
      <c r="C29" s="251">
        <f>IF(A29&gt;C9,0,(E207+K207)*$C$8)</f>
        <v>0</v>
      </c>
      <c r="D29" s="1801">
        <f t="shared" si="0"/>
        <v>0</v>
      </c>
      <c r="E29" s="1801"/>
      <c r="F29" s="239"/>
      <c r="G29" s="239"/>
      <c r="H29" s="239"/>
    </row>
    <row r="30" spans="1:8" ht="12.6" customHeight="1">
      <c r="A30" s="236">
        <v>14</v>
      </c>
      <c r="B30" s="228">
        <f>IF(A30&gt;C9,0,SUM(C220:C231)*($C$6/$C$7))</f>
        <v>0</v>
      </c>
      <c r="C30" s="251">
        <f>IF(A30&gt;C9,0,(E219+K219)*$C$8)</f>
        <v>0</v>
      </c>
      <c r="D30" s="1801">
        <f t="shared" si="0"/>
        <v>0</v>
      </c>
      <c r="E30" s="1801"/>
      <c r="F30" s="239"/>
      <c r="G30" s="239"/>
      <c r="H30" s="239"/>
    </row>
    <row r="31" spans="1:8" ht="12.6" customHeight="1">
      <c r="A31" s="236">
        <v>15</v>
      </c>
      <c r="B31" s="228">
        <f>IF(A31&gt;C9,0,SUM(C232:C243)*($C$6/$C$7))</f>
        <v>0</v>
      </c>
      <c r="C31" s="251">
        <f>IF(A31&gt;C9,0,(E231+K231)*$C$8)</f>
        <v>0</v>
      </c>
      <c r="D31" s="1802">
        <f t="shared" si="0"/>
        <v>0</v>
      </c>
      <c r="E31" s="1802"/>
      <c r="F31" s="239"/>
      <c r="G31" s="239"/>
      <c r="H31" s="239"/>
    </row>
    <row r="32" spans="1:8" ht="12.6" customHeight="1">
      <c r="A32" s="238">
        <v>16</v>
      </c>
      <c r="B32" s="230">
        <f>IF(A32&gt;C9,0,SUM(C244:C255)*($C$6/$C$7))</f>
        <v>0</v>
      </c>
      <c r="C32" s="255">
        <f>IF(A32&gt;C9,0,(E243+K243)*$C$8)</f>
        <v>0</v>
      </c>
      <c r="D32" s="1801">
        <f t="shared" si="0"/>
        <v>0</v>
      </c>
      <c r="E32" s="1801"/>
      <c r="F32" s="239"/>
      <c r="G32" s="239"/>
      <c r="H32" s="239"/>
    </row>
    <row r="33" spans="1:8" ht="12.6" customHeight="1">
      <c r="A33" s="231">
        <v>17</v>
      </c>
      <c r="B33" s="232">
        <f>IF(A33&gt;C9,0,SUM(C256:C267)*($C$6/$C$7))</f>
        <v>0</v>
      </c>
      <c r="C33" s="233">
        <f>IF(A33&gt;C9,0,(E255+K255)*$C$8)</f>
        <v>0</v>
      </c>
      <c r="D33" s="1801">
        <f t="shared" si="0"/>
        <v>0</v>
      </c>
      <c r="E33" s="1801"/>
      <c r="F33" s="239"/>
      <c r="G33" s="239"/>
      <c r="H33" s="239"/>
    </row>
    <row r="34" spans="1:8" ht="12.6" customHeight="1">
      <c r="A34" s="231">
        <v>18</v>
      </c>
      <c r="B34" s="232">
        <f>IF(A34&gt;C9,0,SUM(C268:C279)*($C$6/$C$7))</f>
        <v>0</v>
      </c>
      <c r="C34" s="233">
        <f>IF(A34&gt;C9,0,(E267+K267)*$C$8)</f>
        <v>0</v>
      </c>
      <c r="D34" s="1801">
        <f t="shared" si="0"/>
        <v>0</v>
      </c>
      <c r="E34" s="1801"/>
      <c r="F34" s="239"/>
      <c r="G34" s="239"/>
      <c r="H34" s="239"/>
    </row>
    <row r="35" spans="1:8" ht="12.6" customHeight="1">
      <c r="A35" s="231">
        <v>19</v>
      </c>
      <c r="B35" s="232">
        <f>IF(A35&gt;C9,0,SUM(C280:C291)*($C$6/$C$7))</f>
        <v>0</v>
      </c>
      <c r="C35" s="233">
        <f>IF(A35&gt;C9,0,(E279+K279)*$C$8)</f>
        <v>0</v>
      </c>
      <c r="D35" s="1801">
        <f t="shared" si="0"/>
        <v>0</v>
      </c>
      <c r="E35" s="1801"/>
      <c r="F35" s="239"/>
      <c r="G35" s="239"/>
      <c r="H35" s="239"/>
    </row>
    <row r="36" spans="1:8" ht="12.6" customHeight="1">
      <c r="A36" s="234">
        <v>20</v>
      </c>
      <c r="B36" s="235">
        <f>IF(A36&gt;C9,0,SUM(C292:C303)*($C$6/$C$7))</f>
        <v>0</v>
      </c>
      <c r="C36" s="254">
        <f>IF(A36&gt;C9,0,(E291+K291)*$C$8)</f>
        <v>0</v>
      </c>
      <c r="D36" s="1802">
        <f t="shared" si="0"/>
        <v>0</v>
      </c>
      <c r="E36" s="1802"/>
      <c r="F36" s="239"/>
      <c r="G36" s="239"/>
      <c r="H36" s="239"/>
    </row>
    <row r="37" spans="1:8" ht="12.6" customHeight="1">
      <c r="A37" s="94">
        <v>21</v>
      </c>
      <c r="B37" s="230">
        <f>IF(A37&gt;C9,0,SUM(C293:C304)*($C$6/$C$7))</f>
        <v>0</v>
      </c>
      <c r="C37" s="255">
        <f>IF(A37&gt;C9,0,(E303+K303)*$C$8)</f>
        <v>0</v>
      </c>
      <c r="D37" s="1803">
        <f t="shared" si="0"/>
        <v>0</v>
      </c>
      <c r="E37" s="1803"/>
      <c r="F37" s="239"/>
      <c r="G37" s="239"/>
      <c r="H37" s="239"/>
    </row>
    <row r="38" spans="1:8" ht="12.6" customHeight="1">
      <c r="A38" s="94">
        <v>22</v>
      </c>
      <c r="B38" s="232">
        <f>IF(A38&gt;C9,0,SUM(C294:C305)*($C$6/$C$7))</f>
        <v>0</v>
      </c>
      <c r="C38" s="233">
        <f>IF(A38&gt;C9,0,(E315+K315)*$C$8)</f>
        <v>0</v>
      </c>
      <c r="D38" s="1801">
        <f t="shared" si="0"/>
        <v>0</v>
      </c>
      <c r="E38" s="1801"/>
      <c r="F38" s="239"/>
      <c r="G38" s="239"/>
      <c r="H38" s="239"/>
    </row>
    <row r="39" spans="1:8" ht="12.6" customHeight="1">
      <c r="A39" s="94">
        <v>23</v>
      </c>
      <c r="B39" s="232">
        <f>IF(A39&gt;C9,0,SUM(C295:C306)*($C$6/$C$7))</f>
        <v>0</v>
      </c>
      <c r="C39" s="233">
        <f>IF(A39&gt;C9,0,(E327+K327)*$C$8)</f>
        <v>0</v>
      </c>
      <c r="D39" s="1801">
        <f t="shared" si="0"/>
        <v>0</v>
      </c>
      <c r="E39" s="1801"/>
      <c r="F39" s="239"/>
      <c r="G39" s="239"/>
      <c r="H39" s="239"/>
    </row>
    <row r="40" spans="1:8" ht="12.6" customHeight="1">
      <c r="A40" s="94">
        <v>24</v>
      </c>
      <c r="B40" s="232">
        <f>IF(A40&gt;C9,0,SUM(C296:C307)*($C$6/$C$7))</f>
        <v>0</v>
      </c>
      <c r="C40" s="233">
        <f>IF(A40&gt;C9,0,(E339+K339)*$C$8)</f>
        <v>0</v>
      </c>
      <c r="D40" s="1801">
        <f t="shared" si="0"/>
        <v>0</v>
      </c>
      <c r="E40" s="1801"/>
      <c r="F40" s="239"/>
      <c r="G40" s="239"/>
      <c r="H40" s="239"/>
    </row>
    <row r="41" spans="1:8" ht="12.6" customHeight="1">
      <c r="A41" s="94">
        <v>25</v>
      </c>
      <c r="B41" s="235">
        <f>IF(A41&gt;C9,0,SUM(C297:C308)*($C$6/$C$7))</f>
        <v>0</v>
      </c>
      <c r="C41" s="254">
        <f>IF(A41&gt;C9,0,(E351+K351)*$C$8)</f>
        <v>0</v>
      </c>
      <c r="D41" s="1802">
        <f t="shared" si="0"/>
        <v>0</v>
      </c>
      <c r="E41" s="1802"/>
      <c r="F41" s="239"/>
      <c r="G41" s="239"/>
      <c r="H41" s="239"/>
    </row>
    <row r="42" spans="1:8" ht="12.6" customHeight="1">
      <c r="A42" s="229">
        <v>26</v>
      </c>
      <c r="B42" s="230">
        <f>IF(A42&gt;C9,0,SUM(C298:C309)*($C$6/$C$7))</f>
        <v>0</v>
      </c>
      <c r="C42" s="255">
        <f>IF(A42&gt;C9,0,(E363+K363)*$C$8)</f>
        <v>0</v>
      </c>
      <c r="D42" s="1803">
        <f t="shared" si="0"/>
        <v>0</v>
      </c>
      <c r="E42" s="1803"/>
      <c r="F42" s="239"/>
      <c r="G42" s="239"/>
      <c r="H42" s="239"/>
    </row>
    <row r="43" spans="1:8" ht="12.6" customHeight="1">
      <c r="A43" s="231">
        <v>27</v>
      </c>
      <c r="B43" s="232">
        <f>IF(A43&gt;C9,0,SUM(C299:C310)*($C$6/$C$7))</f>
        <v>0</v>
      </c>
      <c r="C43" s="233">
        <f>IF(A43&gt;C9,0,(E375+K375)*$C$8)</f>
        <v>0</v>
      </c>
      <c r="D43" s="1801">
        <f t="shared" si="0"/>
        <v>0</v>
      </c>
      <c r="E43" s="1801"/>
      <c r="F43" s="239"/>
      <c r="G43" s="239"/>
      <c r="H43" s="239"/>
    </row>
    <row r="44" spans="1:8" ht="12.6" customHeight="1">
      <c r="A44" s="231">
        <v>28</v>
      </c>
      <c r="B44" s="232">
        <f>IF(A44&gt;C9,0,SUM(C300:C311)*($C$6/$C$7))</f>
        <v>0</v>
      </c>
      <c r="C44" s="233">
        <f>IF(A44&gt;C9,0,(E387+K387)*$C$8)</f>
        <v>0</v>
      </c>
      <c r="D44" s="1801">
        <f t="shared" si="0"/>
        <v>0</v>
      </c>
      <c r="E44" s="1801"/>
      <c r="F44" s="239"/>
      <c r="G44" s="239"/>
      <c r="H44" s="239"/>
    </row>
    <row r="45" spans="1:8" ht="12.6" customHeight="1">
      <c r="A45" s="231">
        <v>29</v>
      </c>
      <c r="B45" s="232">
        <f>IF(A45&gt;C9,0,SUM(C301:C312)*($C$6/$C$7))</f>
        <v>0</v>
      </c>
      <c r="C45" s="233">
        <f>IF(A45&gt;C9,0,(E411+K411)*$C$8)</f>
        <v>0</v>
      </c>
      <c r="D45" s="1801">
        <f t="shared" si="0"/>
        <v>0</v>
      </c>
      <c r="E45" s="1801"/>
      <c r="F45" s="239"/>
      <c r="G45" s="239"/>
      <c r="H45" s="239"/>
    </row>
    <row r="46" spans="1:8" ht="12.6" customHeight="1">
      <c r="A46" s="234">
        <v>30</v>
      </c>
      <c r="B46" s="235">
        <f>IF(A46&gt;C9,0,SUM(C302:C313)*($C$6/$C$7))</f>
        <v>0</v>
      </c>
      <c r="C46" s="254">
        <f>IF(A46&gt;C9,0,(E423+K423)*$C$8)</f>
        <v>0</v>
      </c>
      <c r="D46" s="1802">
        <f t="shared" si="0"/>
        <v>0</v>
      </c>
      <c r="E46" s="1802"/>
      <c r="F46" s="239"/>
      <c r="G46" s="239"/>
      <c r="H46" s="239"/>
    </row>
    <row r="47" spans="1:8" ht="12.6" customHeight="1">
      <c r="A47" s="238">
        <v>31</v>
      </c>
      <c r="B47" s="230">
        <f>IF(A47&gt;C9,0,SUM(C303:C314)*($C$6/$C$7))</f>
        <v>0</v>
      </c>
      <c r="C47" s="255">
        <f>IF(A47&gt;C9,0,(E435+K435)*$C$8)</f>
        <v>0</v>
      </c>
      <c r="D47" s="1803">
        <f t="shared" si="0"/>
        <v>0</v>
      </c>
      <c r="E47" s="1803"/>
      <c r="F47" s="239"/>
      <c r="G47" s="239"/>
      <c r="H47" s="239"/>
    </row>
    <row r="48" spans="1:8" ht="12.6" customHeight="1">
      <c r="A48" s="231">
        <v>32</v>
      </c>
      <c r="B48" s="232">
        <f>IF(A48&gt;C9,0,SUM(C304:C315)*($C$6/$C$7))</f>
        <v>0</v>
      </c>
      <c r="C48" s="233">
        <f>IF(A48&gt;C9,0,(E447+K447)*$C$8)</f>
        <v>0</v>
      </c>
      <c r="D48" s="1801">
        <f t="shared" si="0"/>
        <v>0</v>
      </c>
      <c r="E48" s="1801"/>
      <c r="F48" s="239"/>
      <c r="G48" s="239"/>
      <c r="H48" s="239"/>
    </row>
    <row r="49" spans="1:12" ht="12.6" customHeight="1">
      <c r="A49" s="231">
        <v>33</v>
      </c>
      <c r="B49" s="232">
        <f>IF(A49&gt;C9,0,SUM(C305:C316)*($C$6/$C$7))</f>
        <v>0</v>
      </c>
      <c r="C49" s="233">
        <f>IF(A49&gt;C9,0,(E459+K459)*$C$8)</f>
        <v>0</v>
      </c>
      <c r="D49" s="1801">
        <f t="shared" si="0"/>
        <v>0</v>
      </c>
      <c r="E49" s="1801"/>
      <c r="F49" s="239"/>
      <c r="G49" s="239"/>
      <c r="H49" s="239"/>
    </row>
    <row r="50" spans="1:12" ht="12.6" customHeight="1">
      <c r="A50" s="231">
        <v>34</v>
      </c>
      <c r="B50" s="232">
        <f>IF(A50&gt;C9,0,SUM(C306:C317)*($C$6/$C$7))</f>
        <v>0</v>
      </c>
      <c r="C50" s="233">
        <f>IF(A50&gt;C9,0,(E471+K471)*$C$8)</f>
        <v>0</v>
      </c>
      <c r="D50" s="1801">
        <f t="shared" si="0"/>
        <v>0</v>
      </c>
      <c r="E50" s="1801"/>
      <c r="F50" s="239"/>
      <c r="G50" s="239"/>
      <c r="H50" s="239"/>
    </row>
    <row r="51" spans="1:12" ht="12.6" customHeight="1">
      <c r="A51" s="234">
        <v>35</v>
      </c>
      <c r="B51" s="235">
        <f>IF(A51&gt;C9,0,SUM(C307:C318)*($C$6/$C$7))</f>
        <v>0</v>
      </c>
      <c r="C51" s="254">
        <f>IF(A51&gt;C9,0,(E483+K483)*$C$8)</f>
        <v>0</v>
      </c>
      <c r="D51" s="1802">
        <f t="shared" si="0"/>
        <v>0</v>
      </c>
      <c r="E51" s="1802"/>
      <c r="F51" s="239"/>
      <c r="G51" s="239"/>
      <c r="H51" s="239"/>
    </row>
    <row r="52" spans="1:12" ht="12.6" customHeight="1">
      <c r="A52" s="238">
        <v>36</v>
      </c>
      <c r="B52" s="230">
        <f>IF(A52&gt;C9,0,SUM(C308:C319)*($C$6/$C$7))</f>
        <v>0</v>
      </c>
      <c r="C52" s="255">
        <f>IF(A52&gt;C9,0,(E495+K495)*$C$8)</f>
        <v>0</v>
      </c>
      <c r="D52" s="1803">
        <f t="shared" si="0"/>
        <v>0</v>
      </c>
      <c r="E52" s="1803"/>
      <c r="F52" s="239"/>
      <c r="G52" s="239"/>
      <c r="H52" s="239"/>
    </row>
    <row r="53" spans="1:12" ht="12.6" customHeight="1">
      <c r="A53" s="231">
        <v>37</v>
      </c>
      <c r="B53" s="232">
        <f>IF(A53&gt;C9,0,SUM(C309:C320)*($C$6/$C$7))</f>
        <v>0</v>
      </c>
      <c r="C53" s="233">
        <f>IF(A53&gt;C9,0,(E507+K507)*$C$8)</f>
        <v>0</v>
      </c>
      <c r="D53" s="1801">
        <f t="shared" si="0"/>
        <v>0</v>
      </c>
      <c r="E53" s="1801"/>
      <c r="F53" s="239"/>
      <c r="G53" s="239"/>
      <c r="H53" s="239"/>
    </row>
    <row r="54" spans="1:12" ht="12.6" customHeight="1">
      <c r="A54" s="231">
        <v>38</v>
      </c>
      <c r="B54" s="232">
        <f>IF(A54&gt;C9,0,SUM(C310:C321)*($C$6/$C$7))</f>
        <v>0</v>
      </c>
      <c r="C54" s="233">
        <f>IF(A54&gt;C9,0,(E519+K519)*$C$8)</f>
        <v>0</v>
      </c>
      <c r="D54" s="1801">
        <f t="shared" si="0"/>
        <v>0</v>
      </c>
      <c r="E54" s="1801"/>
      <c r="F54" s="239"/>
      <c r="G54" s="239"/>
      <c r="H54" s="239"/>
    </row>
    <row r="55" spans="1:12" ht="12.6" customHeight="1">
      <c r="A55" s="231">
        <v>39</v>
      </c>
      <c r="B55" s="232">
        <f>IF(A55&gt;C9,0,SUM(C311:C322)*($C$6/$C$7))</f>
        <v>0</v>
      </c>
      <c r="C55" s="233">
        <f>IF(A55&gt;C9,0,(E531+K531)*$C$8)</f>
        <v>0</v>
      </c>
      <c r="D55" s="1801">
        <f t="shared" si="0"/>
        <v>0</v>
      </c>
      <c r="E55" s="1801"/>
      <c r="F55" s="239"/>
      <c r="G55" s="239"/>
      <c r="H55" s="239"/>
    </row>
    <row r="56" spans="1:12" ht="12.6" customHeight="1">
      <c r="A56" s="234">
        <v>40</v>
      </c>
      <c r="B56" s="235">
        <f>IF(A56&gt;C9,0,SUM(C312:C323)*($C$6/$C$7))</f>
        <v>0</v>
      </c>
      <c r="C56" s="254">
        <f>IF(A56&gt;C9,0,(E543+K543)*$C$8)</f>
        <v>0</v>
      </c>
      <c r="D56" s="1802">
        <f t="shared" si="0"/>
        <v>0</v>
      </c>
      <c r="E56" s="1802"/>
      <c r="F56" s="239"/>
      <c r="G56" s="239"/>
      <c r="H56" s="239"/>
    </row>
    <row r="57" spans="1:12" ht="3" customHeight="1">
      <c r="A57" s="239"/>
      <c r="B57" s="239"/>
      <c r="C57" s="239"/>
      <c r="D57" s="239"/>
      <c r="E57" s="239"/>
      <c r="F57" s="239"/>
      <c r="G57" s="239"/>
      <c r="H57" s="239"/>
    </row>
    <row r="58" spans="1:12" ht="13.15" customHeight="1">
      <c r="A58" s="1805" t="str">
        <f>CONCATENATE('Part I-Project Information'!$O$4," ",'Part I-Project Information'!$F$23,", ",'Part I-Project Information'!$F$27,", ",'Part I-Project Information'!$J$28," County")</f>
        <v>2014-006 North Grove Apartments, Athens, Clarke County</v>
      </c>
      <c r="B58" s="1805"/>
      <c r="C58" s="1805"/>
      <c r="D58" s="1805"/>
      <c r="E58" s="1805"/>
      <c r="F58" s="1805"/>
      <c r="G58" s="1805" t="str">
        <f>CONCATENATE('Part I-Project Information'!$O$4," ",'Part I-Project Information'!$F$23,", ",'Part I-Project Information'!$F$27,", ",'Part I-Project Information'!$J$28," County")</f>
        <v>2014-006 North Grove Apartments, Athens, Clarke County</v>
      </c>
      <c r="H58" s="1805"/>
      <c r="I58" s="1805"/>
      <c r="J58" s="1805"/>
      <c r="K58" s="1805"/>
      <c r="L58" s="1805"/>
    </row>
    <row r="59" spans="1:12" ht="15">
      <c r="A59" s="1806" t="s">
        <v>2638</v>
      </c>
      <c r="B59" s="1806"/>
      <c r="C59" s="1806"/>
      <c r="D59" s="1806"/>
      <c r="E59" s="1806"/>
      <c r="F59" s="1806"/>
      <c r="G59" s="1806" t="s">
        <v>2638</v>
      </c>
      <c r="H59" s="1806"/>
      <c r="I59" s="1806"/>
      <c r="J59" s="1806"/>
      <c r="K59" s="1806"/>
      <c r="L59" s="1806"/>
    </row>
    <row r="60" spans="1:12" ht="6" customHeight="1">
      <c r="C60" s="237"/>
      <c r="D60" s="237"/>
      <c r="I60" s="237"/>
      <c r="J60" s="237"/>
    </row>
    <row r="61" spans="1:12">
      <c r="A61" s="240" t="s">
        <v>2639</v>
      </c>
      <c r="B61" s="241" t="s">
        <v>2640</v>
      </c>
      <c r="C61" s="241" t="s">
        <v>1379</v>
      </c>
      <c r="D61" s="241" t="s">
        <v>2641</v>
      </c>
      <c r="E61" s="240" t="s">
        <v>2642</v>
      </c>
      <c r="F61" s="269" t="s">
        <v>2647</v>
      </c>
      <c r="G61" s="240" t="s">
        <v>2639</v>
      </c>
      <c r="H61" s="241" t="s">
        <v>2640</v>
      </c>
      <c r="I61" s="241" t="s">
        <v>1379</v>
      </c>
      <c r="J61" s="241" t="s">
        <v>2641</v>
      </c>
      <c r="K61" s="240" t="s">
        <v>2642</v>
      </c>
      <c r="L61" s="269" t="s">
        <v>2647</v>
      </c>
    </row>
    <row r="62" spans="1:12" ht="3.6" customHeight="1">
      <c r="A62" s="243"/>
      <c r="B62" s="137"/>
      <c r="C62" s="137"/>
      <c r="D62" s="137"/>
      <c r="E62" s="137"/>
      <c r="F62" s="94"/>
      <c r="G62" s="243"/>
      <c r="H62" s="137"/>
      <c r="I62" s="137"/>
      <c r="J62" s="137"/>
      <c r="K62" s="137"/>
      <c r="L62" s="94"/>
    </row>
    <row r="63" spans="1:12">
      <c r="A63" s="244" t="s">
        <v>2643</v>
      </c>
      <c r="B63" s="245"/>
      <c r="C63" s="245"/>
      <c r="D63" s="245"/>
      <c r="E63" s="246">
        <f>IF($C$5&gt;1500000,$D$5,$C$5)</f>
        <v>0</v>
      </c>
      <c r="F63" s="94"/>
      <c r="G63" s="244" t="s">
        <v>2643</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98" t="str">
        <f>CONCATENATE("PART III C  - HUD INSURED LOAN","  -  ",'Part I-Project Information'!$O$4," ",'Part I-Project Information'!$F$23,", ",'Part I-Project Information'!$F$27,", ",'Part I-Project Information'!$J$28," County")</f>
        <v>PART III C  - HUD INSURED LOAN  -  2014-006 North Grove Apartments, Athens, Clarke County</v>
      </c>
      <c r="B1" s="1799"/>
      <c r="C1" s="1799"/>
      <c r="D1" s="1799"/>
      <c r="E1" s="1799"/>
      <c r="F1" s="1800"/>
      <c r="G1" s="201"/>
      <c r="H1" s="201"/>
      <c r="I1" s="201"/>
      <c r="J1" s="201"/>
      <c r="K1" s="201"/>
      <c r="L1" s="201"/>
      <c r="M1" s="201"/>
      <c r="N1" s="201"/>
      <c r="O1" s="201"/>
      <c r="P1" s="201"/>
      <c r="Q1" s="201"/>
    </row>
    <row r="2" spans="1:17">
      <c r="A2" s="16"/>
      <c r="B2" s="227"/>
      <c r="C2" s="227"/>
      <c r="D2" s="227"/>
    </row>
    <row r="3" spans="1:17" ht="15.6" customHeight="1">
      <c r="A3" s="1807" t="s">
        <v>226</v>
      </c>
      <c r="B3" s="1807"/>
      <c r="C3" s="1807"/>
      <c r="D3" s="1807"/>
      <c r="E3" s="1807"/>
      <c r="F3" s="1807"/>
      <c r="G3" s="272"/>
      <c r="H3" s="272"/>
    </row>
    <row r="4" spans="1:17">
      <c r="A4" s="16"/>
      <c r="B4" s="227"/>
      <c r="C4" s="227"/>
      <c r="D4" s="227"/>
    </row>
    <row r="5" spans="1:17" ht="13.15" customHeight="1">
      <c r="A5" s="31" t="s">
        <v>2402</v>
      </c>
      <c r="D5" s="267"/>
      <c r="E5" s="1810" t="s">
        <v>1012</v>
      </c>
      <c r="F5" s="1811"/>
      <c r="G5" s="190"/>
    </row>
    <row r="6" spans="1:17">
      <c r="E6" s="1811"/>
      <c r="F6" s="1811"/>
      <c r="G6" s="190"/>
    </row>
    <row r="7" spans="1:17">
      <c r="A7" s="31" t="s">
        <v>2630</v>
      </c>
      <c r="C7" s="31" t="s">
        <v>2631</v>
      </c>
      <c r="D7" s="268"/>
      <c r="E7" s="1811"/>
      <c r="F7" s="1811"/>
      <c r="G7" s="190"/>
    </row>
    <row r="8" spans="1:17">
      <c r="C8" s="31" t="s">
        <v>2632</v>
      </c>
      <c r="D8" s="268"/>
      <c r="E8" s="1811"/>
      <c r="F8" s="1811"/>
      <c r="G8" s="190"/>
    </row>
    <row r="9" spans="1:17">
      <c r="C9" s="31" t="s">
        <v>2633</v>
      </c>
      <c r="D9" s="268"/>
      <c r="E9" s="1811"/>
      <c r="F9" s="1811"/>
      <c r="G9" s="190"/>
    </row>
    <row r="10" spans="1:17">
      <c r="C10" s="31" t="s">
        <v>2646</v>
      </c>
      <c r="D10" s="273">
        <f>D7+D8+D9</f>
        <v>0</v>
      </c>
      <c r="E10" s="1811"/>
      <c r="F10" s="1811"/>
      <c r="G10" s="190"/>
    </row>
    <row r="11" spans="1:17">
      <c r="F11" s="190"/>
      <c r="G11" s="190"/>
    </row>
    <row r="12" spans="1:17">
      <c r="A12" s="31" t="s">
        <v>1836</v>
      </c>
      <c r="D12" s="266"/>
      <c r="E12" s="31" t="s">
        <v>2271</v>
      </c>
      <c r="F12" s="190"/>
      <c r="G12" s="190"/>
    </row>
    <row r="13" spans="1:17">
      <c r="D13" s="237"/>
      <c r="F13" s="190"/>
      <c r="G13" s="190"/>
    </row>
    <row r="14" spans="1:17">
      <c r="A14" s="31" t="s">
        <v>2635</v>
      </c>
      <c r="D14" s="265"/>
      <c r="E14" s="31" t="s">
        <v>2636</v>
      </c>
      <c r="F14" s="274"/>
    </row>
    <row r="15" spans="1:17">
      <c r="D15" s="257"/>
      <c r="F15" s="274"/>
    </row>
    <row r="16" spans="1:17">
      <c r="A16" s="31" t="s">
        <v>2637</v>
      </c>
      <c r="D16" s="265"/>
      <c r="E16" s="31" t="s">
        <v>2636</v>
      </c>
      <c r="F16" s="274"/>
    </row>
    <row r="17" spans="1:10">
      <c r="D17" s="237"/>
      <c r="F17" s="274"/>
    </row>
    <row r="18" spans="1:10">
      <c r="A18" s="31" t="s">
        <v>985</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808" t="s">
        <v>1837</v>
      </c>
      <c r="B24" s="1808"/>
      <c r="C24" s="1808"/>
      <c r="D24" s="1808"/>
      <c r="E24" s="1808"/>
      <c r="F24" s="1808"/>
      <c r="J24" s="276"/>
    </row>
    <row r="25" spans="1:10">
      <c r="C25" s="237"/>
      <c r="J25" s="276"/>
    </row>
    <row r="26" spans="1:10">
      <c r="A26" s="121"/>
      <c r="B26" s="94"/>
      <c r="C26" s="1812" t="s">
        <v>2401</v>
      </c>
      <c r="D26" s="271"/>
      <c r="E26" s="94"/>
      <c r="F26" s="1812" t="s">
        <v>2401</v>
      </c>
      <c r="J26" s="276"/>
    </row>
    <row r="27" spans="1:10">
      <c r="A27" s="277" t="s">
        <v>2647</v>
      </c>
      <c r="B27" s="84" t="s">
        <v>1087</v>
      </c>
      <c r="C27" s="1813"/>
      <c r="D27" s="278" t="s">
        <v>2647</v>
      </c>
      <c r="E27" s="84" t="s">
        <v>1087</v>
      </c>
      <c r="F27" s="181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805" t="str">
        <f>CONCATENATE('Part I-Project Information'!$O$4," ",'Part I-Project Information'!$F$23,", ",'Part I-Project Information'!$F$27,", ",'Part I-Project Information'!$J$28," County")</f>
        <v>2014-006 North Grove Apartments, Athens, Clarke County</v>
      </c>
      <c r="B50" s="1805"/>
      <c r="C50" s="1805"/>
      <c r="D50" s="1805"/>
      <c r="E50" s="1805"/>
      <c r="F50" s="1805"/>
      <c r="G50" s="262"/>
      <c r="H50" s="262"/>
    </row>
    <row r="51" spans="1:10" ht="15">
      <c r="A51" s="1806" t="s">
        <v>2638</v>
      </c>
      <c r="B51" s="1806"/>
      <c r="C51" s="1806"/>
      <c r="D51" s="1806"/>
      <c r="E51" s="1806"/>
      <c r="F51" s="1806"/>
      <c r="G51" s="288"/>
      <c r="H51" s="288"/>
      <c r="I51" s="288"/>
      <c r="J51" s="288"/>
    </row>
    <row r="52" spans="1:10" ht="5.45" customHeight="1">
      <c r="C52" s="237"/>
      <c r="D52" s="237"/>
      <c r="G52" s="242"/>
      <c r="H52" s="236"/>
      <c r="I52" s="242"/>
    </row>
    <row r="53" spans="1:10">
      <c r="A53" s="240" t="s">
        <v>2639</v>
      </c>
      <c r="B53" s="240" t="s">
        <v>2640</v>
      </c>
      <c r="C53" s="240" t="s">
        <v>1379</v>
      </c>
      <c r="D53" s="240" t="s">
        <v>2641</v>
      </c>
      <c r="E53" s="240" t="s">
        <v>2642</v>
      </c>
      <c r="F53" s="269" t="s">
        <v>2647</v>
      </c>
      <c r="G53" s="289"/>
      <c r="H53" s="289"/>
      <c r="I53" s="289"/>
    </row>
    <row r="54" spans="1:10" ht="3.6" customHeight="1">
      <c r="F54" s="94"/>
      <c r="G54" s="242"/>
      <c r="H54" s="236"/>
      <c r="I54" s="242"/>
    </row>
    <row r="55" spans="1:10">
      <c r="A55" s="31" t="s">
        <v>2643</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69" t="str">
        <f>CONCATENATE("PART FOUR -  USES OF FUNDS","  -  ",'Part I-Project Information'!$O$4," ",'Part I-Project Information'!$F$23,", ",'Part I-Project Information'!F27,", ",'Part I-Project Information'!J28," County")</f>
        <v>PART FOUR -  USES OF FUNDS  -  2014-006 North Grove Apartments, Athens, Clarke County</v>
      </c>
      <c r="B1" s="1870"/>
      <c r="C1" s="1870"/>
      <c r="D1" s="1870"/>
      <c r="E1" s="1870"/>
      <c r="F1" s="1870"/>
      <c r="G1" s="1870"/>
      <c r="H1" s="1870"/>
      <c r="I1" s="1870"/>
      <c r="J1" s="1870"/>
      <c r="K1" s="1870"/>
      <c r="L1" s="1870"/>
      <c r="M1" s="1870"/>
      <c r="N1" s="1870"/>
      <c r="O1" s="1870"/>
      <c r="P1" s="1870"/>
      <c r="Q1" s="1870"/>
      <c r="R1" s="1870"/>
      <c r="S1" s="1870"/>
      <c r="T1" s="1870"/>
      <c r="W1" s="1868" t="str">
        <f>A1</f>
        <v>PART FOUR -  USES OF FUNDS  -  2014-006 North Grove Apartments, Athens, Clarke County</v>
      </c>
      <c r="X1" s="1868"/>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656</v>
      </c>
      <c r="B5" s="525" t="s">
        <v>955</v>
      </c>
      <c r="D5" s="636"/>
      <c r="E5" s="636"/>
      <c r="F5" s="636"/>
      <c r="G5" s="636"/>
      <c r="H5" s="636"/>
      <c r="I5" s="636"/>
      <c r="J5" s="1839" t="s">
        <v>285</v>
      </c>
      <c r="K5" s="1840"/>
      <c r="L5" s="421"/>
      <c r="M5" s="1862" t="s">
        <v>519</v>
      </c>
      <c r="N5" s="1863"/>
      <c r="P5" s="1839" t="s">
        <v>286</v>
      </c>
      <c r="Q5" s="1840"/>
      <c r="S5" s="1839" t="s">
        <v>287</v>
      </c>
      <c r="T5" s="1840"/>
      <c r="W5" s="526" t="str">
        <f>B5</f>
        <v>DEVELOPMENT BUDGET</v>
      </c>
    </row>
    <row r="6" spans="1:24" s="363" customFormat="1" ht="19.5" customHeight="1" thickBot="1">
      <c r="G6" s="1856" t="s">
        <v>104</v>
      </c>
      <c r="H6" s="1857"/>
      <c r="J6" s="1841"/>
      <c r="K6" s="1842"/>
      <c r="L6" s="421"/>
      <c r="M6" s="1864"/>
      <c r="N6" s="1865"/>
      <c r="P6" s="1841"/>
      <c r="Q6" s="1842"/>
      <c r="S6" s="1841"/>
      <c r="T6" s="1842"/>
      <c r="W6" s="1819" t="s">
        <v>2890</v>
      </c>
      <c r="X6" s="1819"/>
    </row>
    <row r="7" spans="1:24" s="363" customFormat="1" ht="12" customHeight="1">
      <c r="B7" s="366" t="s">
        <v>105</v>
      </c>
      <c r="O7" s="621" t="str">
        <f>B7</f>
        <v>PRE-DEVELOPMENT COSTS</v>
      </c>
      <c r="W7" s="363" t="str">
        <f>B7</f>
        <v>PRE-DEVELOPMENT COSTS</v>
      </c>
    </row>
    <row r="8" spans="1:24" s="363" customFormat="1" ht="12.6" customHeight="1">
      <c r="B8" s="363" t="s">
        <v>2135</v>
      </c>
      <c r="G8" s="1751">
        <v>10000</v>
      </c>
      <c r="H8" s="1752"/>
      <c r="J8" s="1751">
        <v>0</v>
      </c>
      <c r="K8" s="1752"/>
      <c r="L8" s="1163"/>
      <c r="M8" s="1751"/>
      <c r="N8" s="1752"/>
      <c r="P8" s="1751">
        <v>10000</v>
      </c>
      <c r="Q8" s="1752"/>
      <c r="S8" s="1751"/>
      <c r="T8" s="1752"/>
      <c r="V8" s="1332"/>
      <c r="W8" s="1822"/>
      <c r="X8" s="1823"/>
    </row>
    <row r="9" spans="1:24" s="363" customFormat="1" ht="12.6" customHeight="1">
      <c r="B9" s="363" t="s">
        <v>481</v>
      </c>
      <c r="G9" s="1751">
        <v>16000</v>
      </c>
      <c r="H9" s="1752"/>
      <c r="J9" s="1751">
        <v>0</v>
      </c>
      <c r="K9" s="1752"/>
      <c r="L9" s="1163"/>
      <c r="M9" s="1751"/>
      <c r="N9" s="1752"/>
      <c r="P9" s="1751">
        <v>16000</v>
      </c>
      <c r="Q9" s="1752"/>
      <c r="S9" s="1751"/>
      <c r="T9" s="1752"/>
      <c r="V9" s="1332"/>
      <c r="W9" s="1824"/>
      <c r="X9" s="1825"/>
    </row>
    <row r="10" spans="1:24" s="363" customFormat="1" ht="12.6" customHeight="1">
      <c r="B10" s="363" t="s">
        <v>516</v>
      </c>
      <c r="G10" s="1751">
        <v>21000</v>
      </c>
      <c r="H10" s="1752"/>
      <c r="J10" s="1751">
        <v>0</v>
      </c>
      <c r="K10" s="1752"/>
      <c r="L10" s="1163"/>
      <c r="M10" s="1751"/>
      <c r="N10" s="1752"/>
      <c r="P10" s="1751">
        <v>21000</v>
      </c>
      <c r="Q10" s="1752"/>
      <c r="S10" s="1751"/>
      <c r="T10" s="1752"/>
      <c r="V10" s="1332"/>
      <c r="W10" s="1824"/>
      <c r="X10" s="1825"/>
    </row>
    <row r="11" spans="1:24" s="363" customFormat="1" ht="12.6" customHeight="1">
      <c r="B11" s="363" t="s">
        <v>517</v>
      </c>
      <c r="G11" s="1751">
        <v>4400</v>
      </c>
      <c r="H11" s="1752"/>
      <c r="J11" s="1751">
        <v>0</v>
      </c>
      <c r="K11" s="1752"/>
      <c r="L11" s="1163"/>
      <c r="M11" s="1751"/>
      <c r="N11" s="1752"/>
      <c r="P11" s="1751">
        <v>4400</v>
      </c>
      <c r="Q11" s="1752"/>
      <c r="S11" s="1751"/>
      <c r="T11" s="1752"/>
      <c r="V11" s="1332"/>
      <c r="W11" s="1824"/>
      <c r="X11" s="1825"/>
    </row>
    <row r="12" spans="1:24" s="363" customFormat="1" ht="12.6" customHeight="1">
      <c r="B12" s="363" t="s">
        <v>2667</v>
      </c>
      <c r="G12" s="1751">
        <v>5500</v>
      </c>
      <c r="H12" s="1752"/>
      <c r="J12" s="1751">
        <v>0</v>
      </c>
      <c r="K12" s="1752"/>
      <c r="L12" s="1163"/>
      <c r="M12" s="1751"/>
      <c r="N12" s="1752"/>
      <c r="P12" s="1751">
        <v>5500</v>
      </c>
      <c r="Q12" s="1752"/>
      <c r="S12" s="1751"/>
      <c r="T12" s="1752"/>
      <c r="V12" s="1332"/>
      <c r="W12" s="1824"/>
      <c r="X12" s="1825"/>
    </row>
    <row r="13" spans="1:24" s="363" customFormat="1" ht="12.6" customHeight="1">
      <c r="B13" s="363" t="s">
        <v>198</v>
      </c>
      <c r="G13" s="1751"/>
      <c r="H13" s="1752"/>
      <c r="J13" s="1751">
        <v>0</v>
      </c>
      <c r="K13" s="1752"/>
      <c r="L13" s="1163"/>
      <c r="M13" s="1751"/>
      <c r="N13" s="1752"/>
      <c r="P13" s="1751"/>
      <c r="Q13" s="1752"/>
      <c r="S13" s="1751"/>
      <c r="T13" s="1752"/>
      <c r="V13" s="1332"/>
      <c r="W13" s="1824"/>
      <c r="X13" s="1825"/>
    </row>
    <row r="14" spans="1:24" s="363" customFormat="1" ht="12.6" customHeight="1">
      <c r="A14" s="449" t="str">
        <f>IF(AND(G14&gt;0,OR(C14="",C14="&lt;Enter detailed description here; use Comments section if needed&gt;")),"X","")</f>
        <v/>
      </c>
      <c r="B14" s="363" t="s">
        <v>790</v>
      </c>
      <c r="C14" s="1590"/>
      <c r="D14" s="1590"/>
      <c r="E14" s="1590"/>
      <c r="F14" s="1591"/>
      <c r="G14" s="1751"/>
      <c r="H14" s="1752"/>
      <c r="J14" s="1751">
        <v>0</v>
      </c>
      <c r="K14" s="1752"/>
      <c r="L14" s="1163"/>
      <c r="M14" s="1751"/>
      <c r="N14" s="1752"/>
      <c r="P14" s="1751"/>
      <c r="Q14" s="1752"/>
      <c r="S14" s="1751"/>
      <c r="T14" s="1752"/>
      <c r="U14" s="448" t="str">
        <f>IF(AND(G14&gt;0,OR(C14="",C14="&lt;Enter detailed description here; use Comments section if needed&gt;")),"NO DESCRIPTION PROVIDED - please enter detailed description in Other box at left; use Comments section below if needed.","")</f>
        <v/>
      </c>
      <c r="V14" s="1333"/>
      <c r="W14" s="1824"/>
      <c r="X14" s="1825"/>
    </row>
    <row r="15" spans="1:24" s="363" customFormat="1" ht="12.6" customHeight="1">
      <c r="A15" s="449" t="str">
        <f>IF(AND(G15&gt;0,OR(C15="",C15="&lt;Enter detailed description here; use Comments section if needed&gt;")),"X","")</f>
        <v/>
      </c>
      <c r="B15" s="363" t="s">
        <v>790</v>
      </c>
      <c r="C15" s="1590" t="s">
        <v>3712</v>
      </c>
      <c r="D15" s="1590"/>
      <c r="E15" s="1590"/>
      <c r="F15" s="1591"/>
      <c r="G15" s="1751">
        <v>6600</v>
      </c>
      <c r="H15" s="1752"/>
      <c r="J15" s="1751">
        <v>0</v>
      </c>
      <c r="K15" s="1752"/>
      <c r="L15" s="1163"/>
      <c r="M15" s="1751"/>
      <c r="N15" s="1752"/>
      <c r="P15" s="1751">
        <v>6600</v>
      </c>
      <c r="Q15" s="1752"/>
      <c r="S15" s="1751"/>
      <c r="T15" s="1752"/>
      <c r="U15" s="448" t="str">
        <f>IF(AND(G15&gt;0,OR(C15="",C15="&lt;Enter detailed description here; use Comments section if needed&gt;")),"NO DESCRIPTION PROVIDED - please enter detailed description in Other box at left; use Comments section below if needed.","")</f>
        <v/>
      </c>
      <c r="V15" s="1333"/>
      <c r="W15" s="1824"/>
      <c r="X15" s="1825"/>
    </row>
    <row r="16" spans="1:24" s="363" customFormat="1" ht="12.6" customHeight="1" thickBot="1">
      <c r="A16" s="449" t="str">
        <f>IF(AND(G16&gt;0,OR(C16="",C16="&lt;Enter detailed description here; use Comments section if needed&gt;")),"X","")</f>
        <v/>
      </c>
      <c r="B16" s="363" t="s">
        <v>790</v>
      </c>
      <c r="C16" s="1590"/>
      <c r="D16" s="1590"/>
      <c r="E16" s="1590"/>
      <c r="F16" s="1591"/>
      <c r="G16" s="1751"/>
      <c r="H16" s="1752"/>
      <c r="J16" s="1866"/>
      <c r="K16" s="1867"/>
      <c r="L16" s="1163"/>
      <c r="M16" s="1751"/>
      <c r="N16" s="1752"/>
      <c r="P16" s="1751"/>
      <c r="Q16" s="1752"/>
      <c r="S16" s="1866"/>
      <c r="T16" s="1867"/>
      <c r="U16" s="448" t="str">
        <f>IF(AND(G16&gt;0,OR(C16="",C16="&lt;Enter detailed description here; use Comments section if needed&gt;")),"NO DESCRIPTION PROVIDED - please enter detailed description in Other box at left; use Comments section below if needed.","")</f>
        <v/>
      </c>
      <c r="V16" s="1333"/>
      <c r="W16" s="1824"/>
      <c r="X16" s="1825"/>
    </row>
    <row r="17" spans="2:24" s="363" customFormat="1" ht="12.6" customHeight="1" thickTop="1">
      <c r="F17" s="422" t="s">
        <v>199</v>
      </c>
      <c r="G17" s="1816">
        <f>SUM(G8:H16)</f>
        <v>63500</v>
      </c>
      <c r="H17" s="1828"/>
      <c r="J17" s="1816">
        <f>SUM(J8:K16)</f>
        <v>0</v>
      </c>
      <c r="K17" s="1817"/>
      <c r="L17" s="1163"/>
      <c r="M17" s="1816">
        <f>SUM(M8:N16)</f>
        <v>0</v>
      </c>
      <c r="N17" s="1828"/>
      <c r="P17" s="1816">
        <f>SUM(P8:Q16)</f>
        <v>63500</v>
      </c>
      <c r="Q17" s="1828"/>
      <c r="S17" s="1816">
        <f>SUM(S8:T16)</f>
        <v>0</v>
      </c>
      <c r="T17" s="1828"/>
      <c r="V17" s="1334"/>
      <c r="W17" s="1826"/>
      <c r="X17" s="1827"/>
    </row>
    <row r="18" spans="2:24" s="363" customFormat="1" ht="12" customHeight="1">
      <c r="B18" s="366" t="s">
        <v>2336</v>
      </c>
      <c r="J18" s="421"/>
      <c r="K18" s="421"/>
      <c r="M18" s="421"/>
      <c r="N18" s="421"/>
      <c r="O18" s="423" t="str">
        <f>B18</f>
        <v>ACQUISITION</v>
      </c>
      <c r="P18" s="421"/>
      <c r="Q18" s="421"/>
      <c r="S18" s="421"/>
      <c r="T18" s="421"/>
      <c r="W18" s="363" t="str">
        <f>B18</f>
        <v>ACQUISITION</v>
      </c>
    </row>
    <row r="19" spans="2:24" s="363" customFormat="1" ht="12.6" customHeight="1">
      <c r="B19" s="363" t="s">
        <v>2337</v>
      </c>
      <c r="G19" s="1751">
        <v>480000</v>
      </c>
      <c r="H19" s="1752"/>
      <c r="J19" s="424"/>
      <c r="K19" s="421"/>
      <c r="L19" s="424"/>
      <c r="M19" s="424"/>
      <c r="N19" s="421"/>
      <c r="P19" s="424"/>
      <c r="Q19" s="421"/>
      <c r="S19" s="1751">
        <v>480000</v>
      </c>
      <c r="T19" s="1752"/>
      <c r="V19" s="1332"/>
      <c r="W19" s="1822"/>
      <c r="X19" s="1823"/>
    </row>
    <row r="20" spans="2:24" s="363" customFormat="1" ht="12.6" customHeight="1">
      <c r="B20" s="363" t="s">
        <v>1183</v>
      </c>
      <c r="G20" s="1751">
        <v>28000</v>
      </c>
      <c r="H20" s="1752"/>
      <c r="J20" s="424"/>
      <c r="K20" s="421"/>
      <c r="L20" s="424"/>
      <c r="M20" s="424"/>
      <c r="N20" s="421"/>
      <c r="P20" s="424"/>
      <c r="Q20" s="421"/>
      <c r="S20" s="1751">
        <v>28000</v>
      </c>
      <c r="T20" s="1752"/>
      <c r="V20" s="1332"/>
      <c r="W20" s="1824"/>
      <c r="X20" s="1825"/>
    </row>
    <row r="21" spans="2:24" s="363" customFormat="1" ht="12.6" customHeight="1">
      <c r="B21" s="363" t="s">
        <v>482</v>
      </c>
      <c r="G21" s="1751"/>
      <c r="H21" s="1752"/>
      <c r="J21" s="424"/>
      <c r="K21" s="421"/>
      <c r="L21" s="424"/>
      <c r="M21" s="1751"/>
      <c r="N21" s="1752"/>
      <c r="P21" s="424"/>
      <c r="Q21" s="421"/>
      <c r="S21" s="1751"/>
      <c r="T21" s="1752"/>
      <c r="V21" s="1332"/>
      <c r="W21" s="1824"/>
      <c r="X21" s="1825"/>
    </row>
    <row r="22" spans="2:24" s="363" customFormat="1" ht="12.6" customHeight="1" thickBot="1">
      <c r="B22" s="363" t="s">
        <v>451</v>
      </c>
      <c r="G22" s="1814">
        <v>2695000</v>
      </c>
      <c r="H22" s="1815"/>
      <c r="J22" s="424"/>
      <c r="K22" s="421"/>
      <c r="L22" s="424"/>
      <c r="M22" s="1814">
        <v>2695000</v>
      </c>
      <c r="N22" s="1815"/>
      <c r="P22" s="424"/>
      <c r="Q22" s="421"/>
      <c r="S22" s="1751"/>
      <c r="T22" s="1752"/>
      <c r="V22" s="1332"/>
      <c r="W22" s="1824"/>
      <c r="X22" s="1825"/>
    </row>
    <row r="23" spans="2:24" s="363" customFormat="1" ht="12.6" customHeight="1" thickTop="1">
      <c r="F23" s="422" t="s">
        <v>199</v>
      </c>
      <c r="G23" s="1816">
        <f>SUM(G19:H22)</f>
        <v>3203000</v>
      </c>
      <c r="H23" s="1828"/>
      <c r="J23" s="424"/>
      <c r="K23" s="421"/>
      <c r="L23" s="424"/>
      <c r="M23" s="1816">
        <f>SUM(M21:N22)</f>
        <v>2695000</v>
      </c>
      <c r="N23" s="1828"/>
      <c r="P23" s="424"/>
      <c r="Q23" s="421"/>
      <c r="S23" s="1816">
        <f>SUM(S19:T22)</f>
        <v>508000</v>
      </c>
      <c r="T23" s="1828"/>
      <c r="V23" s="1334"/>
      <c r="W23" s="1826"/>
      <c r="X23" s="1827"/>
    </row>
    <row r="24" spans="2:24" s="363" customFormat="1" ht="12" customHeight="1">
      <c r="B24" s="366" t="s">
        <v>1184</v>
      </c>
      <c r="J24" s="424"/>
      <c r="K24" s="421"/>
      <c r="M24" s="424"/>
      <c r="N24" s="421"/>
      <c r="O24" s="423" t="str">
        <f>B24</f>
        <v>LAND IMPROVEMENTS</v>
      </c>
      <c r="P24" s="424"/>
      <c r="Q24" s="421"/>
      <c r="S24" s="424"/>
      <c r="T24" s="421"/>
      <c r="W24" s="363" t="str">
        <f>B24</f>
        <v>LAND IMPROVEMENTS</v>
      </c>
    </row>
    <row r="25" spans="2:24" s="363" customFormat="1" ht="12.6" customHeight="1">
      <c r="B25" s="363" t="s">
        <v>1185</v>
      </c>
      <c r="G25" s="1751">
        <v>150000</v>
      </c>
      <c r="H25" s="1752"/>
      <c r="J25" s="1866">
        <v>0</v>
      </c>
      <c r="K25" s="1867"/>
      <c r="L25" s="1163"/>
      <c r="M25" s="1866"/>
      <c r="N25" s="1867"/>
      <c r="P25" s="1866">
        <v>150000</v>
      </c>
      <c r="Q25" s="1867"/>
      <c r="S25" s="1751"/>
      <c r="T25" s="1752"/>
      <c r="V25" s="1332"/>
      <c r="W25" s="1822"/>
      <c r="X25" s="1823"/>
    </row>
    <row r="26" spans="2:24" s="363" customFormat="1" ht="12.6" customHeight="1" thickBot="1">
      <c r="B26" s="363" t="s">
        <v>1186</v>
      </c>
      <c r="G26" s="1751"/>
      <c r="H26" s="1752"/>
      <c r="J26" s="1866"/>
      <c r="K26" s="1867"/>
      <c r="L26" s="425"/>
      <c r="M26" s="1818"/>
      <c r="N26" s="1818"/>
      <c r="P26" s="1818"/>
      <c r="Q26" s="1818"/>
      <c r="S26" s="1751"/>
      <c r="T26" s="1752"/>
      <c r="V26" s="1332"/>
      <c r="W26" s="1824"/>
      <c r="X26" s="1825"/>
    </row>
    <row r="27" spans="2:24" s="363" customFormat="1" ht="12.6" customHeight="1" thickTop="1">
      <c r="F27" s="422" t="s">
        <v>199</v>
      </c>
      <c r="G27" s="1816">
        <f>SUM(G25:H26)</f>
        <v>150000</v>
      </c>
      <c r="H27" s="1828"/>
      <c r="J27" s="1816">
        <f>SUM(J25:K26)</f>
        <v>0</v>
      </c>
      <c r="K27" s="1828"/>
      <c r="L27" s="424"/>
      <c r="M27" s="1816">
        <f>M25</f>
        <v>0</v>
      </c>
      <c r="N27" s="1828"/>
      <c r="P27" s="1816">
        <f>P25</f>
        <v>150000</v>
      </c>
      <c r="Q27" s="1828"/>
      <c r="S27" s="1816">
        <f>SUM(S25:T26)</f>
        <v>0</v>
      </c>
      <c r="T27" s="1828"/>
      <c r="V27" s="1334"/>
      <c r="W27" s="1826"/>
      <c r="X27" s="1827"/>
    </row>
    <row r="28" spans="2:24" s="363" customFormat="1" ht="12" customHeight="1">
      <c r="B28" s="366" t="s">
        <v>1187</v>
      </c>
      <c r="J28" s="424"/>
      <c r="K28" s="421"/>
      <c r="M28" s="424"/>
      <c r="N28" s="421"/>
      <c r="O28" s="423" t="str">
        <f>B28</f>
        <v>STRUCTURES</v>
      </c>
      <c r="P28" s="424"/>
      <c r="Q28" s="421"/>
      <c r="S28" s="424"/>
      <c r="T28" s="421"/>
      <c r="W28" s="363" t="str">
        <f>B28</f>
        <v>STRUCTURES</v>
      </c>
    </row>
    <row r="29" spans="2:24" s="363" customFormat="1" ht="12.6" customHeight="1">
      <c r="B29" s="363" t="s">
        <v>1188</v>
      </c>
      <c r="G29" s="1751">
        <v>0</v>
      </c>
      <c r="H29" s="1752"/>
      <c r="J29" s="1751">
        <v>0</v>
      </c>
      <c r="K29" s="1752"/>
      <c r="L29" s="1163"/>
      <c r="M29" s="1751"/>
      <c r="N29" s="1752"/>
      <c r="P29" s="1751"/>
      <c r="Q29" s="1752"/>
      <c r="S29" s="1751"/>
      <c r="T29" s="1752"/>
      <c r="V29" s="1332"/>
      <c r="W29" s="1822"/>
      <c r="X29" s="1823"/>
    </row>
    <row r="30" spans="2:24" s="363" customFormat="1" ht="12.6" customHeight="1">
      <c r="B30" s="363" t="s">
        <v>1189</v>
      </c>
      <c r="G30" s="1751">
        <v>5607623</v>
      </c>
      <c r="H30" s="1752"/>
      <c r="J30" s="1751"/>
      <c r="K30" s="1752"/>
      <c r="L30" s="1163"/>
      <c r="M30" s="1751"/>
      <c r="N30" s="1752"/>
      <c r="P30" s="1751">
        <v>5607623</v>
      </c>
      <c r="Q30" s="1752"/>
      <c r="S30" s="1751"/>
      <c r="T30" s="1752"/>
      <c r="V30" s="1332"/>
      <c r="W30" s="1824"/>
      <c r="X30" s="1825"/>
    </row>
    <row r="31" spans="2:24" s="363" customFormat="1" ht="12.6" customHeight="1">
      <c r="B31" s="363" t="s">
        <v>3229</v>
      </c>
      <c r="G31" s="1751">
        <v>280435</v>
      </c>
      <c r="H31" s="1752"/>
      <c r="J31" s="1751"/>
      <c r="K31" s="1752"/>
      <c r="L31" s="1163"/>
      <c r="M31" s="1751"/>
      <c r="N31" s="1752"/>
      <c r="P31" s="1751">
        <v>280435</v>
      </c>
      <c r="Q31" s="1752"/>
      <c r="S31" s="1751"/>
      <c r="T31" s="1752"/>
      <c r="V31" s="1332"/>
      <c r="W31" s="1824"/>
      <c r="X31" s="1825"/>
    </row>
    <row r="32" spans="2:24" ht="12.6" customHeight="1" thickBot="1">
      <c r="B32" s="363" t="s">
        <v>3228</v>
      </c>
      <c r="G32" s="1751">
        <v>0</v>
      </c>
      <c r="H32" s="1752"/>
      <c r="I32" s="363"/>
      <c r="J32" s="1751">
        <v>0</v>
      </c>
      <c r="K32" s="1752"/>
      <c r="L32" s="1163"/>
      <c r="M32" s="1751"/>
      <c r="N32" s="1752"/>
      <c r="O32" s="363"/>
      <c r="P32" s="1751"/>
      <c r="Q32" s="1752"/>
      <c r="R32" s="363"/>
      <c r="S32" s="1751"/>
      <c r="T32" s="1752"/>
      <c r="V32" s="1332"/>
      <c r="W32" s="1824"/>
      <c r="X32" s="1825"/>
    </row>
    <row r="33" spans="1:24" s="363" customFormat="1" ht="12.6" customHeight="1" thickTop="1">
      <c r="C33" s="1908"/>
      <c r="D33" s="1908"/>
      <c r="E33" s="1166"/>
      <c r="F33" s="422" t="s">
        <v>199</v>
      </c>
      <c r="G33" s="1816">
        <f>SUM(G29:H32)</f>
        <v>5888058</v>
      </c>
      <c r="H33" s="1828"/>
      <c r="J33" s="1816">
        <f>SUM(J29:K32)</f>
        <v>0</v>
      </c>
      <c r="K33" s="1828"/>
      <c r="L33" s="1163"/>
      <c r="M33" s="1816">
        <f>SUM(M29:N32)</f>
        <v>0</v>
      </c>
      <c r="N33" s="1828"/>
      <c r="P33" s="1816">
        <f>SUM(P29:Q32)</f>
        <v>5888058</v>
      </c>
      <c r="Q33" s="1828"/>
      <c r="S33" s="1816">
        <f>SUM(S29:T32)</f>
        <v>0</v>
      </c>
      <c r="T33" s="1828"/>
      <c r="V33" s="1334"/>
      <c r="W33" s="1826"/>
      <c r="X33" s="1827"/>
    </row>
    <row r="34" spans="1:24" s="363" customFormat="1" ht="12" customHeight="1">
      <c r="B34" s="366" t="s">
        <v>2493</v>
      </c>
      <c r="E34" s="637">
        <f>SUM(E35:E37)</f>
        <v>0.14000000000000001</v>
      </c>
      <c r="F34" s="1157"/>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2494</v>
      </c>
      <c r="E35" s="426">
        <f>'DCA Underwriting Assumptions'!$R$37</f>
        <v>0.06</v>
      </c>
      <c r="F35" s="485">
        <f>E35*($G$27+$G$33)</f>
        <v>362283.48</v>
      </c>
      <c r="G35" s="1751">
        <v>362283</v>
      </c>
      <c r="H35" s="1752"/>
      <c r="I35" s="383"/>
      <c r="J35" s="1751">
        <v>0</v>
      </c>
      <c r="K35" s="1752"/>
      <c r="L35" s="1163"/>
      <c r="M35" s="1751"/>
      <c r="N35" s="1752"/>
      <c r="P35" s="1751">
        <v>362283</v>
      </c>
      <c r="Q35" s="1752"/>
      <c r="S35" s="1751"/>
      <c r="T35" s="1752"/>
      <c r="V35" s="1332"/>
      <c r="W35" s="1822"/>
      <c r="X35" s="1823"/>
    </row>
    <row r="36" spans="1:24" s="363" customFormat="1" ht="12.6" customHeight="1">
      <c r="B36" s="363" t="s">
        <v>3006</v>
      </c>
      <c r="E36" s="484">
        <f>'DCA Underwriting Assumptions'!$R$38</f>
        <v>0.02</v>
      </c>
      <c r="F36" s="485">
        <f>E36*($G$27+$G$33)</f>
        <v>120761.16</v>
      </c>
      <c r="G36" s="1751">
        <v>120761</v>
      </c>
      <c r="H36" s="1752"/>
      <c r="I36" s="383"/>
      <c r="J36" s="1751">
        <v>0</v>
      </c>
      <c r="K36" s="1752"/>
      <c r="L36" s="1163"/>
      <c r="M36" s="1751"/>
      <c r="N36" s="1752"/>
      <c r="P36" s="1751">
        <v>120761</v>
      </c>
      <c r="Q36" s="1752"/>
      <c r="S36" s="1751"/>
      <c r="T36" s="1752"/>
      <c r="V36" s="1332"/>
      <c r="W36" s="1824"/>
      <c r="X36" s="1825"/>
    </row>
    <row r="37" spans="1:24" s="363" customFormat="1" ht="12.6" customHeight="1" thickBot="1">
      <c r="B37" s="363" t="s">
        <v>3007</v>
      </c>
      <c r="E37" s="484">
        <f>'DCA Underwriting Assumptions'!$R$39</f>
        <v>0.06</v>
      </c>
      <c r="F37" s="485">
        <f>E37*($G$27+$G$33)</f>
        <v>362283.48</v>
      </c>
      <c r="G37" s="1751">
        <v>362283</v>
      </c>
      <c r="H37" s="1752"/>
      <c r="I37" s="383"/>
      <c r="J37" s="1751">
        <v>0</v>
      </c>
      <c r="K37" s="1752"/>
      <c r="L37" s="1163"/>
      <c r="M37" s="1751"/>
      <c r="N37" s="1752"/>
      <c r="P37" s="1751">
        <v>362283</v>
      </c>
      <c r="Q37" s="1752"/>
      <c r="S37" s="1751"/>
      <c r="T37" s="1752"/>
      <c r="V37" s="1332"/>
      <c r="W37" s="1824"/>
      <c r="X37" s="1825"/>
    </row>
    <row r="38" spans="1:24" s="363" customFormat="1" ht="12.6" customHeight="1" thickTop="1">
      <c r="B38" s="363" t="s">
        <v>2176</v>
      </c>
      <c r="D38" s="429"/>
      <c r="E38" s="1157"/>
      <c r="F38" s="486" t="s">
        <v>199</v>
      </c>
      <c r="G38" s="1816">
        <f>SUM(G35:H37)</f>
        <v>845327</v>
      </c>
      <c r="H38" s="1828"/>
      <c r="J38" s="1816">
        <f>SUM(J35:K37)</f>
        <v>0</v>
      </c>
      <c r="K38" s="1828"/>
      <c r="L38" s="424"/>
      <c r="M38" s="1816">
        <f>SUM(M35:N37)</f>
        <v>0</v>
      </c>
      <c r="N38" s="1828"/>
      <c r="P38" s="1816">
        <f>SUM(P35:Q37)</f>
        <v>845327</v>
      </c>
      <c r="Q38" s="1828"/>
      <c r="S38" s="1816">
        <f>SUM(S35:T37)</f>
        <v>0</v>
      </c>
      <c r="T38" s="1828"/>
      <c r="V38" s="1334"/>
      <c r="W38" s="1826"/>
      <c r="X38" s="1827"/>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3011</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790</v>
      </c>
      <c r="C41" s="1590" t="s">
        <v>2577</v>
      </c>
      <c r="D41" s="1874"/>
      <c r="E41" s="1874"/>
      <c r="F41" s="1711"/>
      <c r="G41" s="1751"/>
      <c r="H41" s="1752"/>
      <c r="I41" s="363"/>
      <c r="J41" s="1751"/>
      <c r="K41" s="1752"/>
      <c r="L41" s="1163"/>
      <c r="M41" s="1751"/>
      <c r="N41" s="1752"/>
      <c r="O41" s="363"/>
      <c r="P41" s="1751"/>
      <c r="Q41" s="1752"/>
      <c r="R41" s="363"/>
      <c r="S41" s="1751"/>
      <c r="T41" s="1752"/>
      <c r="V41" s="1332"/>
      <c r="W41" s="1822"/>
      <c r="X41" s="1823"/>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824"/>
      <c r="X42" s="1825"/>
    </row>
    <row r="43" spans="1:24" s="363" customFormat="1" ht="12.6" customHeight="1">
      <c r="B43" s="666" t="s">
        <v>3017</v>
      </c>
      <c r="C43" s="667"/>
      <c r="E43" s="1872" t="s">
        <v>3016</v>
      </c>
      <c r="F43" s="1165">
        <f>B44/'Part VI-Revenues &amp; Expenses'!$M$60</f>
        <v>54199.881889763783</v>
      </c>
      <c r="G43" s="664" t="s">
        <v>3220</v>
      </c>
      <c r="H43" s="622"/>
      <c r="I43" s="622"/>
      <c r="J43" s="1877">
        <f>B44/'Part VI-Revenues &amp; Expenses'!$M$62</f>
        <v>53776.4453125</v>
      </c>
      <c r="K43" s="1877"/>
      <c r="L43" s="622"/>
      <c r="M43" s="1875" t="s">
        <v>1491</v>
      </c>
      <c r="N43" s="1875"/>
      <c r="O43" s="622"/>
      <c r="P43" s="1877">
        <f>B44/'Part I-Project Information'!$P$59</f>
        <v>50.799139496095997</v>
      </c>
      <c r="Q43" s="1877"/>
      <c r="R43" s="622"/>
      <c r="S43" s="1836" t="s">
        <v>3227</v>
      </c>
      <c r="T43" s="1837"/>
      <c r="W43" s="1824"/>
      <c r="X43" s="1825"/>
    </row>
    <row r="44" spans="1:24" s="363" customFormat="1" ht="12.6" customHeight="1">
      <c r="B44" s="1858">
        <f>G27+G33+G38+G41</f>
        <v>6883385</v>
      </c>
      <c r="C44" s="1859"/>
      <c r="E44" s="1873"/>
      <c r="F44" s="1164">
        <f>B44/'Part VI-Revenues &amp; Expenses'!$M$98</f>
        <v>52.344336968259036</v>
      </c>
      <c r="G44" s="665" t="s">
        <v>3221</v>
      </c>
      <c r="H44" s="1162"/>
      <c r="I44" s="1162"/>
      <c r="J44" s="1871">
        <f>B44/'Part VI-Revenues &amp; Expenses'!$M$100</f>
        <v>51.959487001419127</v>
      </c>
      <c r="K44" s="1871"/>
      <c r="L44" s="1162"/>
      <c r="M44" s="1876" t="s">
        <v>3226</v>
      </c>
      <c r="N44" s="1876"/>
      <c r="O44" s="1162"/>
      <c r="P44" s="1162"/>
      <c r="Q44" s="1162"/>
      <c r="R44" s="1162"/>
      <c r="S44" s="1162"/>
      <c r="T44" s="413"/>
      <c r="W44" s="1826"/>
      <c r="X44" s="1827"/>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1190</v>
      </c>
      <c r="J46" s="424"/>
      <c r="K46" s="421"/>
      <c r="M46" s="424"/>
      <c r="N46" s="421"/>
      <c r="O46" s="423" t="str">
        <f>B46</f>
        <v>CONSTRUCTION CONTINGENCY</v>
      </c>
      <c r="P46" s="424"/>
      <c r="Q46" s="421"/>
      <c r="S46" s="424"/>
      <c r="T46" s="421"/>
      <c r="W46" s="363" t="str">
        <f>B46</f>
        <v>CONSTRUCTION CONTINGENCY</v>
      </c>
    </row>
    <row r="47" spans="1:24" ht="12.6" customHeight="1">
      <c r="B47" s="363" t="s">
        <v>2095</v>
      </c>
      <c r="F47" s="489">
        <f>G47/$B$44</f>
        <v>7.0000007263868E-2</v>
      </c>
      <c r="G47" s="1751">
        <v>481837</v>
      </c>
      <c r="H47" s="1752"/>
      <c r="I47" s="363"/>
      <c r="J47" s="1751">
        <v>0</v>
      </c>
      <c r="K47" s="1752"/>
      <c r="L47" s="1163"/>
      <c r="M47" s="1751"/>
      <c r="N47" s="1752"/>
      <c r="O47" s="363"/>
      <c r="P47" s="1751">
        <v>481837</v>
      </c>
      <c r="Q47" s="1752"/>
      <c r="R47" s="363"/>
      <c r="S47" s="1751"/>
      <c r="T47" s="1752"/>
      <c r="V47" s="1332"/>
      <c r="W47" s="1820"/>
      <c r="X47" s="1821"/>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656</v>
      </c>
      <c r="B50" s="525" t="s">
        <v>3392</v>
      </c>
      <c r="H50" s="1157"/>
      <c r="I50" s="1157"/>
      <c r="J50" s="1839" t="s">
        <v>285</v>
      </c>
      <c r="K50" s="1840"/>
      <c r="L50" s="421"/>
      <c r="M50" s="1862" t="s">
        <v>519</v>
      </c>
      <c r="N50" s="1863"/>
      <c r="P50" s="1839" t="s">
        <v>286</v>
      </c>
      <c r="Q50" s="1840"/>
      <c r="S50" s="1839" t="s">
        <v>287</v>
      </c>
      <c r="T50" s="1840"/>
      <c r="W50" s="526" t="str">
        <f>B50</f>
        <v>DEVELOPMENT BUDGET (cont'd)</v>
      </c>
    </row>
    <row r="51" spans="1:24" s="363" customFormat="1" ht="18.75" customHeight="1" thickBot="1">
      <c r="G51" s="1856" t="s">
        <v>104</v>
      </c>
      <c r="H51" s="1857"/>
      <c r="J51" s="1841"/>
      <c r="K51" s="1842"/>
      <c r="L51" s="421"/>
      <c r="M51" s="1864"/>
      <c r="N51" s="1865"/>
      <c r="P51" s="1841"/>
      <c r="Q51" s="1842"/>
      <c r="S51" s="1841"/>
      <c r="T51" s="1842"/>
      <c r="W51" s="1819" t="s">
        <v>2890</v>
      </c>
      <c r="X51" s="1819"/>
    </row>
    <row r="52" spans="1:24" s="363" customFormat="1" ht="12" customHeight="1">
      <c r="B52" s="366" t="s">
        <v>771</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2496</v>
      </c>
      <c r="G53" s="1751">
        <v>74661</v>
      </c>
      <c r="H53" s="1752"/>
      <c r="J53" s="1751">
        <v>0</v>
      </c>
      <c r="K53" s="1752"/>
      <c r="L53" s="1163"/>
      <c r="M53" s="1751"/>
      <c r="N53" s="1752"/>
      <c r="P53" s="1751">
        <v>74661</v>
      </c>
      <c r="Q53" s="1752"/>
      <c r="S53" s="1751"/>
      <c r="T53" s="1752"/>
      <c r="V53" s="1332"/>
      <c r="W53" s="1822"/>
      <c r="X53" s="1823"/>
    </row>
    <row r="54" spans="1:24" s="363" customFormat="1" ht="12" customHeight="1">
      <c r="B54" s="363" t="s">
        <v>2497</v>
      </c>
      <c r="G54" s="1751">
        <v>298715</v>
      </c>
      <c r="H54" s="1752"/>
      <c r="J54" s="1751">
        <v>0</v>
      </c>
      <c r="K54" s="1752"/>
      <c r="L54" s="1163"/>
      <c r="M54" s="1751"/>
      <c r="N54" s="1752"/>
      <c r="P54" s="1751">
        <v>298715</v>
      </c>
      <c r="Q54" s="1752"/>
      <c r="S54" s="1751"/>
      <c r="T54" s="1752"/>
      <c r="V54" s="1332"/>
      <c r="W54" s="1824"/>
      <c r="X54" s="1825"/>
    </row>
    <row r="55" spans="1:24" s="363" customFormat="1" ht="12" customHeight="1">
      <c r="B55" s="363" t="s">
        <v>2498</v>
      </c>
      <c r="G55" s="1751">
        <v>25000</v>
      </c>
      <c r="H55" s="1752"/>
      <c r="J55" s="1751">
        <v>0</v>
      </c>
      <c r="K55" s="1752"/>
      <c r="L55" s="1163"/>
      <c r="M55" s="1751"/>
      <c r="N55" s="1752"/>
      <c r="P55" s="1751">
        <v>25000</v>
      </c>
      <c r="Q55" s="1752"/>
      <c r="S55" s="1751"/>
      <c r="T55" s="1752"/>
      <c r="V55" s="1332"/>
      <c r="W55" s="1824"/>
      <c r="X55" s="1825"/>
    </row>
    <row r="56" spans="1:24" s="363" customFormat="1" ht="12" customHeight="1">
      <c r="B56" s="363" t="s">
        <v>2912</v>
      </c>
      <c r="G56" s="1751"/>
      <c r="H56" s="1752"/>
      <c r="J56" s="1751">
        <v>0</v>
      </c>
      <c r="K56" s="1752"/>
      <c r="L56" s="1163"/>
      <c r="M56" s="1751"/>
      <c r="N56" s="1752"/>
      <c r="P56" s="1751">
        <v>0</v>
      </c>
      <c r="Q56" s="1752"/>
      <c r="S56" s="1751"/>
      <c r="T56" s="1752"/>
      <c r="V56" s="1332"/>
      <c r="W56" s="1824"/>
      <c r="X56" s="1825"/>
    </row>
    <row r="57" spans="1:24" s="363" customFormat="1" ht="12" customHeight="1">
      <c r="B57" s="363" t="s">
        <v>772</v>
      </c>
      <c r="G57" s="1751">
        <v>61415</v>
      </c>
      <c r="H57" s="1752"/>
      <c r="J57" s="1751">
        <v>0</v>
      </c>
      <c r="K57" s="1752"/>
      <c r="L57" s="1163"/>
      <c r="M57" s="1751"/>
      <c r="N57" s="1752"/>
      <c r="P57" s="1751">
        <v>61415</v>
      </c>
      <c r="Q57" s="1752"/>
      <c r="S57" s="1751"/>
      <c r="T57" s="1752"/>
      <c r="V57" s="1332"/>
      <c r="W57" s="1824"/>
      <c r="X57" s="1825"/>
    </row>
    <row r="58" spans="1:24" s="363" customFormat="1" ht="12" customHeight="1">
      <c r="B58" s="363" t="s">
        <v>2499</v>
      </c>
      <c r="G58" s="1751">
        <v>50000</v>
      </c>
      <c r="H58" s="1752"/>
      <c r="J58" s="1751">
        <v>0</v>
      </c>
      <c r="K58" s="1752"/>
      <c r="L58" s="1163"/>
      <c r="M58" s="1751"/>
      <c r="N58" s="1752"/>
      <c r="P58" s="1751">
        <v>50000</v>
      </c>
      <c r="Q58" s="1752"/>
      <c r="S58" s="1751"/>
      <c r="T58" s="1752"/>
      <c r="V58" s="1332"/>
      <c r="W58" s="1824"/>
      <c r="X58" s="1825"/>
    </row>
    <row r="59" spans="1:24" s="363" customFormat="1" ht="12" customHeight="1">
      <c r="B59" s="363" t="s">
        <v>1355</v>
      </c>
      <c r="G59" s="1751"/>
      <c r="H59" s="1752"/>
      <c r="J59" s="1751">
        <v>0</v>
      </c>
      <c r="K59" s="1752"/>
      <c r="L59" s="1163"/>
      <c r="M59" s="1751"/>
      <c r="N59" s="1752"/>
      <c r="P59" s="1751">
        <v>0</v>
      </c>
      <c r="Q59" s="1752"/>
      <c r="S59" s="1751"/>
      <c r="T59" s="1752"/>
      <c r="V59" s="1332"/>
      <c r="W59" s="1824"/>
      <c r="X59" s="1825"/>
    </row>
    <row r="60" spans="1:24" s="363" customFormat="1" ht="12" customHeight="1">
      <c r="B60" s="363" t="s">
        <v>295</v>
      </c>
      <c r="G60" s="1751"/>
      <c r="H60" s="1752"/>
      <c r="J60" s="1751">
        <v>0</v>
      </c>
      <c r="K60" s="1752"/>
      <c r="L60" s="1163"/>
      <c r="M60" s="1751"/>
      <c r="N60" s="1752"/>
      <c r="P60" s="1751"/>
      <c r="Q60" s="1752"/>
      <c r="S60" s="1751"/>
      <c r="T60" s="1752"/>
      <c r="V60" s="1332"/>
      <c r="W60" s="1824"/>
      <c r="X60" s="1825"/>
    </row>
    <row r="61" spans="1:24" s="363" customFormat="1" ht="12" customHeight="1">
      <c r="B61" s="428" t="s">
        <v>1221</v>
      </c>
      <c r="D61" s="426"/>
      <c r="E61" s="426"/>
      <c r="F61" s="427"/>
      <c r="G61" s="1751">
        <v>40834</v>
      </c>
      <c r="H61" s="1752"/>
      <c r="I61" s="383"/>
      <c r="J61" s="1751">
        <v>0</v>
      </c>
      <c r="K61" s="1752"/>
      <c r="L61" s="1163"/>
      <c r="M61" s="1751"/>
      <c r="N61" s="1752"/>
      <c r="P61" s="1751">
        <v>40834</v>
      </c>
      <c r="Q61" s="1752"/>
      <c r="S61" s="1751"/>
      <c r="T61" s="1752"/>
      <c r="V61" s="1332"/>
      <c r="W61" s="1824"/>
      <c r="X61" s="1825"/>
    </row>
    <row r="62" spans="1:24" s="363" customFormat="1" ht="12" customHeight="1">
      <c r="A62" s="449" t="str">
        <f>IF(AND(G62&gt;0,OR(C62="",C62="&lt;Enter detailed description here; use Comments section if needed&gt;")),"X","")</f>
        <v/>
      </c>
      <c r="B62" s="363" t="s">
        <v>790</v>
      </c>
      <c r="C62" s="1590" t="s">
        <v>3795</v>
      </c>
      <c r="D62" s="1590"/>
      <c r="E62" s="1590"/>
      <c r="F62" s="1591"/>
      <c r="G62" s="1751">
        <v>2500</v>
      </c>
      <c r="H62" s="1752"/>
      <c r="J62" s="1751">
        <v>0</v>
      </c>
      <c r="K62" s="1752"/>
      <c r="L62" s="1163"/>
      <c r="M62" s="1751"/>
      <c r="N62" s="1752"/>
      <c r="P62" s="1751">
        <v>2500</v>
      </c>
      <c r="Q62" s="1752"/>
      <c r="S62" s="1751"/>
      <c r="T62" s="1752"/>
      <c r="U62" s="448" t="str">
        <f>IF(AND(G62&gt;0,OR(C62="",C62="&lt;Enter detailed description here; use Comments section if needed&gt;")),"NO DESCRIPTION PROVIDED - please enter detailed description in Other box at left; use Comments section below if needed.","")</f>
        <v/>
      </c>
      <c r="V62" s="1332"/>
      <c r="W62" s="1824"/>
      <c r="X62" s="1825"/>
    </row>
    <row r="63" spans="1:24" s="363" customFormat="1" ht="12" customHeight="1" thickBot="1">
      <c r="A63" s="449" t="str">
        <f>IF(AND(G63&gt;0,OR(C63="",C63="&lt;Enter detailed description here; use Comments section if needed&gt;")),"X","")</f>
        <v/>
      </c>
      <c r="B63" s="363" t="s">
        <v>790</v>
      </c>
      <c r="C63" s="1590" t="s">
        <v>3796</v>
      </c>
      <c r="D63" s="1590"/>
      <c r="E63" s="1590"/>
      <c r="F63" s="1591"/>
      <c r="G63" s="1751">
        <v>8000</v>
      </c>
      <c r="H63" s="1752"/>
      <c r="J63" s="1751">
        <v>0</v>
      </c>
      <c r="K63" s="1752"/>
      <c r="L63" s="1163"/>
      <c r="M63" s="1751"/>
      <c r="N63" s="1752"/>
      <c r="P63" s="1751">
        <v>8000</v>
      </c>
      <c r="Q63" s="1752"/>
      <c r="S63" s="1751"/>
      <c r="T63" s="1752"/>
      <c r="U63" s="448" t="str">
        <f>IF(AND(G63&gt;0,OR(C63="",C63="&lt;Enter detailed description here; use Comments section if needed&gt;")),"NO DESCRIPTION PROVIDED - please enter detailed description in Other box at left; use Comments section below if needed.","")</f>
        <v/>
      </c>
      <c r="V63" s="1332"/>
      <c r="W63" s="1824"/>
      <c r="X63" s="1825"/>
    </row>
    <row r="64" spans="1:24" s="363" customFormat="1" ht="12" customHeight="1" thickTop="1">
      <c r="F64" s="422" t="s">
        <v>199</v>
      </c>
      <c r="G64" s="1816">
        <f>SUM(G53:H63)</f>
        <v>561125</v>
      </c>
      <c r="H64" s="1828"/>
      <c r="J64" s="1816">
        <f>SUM(J53:K63)</f>
        <v>0</v>
      </c>
      <c r="K64" s="1828"/>
      <c r="L64" s="424"/>
      <c r="M64" s="1816">
        <f>SUM(M53:N63)</f>
        <v>0</v>
      </c>
      <c r="N64" s="1828"/>
      <c r="P64" s="1816">
        <f>SUM(P53:Q63)</f>
        <v>561125</v>
      </c>
      <c r="Q64" s="1828"/>
      <c r="S64" s="1816">
        <f>SUM(S53:T63)</f>
        <v>0</v>
      </c>
      <c r="T64" s="1828"/>
      <c r="V64" s="1334"/>
      <c r="W64" s="1826"/>
      <c r="X64" s="1827"/>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51">
        <v>209000</v>
      </c>
      <c r="H66" s="1752"/>
      <c r="J66" s="1751">
        <v>0</v>
      </c>
      <c r="K66" s="1752"/>
      <c r="L66" s="1163"/>
      <c r="M66" s="1751"/>
      <c r="N66" s="1752"/>
      <c r="P66" s="1751">
        <v>209000</v>
      </c>
      <c r="Q66" s="1752"/>
      <c r="S66" s="1751"/>
      <c r="T66" s="1752"/>
      <c r="V66" s="1332"/>
      <c r="W66" s="1822"/>
      <c r="X66" s="1823"/>
    </row>
    <row r="67" spans="1:24" s="363" customFormat="1" ht="12" customHeight="1">
      <c r="B67" s="363" t="s">
        <v>507</v>
      </c>
      <c r="G67" s="1751">
        <v>3000</v>
      </c>
      <c r="H67" s="1752"/>
      <c r="J67" s="1751">
        <v>0</v>
      </c>
      <c r="K67" s="1752"/>
      <c r="L67" s="1163"/>
      <c r="M67" s="1751"/>
      <c r="N67" s="1752"/>
      <c r="P67" s="1751">
        <v>3000</v>
      </c>
      <c r="Q67" s="1752"/>
      <c r="S67" s="1751"/>
      <c r="T67" s="1752"/>
      <c r="V67" s="1332"/>
      <c r="W67" s="1824"/>
      <c r="X67" s="1825"/>
    </row>
    <row r="68" spans="1:24" s="363" customFormat="1" ht="12" customHeight="1">
      <c r="B68" s="363" t="s">
        <v>1192</v>
      </c>
      <c r="F68" s="363" t="s">
        <v>3146</v>
      </c>
      <c r="G68" s="1751">
        <v>20000</v>
      </c>
      <c r="H68" s="1752"/>
      <c r="J68" s="1751">
        <v>0</v>
      </c>
      <c r="K68" s="1752"/>
      <c r="L68" s="1163"/>
      <c r="M68" s="1751"/>
      <c r="N68" s="1752"/>
      <c r="P68" s="1751">
        <v>20000</v>
      </c>
      <c r="Q68" s="1752"/>
      <c r="S68" s="1751"/>
      <c r="T68" s="1752"/>
      <c r="V68" s="1332"/>
      <c r="W68" s="1824"/>
      <c r="X68" s="1825"/>
    </row>
    <row r="69" spans="1:24" s="363" customFormat="1" ht="12" customHeight="1">
      <c r="B69" s="363" t="s">
        <v>1193</v>
      </c>
      <c r="G69" s="1751">
        <v>9600</v>
      </c>
      <c r="H69" s="1752"/>
      <c r="J69" s="1751">
        <v>0</v>
      </c>
      <c r="K69" s="1752"/>
      <c r="L69" s="1163"/>
      <c r="M69" s="1751"/>
      <c r="N69" s="1752"/>
      <c r="P69" s="1751">
        <v>9600</v>
      </c>
      <c r="Q69" s="1752"/>
      <c r="S69" s="1751"/>
      <c r="T69" s="1752"/>
      <c r="V69" s="1332"/>
      <c r="W69" s="1824"/>
      <c r="X69" s="1825"/>
    </row>
    <row r="70" spans="1:24" s="363" customFormat="1" ht="12" customHeight="1">
      <c r="B70" s="363" t="s">
        <v>1194</v>
      </c>
      <c r="G70" s="1751">
        <v>5667</v>
      </c>
      <c r="H70" s="1752"/>
      <c r="J70" s="1751">
        <v>0</v>
      </c>
      <c r="K70" s="1752"/>
      <c r="L70" s="1163"/>
      <c r="M70" s="1751"/>
      <c r="N70" s="1752"/>
      <c r="P70" s="1751">
        <v>5667</v>
      </c>
      <c r="Q70" s="1752"/>
      <c r="S70" s="1751"/>
      <c r="T70" s="1752"/>
      <c r="V70" s="1332"/>
      <c r="W70" s="1824"/>
      <c r="X70" s="1825"/>
    </row>
    <row r="71" spans="1:24" s="363" customFormat="1" ht="12" customHeight="1">
      <c r="B71" s="363" t="s">
        <v>1195</v>
      </c>
      <c r="G71" s="1751">
        <v>10000</v>
      </c>
      <c r="H71" s="1752"/>
      <c r="J71" s="1751">
        <v>0</v>
      </c>
      <c r="K71" s="1752"/>
      <c r="L71" s="1163"/>
      <c r="M71" s="1751"/>
      <c r="N71" s="1752"/>
      <c r="P71" s="1751">
        <v>10000</v>
      </c>
      <c r="Q71" s="1752"/>
      <c r="S71" s="1751"/>
      <c r="T71" s="1752"/>
      <c r="V71" s="1332"/>
      <c r="W71" s="1824"/>
      <c r="X71" s="1825"/>
    </row>
    <row r="72" spans="1:24" s="363" customFormat="1" ht="12" customHeight="1">
      <c r="B72" s="363" t="s">
        <v>508</v>
      </c>
      <c r="G72" s="1751">
        <v>10000</v>
      </c>
      <c r="H72" s="1752"/>
      <c r="J72" s="1751">
        <v>0</v>
      </c>
      <c r="K72" s="1752"/>
      <c r="L72" s="1163"/>
      <c r="M72" s="1751"/>
      <c r="N72" s="1752"/>
      <c r="P72" s="1751">
        <v>10000</v>
      </c>
      <c r="Q72" s="1752"/>
      <c r="S72" s="1751"/>
      <c r="T72" s="1752"/>
      <c r="V72" s="1332"/>
      <c r="W72" s="1824"/>
      <c r="X72" s="1825"/>
    </row>
    <row r="73" spans="1:24" s="363" customFormat="1" ht="12" customHeight="1">
      <c r="B73" s="363" t="s">
        <v>509</v>
      </c>
      <c r="G73" s="1751">
        <v>70000</v>
      </c>
      <c r="H73" s="1752"/>
      <c r="J73" s="1751">
        <v>0</v>
      </c>
      <c r="K73" s="1752"/>
      <c r="L73" s="1163"/>
      <c r="M73" s="1751">
        <v>10000</v>
      </c>
      <c r="N73" s="1752"/>
      <c r="P73" s="1751">
        <v>30000</v>
      </c>
      <c r="Q73" s="1752"/>
      <c r="S73" s="1751">
        <v>30000</v>
      </c>
      <c r="T73" s="1752"/>
      <c r="V73" s="1332"/>
      <c r="W73" s="1824"/>
      <c r="X73" s="1825"/>
    </row>
    <row r="74" spans="1:24" s="363" customFormat="1" ht="12" customHeight="1">
      <c r="B74" s="363" t="s">
        <v>2186</v>
      </c>
      <c r="G74" s="1751">
        <v>26000</v>
      </c>
      <c r="H74" s="1752"/>
      <c r="J74" s="1751">
        <v>0</v>
      </c>
      <c r="K74" s="1752"/>
      <c r="L74" s="1163"/>
      <c r="M74" s="1751"/>
      <c r="N74" s="1752"/>
      <c r="P74" s="1751">
        <v>26000</v>
      </c>
      <c r="Q74" s="1752"/>
      <c r="S74" s="1751"/>
      <c r="T74" s="1752"/>
      <c r="V74" s="1332"/>
      <c r="W74" s="1824"/>
      <c r="X74" s="1825"/>
    </row>
    <row r="75" spans="1:24" s="363" customFormat="1" ht="12" customHeight="1">
      <c r="B75" s="363" t="s">
        <v>1356</v>
      </c>
      <c r="G75" s="1751">
        <v>2000</v>
      </c>
      <c r="H75" s="1752"/>
      <c r="J75" s="1751">
        <v>0</v>
      </c>
      <c r="K75" s="1752"/>
      <c r="L75" s="1163"/>
      <c r="M75" s="1751"/>
      <c r="N75" s="1752"/>
      <c r="P75" s="1751">
        <v>2000</v>
      </c>
      <c r="Q75" s="1752"/>
      <c r="S75" s="1751"/>
      <c r="T75" s="1752"/>
      <c r="V75" s="1332"/>
      <c r="W75" s="1824"/>
      <c r="X75" s="1825"/>
    </row>
    <row r="76" spans="1:24" s="363" customFormat="1" ht="12" customHeight="1" thickBot="1">
      <c r="A76" s="449" t="str">
        <f>IF(AND(G76&gt;0,OR(C76="",C76="&lt;Enter detailed description here; use Comments section if needed&gt;")),"X","")</f>
        <v/>
      </c>
      <c r="B76" s="363" t="s">
        <v>790</v>
      </c>
      <c r="C76" s="1590"/>
      <c r="D76" s="1590"/>
      <c r="E76" s="1590"/>
      <c r="F76" s="1591"/>
      <c r="G76" s="1751">
        <v>0</v>
      </c>
      <c r="H76" s="1752"/>
      <c r="J76" s="1751">
        <v>0</v>
      </c>
      <c r="K76" s="1752"/>
      <c r="L76" s="1163"/>
      <c r="M76" s="1751"/>
      <c r="N76" s="1752"/>
      <c r="P76" s="1751">
        <v>0</v>
      </c>
      <c r="Q76" s="1752"/>
      <c r="S76" s="1751"/>
      <c r="T76" s="1752"/>
      <c r="U76" s="448" t="str">
        <f>IF(AND(G76&gt;0,OR(C76="",C76="&lt;Enter detailed description here; use Comments section if needed&gt;")),"NO DESCRIPTION PROVIDED - please enter detailed description in Other box at left; use Comments section below if needed.","")</f>
        <v/>
      </c>
      <c r="V76" s="1332"/>
      <c r="W76" s="1824"/>
      <c r="X76" s="1825"/>
    </row>
    <row r="77" spans="1:24" s="363" customFormat="1" ht="12" customHeight="1" thickTop="1">
      <c r="F77" s="422" t="s">
        <v>199</v>
      </c>
      <c r="G77" s="1816">
        <f>SUM(G66:H76)</f>
        <v>365267</v>
      </c>
      <c r="H77" s="1828"/>
      <c r="J77" s="1816">
        <f>SUM(J66:K76)</f>
        <v>0</v>
      </c>
      <c r="K77" s="1828"/>
      <c r="L77" s="424"/>
      <c r="M77" s="1816">
        <f>SUM(M66:N76)</f>
        <v>10000</v>
      </c>
      <c r="N77" s="1828"/>
      <c r="P77" s="1816">
        <f>SUM(P66:Q76)</f>
        <v>325267</v>
      </c>
      <c r="Q77" s="1828"/>
      <c r="S77" s="1816">
        <f>SUM(S66:T76)</f>
        <v>30000</v>
      </c>
      <c r="T77" s="1828"/>
      <c r="V77" s="1334"/>
      <c r="W77" s="1826"/>
      <c r="X77" s="1827"/>
    </row>
    <row r="78" spans="1:24" ht="12" customHeight="1">
      <c r="A78" s="363"/>
      <c r="B78" s="366" t="s">
        <v>1348</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1349</v>
      </c>
      <c r="G79" s="1751">
        <v>21639</v>
      </c>
      <c r="H79" s="1752"/>
      <c r="J79" s="1751">
        <v>0</v>
      </c>
      <c r="K79" s="1752"/>
      <c r="L79" s="1163"/>
      <c r="M79" s="1751"/>
      <c r="N79" s="1752"/>
      <c r="P79" s="1751">
        <v>21639</v>
      </c>
      <c r="Q79" s="1752"/>
      <c r="S79" s="1751"/>
      <c r="T79" s="1752"/>
      <c r="V79" s="1332"/>
      <c r="W79" s="1829"/>
      <c r="X79" s="1830"/>
    </row>
    <row r="80" spans="1:24" s="363" customFormat="1" ht="12" customHeight="1">
      <c r="B80" s="363" t="s">
        <v>1350</v>
      </c>
      <c r="G80" s="1751"/>
      <c r="H80" s="1752"/>
      <c r="J80" s="1751">
        <v>0</v>
      </c>
      <c r="K80" s="1752"/>
      <c r="L80" s="1163"/>
      <c r="M80" s="1751"/>
      <c r="N80" s="1752"/>
      <c r="P80" s="1751">
        <v>0</v>
      </c>
      <c r="Q80" s="1752"/>
      <c r="S80" s="1751"/>
      <c r="T80" s="1752"/>
      <c r="V80" s="1332"/>
      <c r="W80" s="1831"/>
      <c r="X80" s="1832"/>
    </row>
    <row r="81" spans="1:24" s="363" customFormat="1" ht="12" customHeight="1">
      <c r="B81" s="363" t="s">
        <v>1351</v>
      </c>
      <c r="D81" s="431" t="s">
        <v>1492</v>
      </c>
      <c r="E81" s="1335"/>
      <c r="G81" s="1751"/>
      <c r="H81" s="1752"/>
      <c r="I81" s="383"/>
      <c r="J81" s="1751">
        <v>0</v>
      </c>
      <c r="K81" s="1752"/>
      <c r="L81" s="1163"/>
      <c r="M81" s="1751"/>
      <c r="N81" s="1752"/>
      <c r="P81" s="1751">
        <v>0</v>
      </c>
      <c r="Q81" s="1752"/>
      <c r="S81" s="1751"/>
      <c r="T81" s="1752"/>
      <c r="V81" s="1332"/>
      <c r="W81" s="1831"/>
      <c r="X81" s="1832"/>
    </row>
    <row r="82" spans="1:24" s="363" customFormat="1" ht="12" customHeight="1" thickBot="1">
      <c r="B82" s="363" t="s">
        <v>1352</v>
      </c>
      <c r="D82" s="431" t="s">
        <v>1492</v>
      </c>
      <c r="E82" s="1335"/>
      <c r="G82" s="1751"/>
      <c r="H82" s="1752"/>
      <c r="I82" s="383"/>
      <c r="J82" s="1751">
        <v>0</v>
      </c>
      <c r="K82" s="1752"/>
      <c r="L82" s="1163"/>
      <c r="M82" s="1751"/>
      <c r="N82" s="1752"/>
      <c r="P82" s="1751">
        <v>0</v>
      </c>
      <c r="Q82" s="1752"/>
      <c r="S82" s="1751"/>
      <c r="T82" s="1752"/>
      <c r="V82" s="1332"/>
      <c r="W82" s="1831"/>
      <c r="X82" s="1832"/>
    </row>
    <row r="83" spans="1:24" s="363" customFormat="1" ht="12" customHeight="1" thickTop="1">
      <c r="F83" s="422" t="s">
        <v>199</v>
      </c>
      <c r="G83" s="1816">
        <f>SUM(G79:H82)</f>
        <v>21639</v>
      </c>
      <c r="H83" s="1828"/>
      <c r="J83" s="1816">
        <f>SUM(J79:K82)</f>
        <v>0</v>
      </c>
      <c r="K83" s="1828"/>
      <c r="L83" s="424"/>
      <c r="M83" s="1816">
        <f>SUM(M79:N82)</f>
        <v>0</v>
      </c>
      <c r="N83" s="1828"/>
      <c r="P83" s="1816">
        <f>SUM(P79:Q82)</f>
        <v>21639</v>
      </c>
      <c r="Q83" s="1828"/>
      <c r="S83" s="1816">
        <f>SUM(S79:T82)</f>
        <v>0</v>
      </c>
      <c r="T83" s="1828"/>
      <c r="V83" s="1334"/>
      <c r="W83" s="1833"/>
      <c r="X83" s="1834"/>
    </row>
    <row r="84" spans="1:24" s="363" customFormat="1" ht="12" customHeight="1">
      <c r="B84" s="366" t="s">
        <v>773</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1353</v>
      </c>
      <c r="G85" s="1751">
        <v>22725</v>
      </c>
      <c r="H85" s="1752"/>
      <c r="J85" s="1838"/>
      <c r="K85" s="1838"/>
      <c r="L85" s="1163"/>
      <c r="M85" s="1838"/>
      <c r="N85" s="1838"/>
      <c r="P85" s="1838"/>
      <c r="Q85" s="1838"/>
      <c r="S85" s="1751">
        <v>22725</v>
      </c>
      <c r="T85" s="1752"/>
      <c r="V85" s="1332"/>
      <c r="W85" s="1829"/>
      <c r="X85" s="1830"/>
    </row>
    <row r="86" spans="1:24" s="363" customFormat="1" ht="12" customHeight="1">
      <c r="B86" s="363" t="s">
        <v>1354</v>
      </c>
      <c r="G86" s="1751"/>
      <c r="H86" s="1752"/>
      <c r="J86" s="1838"/>
      <c r="K86" s="1838"/>
      <c r="L86" s="1163"/>
      <c r="M86" s="1838"/>
      <c r="N86" s="1838"/>
      <c r="P86" s="1838"/>
      <c r="Q86" s="1838"/>
      <c r="S86" s="1751"/>
      <c r="T86" s="1752"/>
      <c r="V86" s="1332"/>
      <c r="W86" s="1831"/>
      <c r="X86" s="1832"/>
    </row>
    <row r="87" spans="1:24" s="363" customFormat="1" ht="12" customHeight="1">
      <c r="B87" s="363" t="s">
        <v>1355</v>
      </c>
      <c r="G87" s="1751">
        <v>40000</v>
      </c>
      <c r="H87" s="1752"/>
      <c r="J87" s="1838"/>
      <c r="K87" s="1838"/>
      <c r="L87" s="1163"/>
      <c r="M87" s="1838"/>
      <c r="N87" s="1838"/>
      <c r="P87" s="1838"/>
      <c r="Q87" s="1838"/>
      <c r="S87" s="1751">
        <v>40000</v>
      </c>
      <c r="T87" s="1752"/>
      <c r="V87" s="1332"/>
      <c r="W87" s="1831"/>
      <c r="X87" s="1832"/>
    </row>
    <row r="88" spans="1:24" s="363" customFormat="1" ht="12" customHeight="1">
      <c r="B88" s="363" t="s">
        <v>1357</v>
      </c>
      <c r="G88" s="1751"/>
      <c r="H88" s="1752"/>
      <c r="J88" s="1838"/>
      <c r="K88" s="1838"/>
      <c r="L88" s="1163"/>
      <c r="M88" s="1838"/>
      <c r="N88" s="1838"/>
      <c r="P88" s="1838"/>
      <c r="Q88" s="1838"/>
      <c r="S88" s="1751"/>
      <c r="T88" s="1752"/>
      <c r="V88" s="1332"/>
      <c r="W88" s="1831"/>
      <c r="X88" s="1832"/>
    </row>
    <row r="89" spans="1:24" s="363" customFormat="1" ht="12" customHeight="1">
      <c r="B89" s="363" t="s">
        <v>2446</v>
      </c>
      <c r="G89" s="1751"/>
      <c r="H89" s="1752"/>
      <c r="J89" s="1838"/>
      <c r="K89" s="1838"/>
      <c r="L89" s="1163"/>
      <c r="M89" s="1838"/>
      <c r="N89" s="1838"/>
      <c r="P89" s="1838"/>
      <c r="Q89" s="1838"/>
      <c r="S89" s="1751"/>
      <c r="T89" s="1752"/>
      <c r="V89" s="1332"/>
      <c r="W89" s="1831"/>
      <c r="X89" s="1832"/>
    </row>
    <row r="90" spans="1:24" s="363" customFormat="1" ht="12" customHeight="1" thickBot="1">
      <c r="A90" s="449" t="str">
        <f>IF(AND(G90&gt;0,OR(C90="",C90="&lt;Enter detailed description here; use Comments section if needed&gt;")),"X","")</f>
        <v/>
      </c>
      <c r="B90" s="363" t="s">
        <v>790</v>
      </c>
      <c r="C90" s="1590" t="s">
        <v>2577</v>
      </c>
      <c r="D90" s="1590"/>
      <c r="E90" s="1590"/>
      <c r="F90" s="1591"/>
      <c r="G90" s="1751"/>
      <c r="H90" s="1752"/>
      <c r="J90" s="1838"/>
      <c r="K90" s="1838"/>
      <c r="L90" s="1163"/>
      <c r="M90" s="1838"/>
      <c r="N90" s="1838"/>
      <c r="P90" s="1838"/>
      <c r="Q90" s="1838"/>
      <c r="S90" s="1751"/>
      <c r="T90" s="1752"/>
      <c r="U90" s="448" t="str">
        <f>IF(AND(G90&gt;0,OR(C90="",C90="&lt;Enter detailed description here; use Comments section if needed&gt;")),"NO DESCRIPTION PROVIDED - please enter detailed description in Other box at left; use Comments section below if needed.","")</f>
        <v/>
      </c>
      <c r="V90" s="1332"/>
      <c r="W90" s="1831"/>
      <c r="X90" s="1832"/>
    </row>
    <row r="91" spans="1:24" s="363" customFormat="1" ht="12" customHeight="1" thickTop="1">
      <c r="F91" s="422" t="s">
        <v>199</v>
      </c>
      <c r="G91" s="1816">
        <f>SUM(G85:H90)</f>
        <v>62725</v>
      </c>
      <c r="H91" s="1828"/>
      <c r="J91" s="1838"/>
      <c r="K91" s="1838"/>
      <c r="L91" s="424"/>
      <c r="M91" s="1838"/>
      <c r="N91" s="1838"/>
      <c r="P91" s="1838"/>
      <c r="Q91" s="1838"/>
      <c r="S91" s="1816">
        <f>SUM(S85:T90)</f>
        <v>62725</v>
      </c>
      <c r="T91" s="1828"/>
      <c r="V91" s="1334"/>
      <c r="W91" s="1833"/>
      <c r="X91" s="1834"/>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656</v>
      </c>
      <c r="B93" s="525" t="s">
        <v>3391</v>
      </c>
      <c r="H93" s="1157"/>
      <c r="I93" s="1157"/>
      <c r="J93" s="1839" t="s">
        <v>285</v>
      </c>
      <c r="K93" s="1840"/>
      <c r="L93" s="421"/>
      <c r="M93" s="1862" t="s">
        <v>519</v>
      </c>
      <c r="N93" s="1863"/>
      <c r="P93" s="1839" t="s">
        <v>286</v>
      </c>
      <c r="Q93" s="1840"/>
      <c r="S93" s="1839" t="s">
        <v>287</v>
      </c>
      <c r="T93" s="1840"/>
      <c r="W93" s="526" t="str">
        <f>B93</f>
        <v>DEVELOPMENT BUDGET  (cont'd)</v>
      </c>
    </row>
    <row r="94" spans="1:24" s="363" customFormat="1" ht="18" customHeight="1" thickBot="1">
      <c r="G94" s="1856" t="s">
        <v>104</v>
      </c>
      <c r="H94" s="1857"/>
      <c r="J94" s="1841"/>
      <c r="K94" s="1842"/>
      <c r="L94" s="421"/>
      <c r="M94" s="1864"/>
      <c r="N94" s="1865"/>
      <c r="P94" s="1841"/>
      <c r="Q94" s="1842"/>
      <c r="S94" s="1841"/>
      <c r="T94" s="1842"/>
      <c r="W94" s="1819" t="s">
        <v>2890</v>
      </c>
      <c r="X94" s="1819"/>
    </row>
    <row r="95" spans="1:24" s="363" customFormat="1" ht="13.15" customHeight="1">
      <c r="B95" s="366" t="s">
        <v>774</v>
      </c>
      <c r="J95" s="424"/>
      <c r="K95" s="424"/>
      <c r="M95" s="424"/>
      <c r="N95" s="424"/>
      <c r="O95" s="423" t="str">
        <f>B95</f>
        <v>DCA-RELATED COSTS</v>
      </c>
      <c r="P95" s="424"/>
      <c r="Q95" s="424"/>
      <c r="S95" s="424"/>
      <c r="T95" s="424"/>
      <c r="W95" s="363" t="str">
        <f>B95</f>
        <v>DCA-RELATED COSTS</v>
      </c>
    </row>
    <row r="96" spans="1:24" s="363" customFormat="1" ht="12.6" customHeight="1">
      <c r="B96" s="363" t="s">
        <v>1642</v>
      </c>
      <c r="G96" s="1751"/>
      <c r="H96" s="1752"/>
      <c r="J96" s="424"/>
      <c r="K96" s="424"/>
      <c r="L96" s="1163"/>
      <c r="M96" s="424"/>
      <c r="N96" s="424"/>
      <c r="P96" s="424"/>
      <c r="Q96" s="424"/>
      <c r="S96" s="1751">
        <v>0</v>
      </c>
      <c r="T96" s="1752"/>
      <c r="V96" s="1332"/>
      <c r="W96" s="1829"/>
      <c r="X96" s="1830"/>
    </row>
    <row r="97" spans="1:24" s="363" customFormat="1" ht="12.6" customHeight="1">
      <c r="B97" s="363" t="s">
        <v>1273</v>
      </c>
      <c r="G97" s="1751">
        <v>6500</v>
      </c>
      <c r="H97" s="1752"/>
      <c r="J97" s="424"/>
      <c r="K97" s="424"/>
      <c r="L97" s="432"/>
      <c r="M97" s="424"/>
      <c r="N97" s="424"/>
      <c r="P97" s="424"/>
      <c r="Q97" s="424"/>
      <c r="S97" s="1751">
        <v>6500</v>
      </c>
      <c r="T97" s="1752"/>
      <c r="V97" s="1332"/>
      <c r="W97" s="1831"/>
      <c r="X97" s="1832"/>
    </row>
    <row r="98" spans="1:24" s="363" customFormat="1" ht="12.6" customHeight="1">
      <c r="B98" s="363" t="s">
        <v>2917</v>
      </c>
      <c r="G98" s="1751">
        <v>1500</v>
      </c>
      <c r="H98" s="1752"/>
      <c r="J98" s="424"/>
      <c r="K98" s="424"/>
      <c r="L98" s="432"/>
      <c r="M98" s="424"/>
      <c r="N98" s="424"/>
      <c r="O98" s="1157"/>
      <c r="P98" s="424"/>
      <c r="Q98" s="424"/>
      <c r="S98" s="1751">
        <v>1500</v>
      </c>
      <c r="T98" s="1752"/>
      <c r="V98" s="1332"/>
      <c r="W98" s="1831"/>
      <c r="X98" s="1832"/>
    </row>
    <row r="99" spans="1:24" s="363" customFormat="1" ht="12.6" customHeight="1">
      <c r="B99" s="363" t="s">
        <v>551</v>
      </c>
      <c r="E99" s="1860">
        <f>'DCA Underwriting Assumptions'!$Q$40*$J$173</f>
        <v>80000</v>
      </c>
      <c r="F99" s="1861"/>
      <c r="G99" s="1751">
        <v>80000</v>
      </c>
      <c r="H99" s="1752"/>
      <c r="J99" s="424"/>
      <c r="K99" s="424"/>
      <c r="L99" s="1163"/>
      <c r="M99" s="424"/>
      <c r="N99" s="424"/>
      <c r="O99" s="1157"/>
      <c r="P99" s="424"/>
      <c r="Q99" s="424"/>
      <c r="S99" s="1751">
        <v>80000</v>
      </c>
      <c r="T99" s="1752"/>
      <c r="V99" s="1332"/>
      <c r="W99" s="1831"/>
      <c r="X99" s="1832"/>
    </row>
    <row r="100" spans="1:24" s="363" customFormat="1" ht="12.6" customHeight="1">
      <c r="B100" s="363" t="s">
        <v>802</v>
      </c>
      <c r="E100" s="186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102400</v>
      </c>
      <c r="F100" s="1861"/>
      <c r="G100" s="1751">
        <v>102400</v>
      </c>
      <c r="H100" s="1752"/>
      <c r="J100" s="332"/>
      <c r="K100" s="332"/>
      <c r="L100" s="332"/>
      <c r="M100" s="332"/>
      <c r="N100" s="332"/>
      <c r="O100" s="332"/>
      <c r="P100" s="332"/>
      <c r="Q100" s="332"/>
      <c r="S100" s="1751">
        <v>102400</v>
      </c>
      <c r="T100" s="1752"/>
      <c r="V100" s="1332"/>
      <c r="W100" s="1831"/>
      <c r="X100" s="1832"/>
    </row>
    <row r="101" spans="1:24" s="363" customFormat="1" ht="12.6" customHeight="1">
      <c r="B101" s="363" t="s">
        <v>514</v>
      </c>
      <c r="G101" s="1751"/>
      <c r="H101" s="1752"/>
      <c r="J101" s="332"/>
      <c r="K101" s="332"/>
      <c r="L101" s="332"/>
      <c r="M101" s="332"/>
      <c r="N101" s="332"/>
      <c r="O101" s="332"/>
      <c r="P101" s="332"/>
      <c r="Q101" s="332"/>
      <c r="S101" s="1751">
        <v>0</v>
      </c>
      <c r="T101" s="1752"/>
      <c r="V101" s="1332"/>
      <c r="W101" s="1831"/>
      <c r="X101" s="1832"/>
    </row>
    <row r="102" spans="1:24" s="363" customFormat="1" ht="12.6" customHeight="1">
      <c r="B102" s="363" t="s">
        <v>2503</v>
      </c>
      <c r="G102" s="1751">
        <v>3000</v>
      </c>
      <c r="H102" s="1752"/>
      <c r="J102" s="332"/>
      <c r="K102" s="332"/>
      <c r="L102" s="332"/>
      <c r="M102" s="332"/>
      <c r="N102" s="332"/>
      <c r="O102" s="332"/>
      <c r="P102" s="332"/>
      <c r="Q102" s="332"/>
      <c r="S102" s="1751">
        <v>3000</v>
      </c>
      <c r="T102" s="1752"/>
      <c r="V102" s="1332"/>
      <c r="W102" s="1831"/>
      <c r="X102" s="1832"/>
    </row>
    <row r="103" spans="1:24" s="363" customFormat="1" ht="12.6" customHeight="1">
      <c r="A103" s="449" t="str">
        <f>IF(AND(G103&gt;0,OR(C103="",C103="&lt;Enter detailed description here; use Comments section if needed&gt;")),"X","")</f>
        <v/>
      </c>
      <c r="B103" s="363" t="s">
        <v>790</v>
      </c>
      <c r="C103" s="1590" t="s">
        <v>3713</v>
      </c>
      <c r="D103" s="1590"/>
      <c r="E103" s="1590"/>
      <c r="F103" s="1591"/>
      <c r="G103" s="1751">
        <v>2700</v>
      </c>
      <c r="H103" s="1752"/>
      <c r="J103" s="332"/>
      <c r="K103" s="332"/>
      <c r="L103" s="332"/>
      <c r="M103" s="332"/>
      <c r="N103" s="332"/>
      <c r="O103" s="332"/>
      <c r="P103" s="332"/>
      <c r="Q103" s="332"/>
      <c r="S103" s="1751">
        <v>2700</v>
      </c>
      <c r="T103" s="1752"/>
      <c r="U103" s="448" t="str">
        <f>IF(AND(G103&gt;0,OR(C103="",C103="&lt;Enter detailed description here; use Comments section if needed&gt;")),"NO DESCRIPTION PROVIDED - please enter detailed description in Other box at left; use Comments section below if needed.","")</f>
        <v/>
      </c>
      <c r="V103" s="1332"/>
      <c r="W103" s="1831"/>
      <c r="X103" s="1832"/>
    </row>
    <row r="104" spans="1:24" s="363" customFormat="1" ht="12.6" customHeight="1" thickBot="1">
      <c r="A104" s="449" t="str">
        <f>IF(AND(G104&gt;0,OR(C104="",C104="&lt;Enter detailed description here; use Comments section if needed&gt;")),"X","")</f>
        <v/>
      </c>
      <c r="B104" s="363" t="s">
        <v>790</v>
      </c>
      <c r="C104" s="1590" t="s">
        <v>3797</v>
      </c>
      <c r="D104" s="1590"/>
      <c r="E104" s="1590"/>
      <c r="F104" s="1591"/>
      <c r="G104" s="1751">
        <v>1000</v>
      </c>
      <c r="H104" s="1752"/>
      <c r="J104" s="332"/>
      <c r="K104" s="332"/>
      <c r="L104" s="332"/>
      <c r="M104" s="332"/>
      <c r="N104" s="332"/>
      <c r="O104" s="332"/>
      <c r="P104" s="332"/>
      <c r="Q104" s="332"/>
      <c r="S104" s="1751">
        <v>1000</v>
      </c>
      <c r="T104" s="1752"/>
      <c r="U104" s="448" t="str">
        <f>IF(AND(G104&gt;0,OR(C104="",C104="&lt;Enter detailed description here; use Comments section if needed&gt;")),"NO DESCRIPTION PROVIDED - please enter detailed description in Other box at left; use Comments section below if needed.","")</f>
        <v/>
      </c>
      <c r="V104" s="1332"/>
      <c r="W104" s="1831"/>
      <c r="X104" s="1832"/>
    </row>
    <row r="105" spans="1:24" s="363" customFormat="1" ht="12.6" customHeight="1" thickTop="1">
      <c r="F105" s="422" t="s">
        <v>199</v>
      </c>
      <c r="G105" s="1816">
        <f>SUM(G96:H104)</f>
        <v>197100</v>
      </c>
      <c r="H105" s="1828"/>
      <c r="J105" s="424"/>
      <c r="K105" s="424"/>
      <c r="L105" s="1163"/>
      <c r="M105" s="424"/>
      <c r="N105" s="424"/>
      <c r="P105" s="424"/>
      <c r="Q105" s="424"/>
      <c r="S105" s="1816">
        <f>SUM(S96:T104)</f>
        <v>197100</v>
      </c>
      <c r="T105" s="1828"/>
      <c r="V105" s="1334"/>
      <c r="W105" s="1833"/>
      <c r="X105" s="1834"/>
    </row>
    <row r="106" spans="1:24" s="363" customFormat="1" ht="13.15" customHeight="1">
      <c r="B106" s="366" t="s">
        <v>2447</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51">
        <v>5000</v>
      </c>
      <c r="H107" s="1752"/>
      <c r="J107" s="1838"/>
      <c r="K107" s="1838"/>
      <c r="L107" s="1163"/>
      <c r="M107" s="1838"/>
      <c r="N107" s="1838"/>
      <c r="O107" s="1157"/>
      <c r="P107" s="1838"/>
      <c r="Q107" s="1838"/>
      <c r="S107" s="1751">
        <v>5000</v>
      </c>
      <c r="T107" s="1752"/>
      <c r="V107" s="1332"/>
      <c r="W107" s="1829"/>
      <c r="X107" s="1830"/>
    </row>
    <row r="108" spans="1:24" s="363" customFormat="1" ht="12.6" customHeight="1">
      <c r="B108" s="363" t="s">
        <v>296</v>
      </c>
      <c r="G108" s="1751"/>
      <c r="H108" s="1752"/>
      <c r="J108" s="1838"/>
      <c r="K108" s="1838"/>
      <c r="L108" s="1163"/>
      <c r="M108" s="1838"/>
      <c r="N108" s="1838"/>
      <c r="O108" s="1157"/>
      <c r="P108" s="1838"/>
      <c r="Q108" s="1838"/>
      <c r="S108" s="1751"/>
      <c r="T108" s="1752"/>
      <c r="V108" s="1332"/>
      <c r="W108" s="1831"/>
      <c r="X108" s="1832"/>
    </row>
    <row r="109" spans="1:24" s="363" customFormat="1" ht="12.6" customHeight="1">
      <c r="B109" s="363" t="s">
        <v>2541</v>
      </c>
      <c r="G109" s="1751">
        <v>25000</v>
      </c>
      <c r="H109" s="1752"/>
      <c r="J109" s="1838"/>
      <c r="K109" s="1838"/>
      <c r="L109" s="1163"/>
      <c r="M109" s="1838"/>
      <c r="N109" s="1838"/>
      <c r="O109" s="1157"/>
      <c r="P109" s="1838"/>
      <c r="Q109" s="1838"/>
      <c r="S109" s="1751">
        <v>25000</v>
      </c>
      <c r="T109" s="1752"/>
      <c r="V109" s="1332"/>
      <c r="W109" s="1831"/>
      <c r="X109" s="1832"/>
    </row>
    <row r="110" spans="1:24" s="363" customFormat="1" ht="12.6" customHeight="1" thickBot="1">
      <c r="A110" s="449" t="str">
        <f>IF(AND(G110&gt;0,OR(C110="",C110="&lt;Enter detailed description here; use Comments section if needed&gt;")),"X","")</f>
        <v/>
      </c>
      <c r="B110" s="363" t="s">
        <v>790</v>
      </c>
      <c r="C110" s="1590"/>
      <c r="D110" s="1590"/>
      <c r="E110" s="1590"/>
      <c r="F110" s="1591"/>
      <c r="G110" s="1751"/>
      <c r="H110" s="1752"/>
      <c r="J110" s="1838"/>
      <c r="K110" s="1838"/>
      <c r="L110" s="1163"/>
      <c r="M110" s="1838"/>
      <c r="N110" s="1838"/>
      <c r="O110" s="1157"/>
      <c r="P110" s="1838"/>
      <c r="Q110" s="1838"/>
      <c r="S110" s="1751">
        <v>0</v>
      </c>
      <c r="T110" s="1752"/>
      <c r="U110" s="448" t="str">
        <f>IF(AND(G110&gt;0,OR(C110="",C110="&lt;Enter detailed description here; use Comments section if needed&gt;")),"NO DESCRIPTION PROVIDED - please enter detailed description in Other box at left; use Comments section below if needed.","")</f>
        <v/>
      </c>
      <c r="V110" s="1332"/>
      <c r="W110" s="1831"/>
      <c r="X110" s="1832"/>
    </row>
    <row r="111" spans="1:24" s="363" customFormat="1" ht="12.6" customHeight="1" thickTop="1">
      <c r="F111" s="422" t="s">
        <v>199</v>
      </c>
      <c r="G111" s="1816">
        <f>SUM(G107:H110)</f>
        <v>30000</v>
      </c>
      <c r="H111" s="1828"/>
      <c r="J111" s="1838"/>
      <c r="K111" s="1838"/>
      <c r="L111" s="1163"/>
      <c r="M111" s="1838"/>
      <c r="N111" s="1838"/>
      <c r="O111" s="1157"/>
      <c r="P111" s="1838"/>
      <c r="Q111" s="1838"/>
      <c r="S111" s="1816">
        <f>SUM(S107:T110)</f>
        <v>30000</v>
      </c>
      <c r="T111" s="1828"/>
      <c r="V111" s="1334"/>
      <c r="W111" s="1833"/>
      <c r="X111" s="1834"/>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1988</v>
      </c>
      <c r="F113" s="490">
        <f>G113/$G$116</f>
        <v>0</v>
      </c>
      <c r="G113" s="1751"/>
      <c r="H113" s="1752"/>
      <c r="J113" s="1751">
        <v>0</v>
      </c>
      <c r="K113" s="1752"/>
      <c r="L113" s="423"/>
      <c r="M113" s="1751"/>
      <c r="N113" s="1752"/>
      <c r="P113" s="1751"/>
      <c r="Q113" s="1752"/>
      <c r="S113" s="1751">
        <v>0</v>
      </c>
      <c r="T113" s="1752"/>
      <c r="V113" s="1332"/>
      <c r="W113" s="1829"/>
      <c r="X113" s="1830"/>
    </row>
    <row r="114" spans="1:24" s="363" customFormat="1" ht="12.6" customHeight="1">
      <c r="B114" s="363" t="s">
        <v>1989</v>
      </c>
      <c r="F114" s="490">
        <f>G114/$G$116</f>
        <v>0</v>
      </c>
      <c r="G114" s="1751"/>
      <c r="H114" s="1752"/>
      <c r="J114" s="1751">
        <v>0</v>
      </c>
      <c r="K114" s="1752"/>
      <c r="L114" s="1163"/>
      <c r="M114" s="1751"/>
      <c r="N114" s="1752"/>
      <c r="P114" s="1751"/>
      <c r="Q114" s="1752"/>
      <c r="S114" s="1751">
        <v>0</v>
      </c>
      <c r="T114" s="1752"/>
      <c r="V114" s="1332"/>
      <c r="W114" s="1831"/>
      <c r="X114" s="1832"/>
    </row>
    <row r="115" spans="1:24" s="363" customFormat="1" ht="12.6" customHeight="1" thickBot="1">
      <c r="B115" s="363" t="s">
        <v>1981</v>
      </c>
      <c r="F115" s="490">
        <f>G115/$G$116</f>
        <v>1</v>
      </c>
      <c r="G115" s="1751">
        <v>1782087</v>
      </c>
      <c r="H115" s="1752"/>
      <c r="J115" s="1751">
        <v>0</v>
      </c>
      <c r="K115" s="1752"/>
      <c r="L115" s="1163"/>
      <c r="M115" s="1751">
        <v>405750</v>
      </c>
      <c r="N115" s="1752"/>
      <c r="P115" s="1751">
        <v>1376337</v>
      </c>
      <c r="Q115" s="1752"/>
      <c r="S115" s="1751">
        <v>0</v>
      </c>
      <c r="T115" s="1752"/>
      <c r="V115" s="1332"/>
      <c r="W115" s="1831"/>
      <c r="X115" s="1832"/>
    </row>
    <row r="116" spans="1:24" s="363" customFormat="1" ht="12.6" customHeight="1" thickTop="1">
      <c r="C116" s="448" t="str">
        <f>IF(G116&lt;='DCA Underwriting Assumptions'!$Q$48,"","Developer Fee exceeds DCA Program Maximum !!!")</f>
        <v/>
      </c>
      <c r="F116" s="422" t="s">
        <v>199</v>
      </c>
      <c r="G116" s="1816">
        <f>SUM(G113:H115)</f>
        <v>1782087</v>
      </c>
      <c r="H116" s="1828"/>
      <c r="J116" s="1816">
        <f>SUM(J113:K115)</f>
        <v>0</v>
      </c>
      <c r="K116" s="1828"/>
      <c r="L116" s="1163"/>
      <c r="M116" s="1816">
        <f>SUM(M113:N115)</f>
        <v>405750</v>
      </c>
      <c r="N116" s="1828"/>
      <c r="P116" s="1816">
        <f>SUM(P113:Q115)</f>
        <v>1376337</v>
      </c>
      <c r="Q116" s="1828"/>
      <c r="S116" s="1816">
        <f>SUM(S113:T115)</f>
        <v>0</v>
      </c>
      <c r="T116" s="1828"/>
      <c r="V116" s="1334"/>
      <c r="W116" s="1833"/>
      <c r="X116" s="1834"/>
    </row>
    <row r="117" spans="1:24" s="363" customFormat="1" ht="13.15" customHeight="1">
      <c r="B117" s="366" t="s">
        <v>1394</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51">
        <v>65000</v>
      </c>
      <c r="H118" s="1752"/>
      <c r="J118" s="433"/>
      <c r="K118" s="433"/>
      <c r="L118" s="433"/>
      <c r="M118" s="433"/>
      <c r="N118" s="433"/>
      <c r="P118" s="433"/>
      <c r="Q118" s="433"/>
      <c r="S118" s="1751">
        <v>65000</v>
      </c>
      <c r="T118" s="1752"/>
      <c r="V118" s="1332"/>
      <c r="W118" s="1829"/>
      <c r="X118" s="1830"/>
    </row>
    <row r="119" spans="1:24" s="363" customFormat="1" ht="12.6" customHeight="1">
      <c r="B119" s="363" t="s">
        <v>1641</v>
      </c>
      <c r="F119" s="648">
        <f>+'Part VI-Revenues &amp; Expenses'!P157*('DCA Underwriting Assumptions'!$Q$60/12)</f>
        <v>128009.75</v>
      </c>
      <c r="G119" s="1751">
        <v>128010</v>
      </c>
      <c r="H119" s="1752"/>
      <c r="J119" s="1838"/>
      <c r="K119" s="1838"/>
      <c r="L119" s="1163"/>
      <c r="M119" s="1838"/>
      <c r="N119" s="1838"/>
      <c r="O119" s="1157"/>
      <c r="P119" s="1838"/>
      <c r="Q119" s="1838"/>
      <c r="R119" s="1157"/>
      <c r="S119" s="1751">
        <v>128010</v>
      </c>
      <c r="T119" s="1752"/>
      <c r="V119" s="1332"/>
      <c r="W119" s="1831"/>
      <c r="X119" s="1832"/>
    </row>
    <row r="120" spans="1:24" s="363" customFormat="1" ht="12.6" customHeight="1">
      <c r="B120" s="363" t="s">
        <v>723</v>
      </c>
      <c r="F120" s="649">
        <f>'Part VI-Revenues &amp; Expenses'!P157*('DCA Underwriting Assumptions'!Q59/12)+('Part VII-Pro Forma'!B23+'Part VII-Pro Forma'!B24+'Part VII-Pro Forma'!B25+'Part VII-Pro Forma'!B26)*'DCA Underwriting Assumptions'!Q58/(-12)</f>
        <v>313474.48333551042</v>
      </c>
      <c r="G120" s="1751">
        <v>313474</v>
      </c>
      <c r="H120" s="1752"/>
      <c r="J120" s="432"/>
      <c r="K120" s="432"/>
      <c r="L120" s="432"/>
      <c r="M120" s="432"/>
      <c r="N120" s="432"/>
      <c r="O120" s="1157"/>
      <c r="P120" s="432"/>
      <c r="Q120" s="432"/>
      <c r="R120" s="1157"/>
      <c r="S120" s="1751">
        <v>313474</v>
      </c>
      <c r="T120" s="1752"/>
      <c r="V120" s="1332"/>
      <c r="W120" s="1831"/>
      <c r="X120" s="1832"/>
    </row>
    <row r="121" spans="1:24" s="363" customFormat="1" ht="12.6" customHeight="1">
      <c r="B121" s="363" t="s">
        <v>1321</v>
      </c>
      <c r="G121" s="1751"/>
      <c r="H121" s="1752"/>
      <c r="J121" s="433"/>
      <c r="K121" s="433"/>
      <c r="L121" s="433"/>
      <c r="M121" s="433"/>
      <c r="N121" s="433"/>
      <c r="P121" s="433"/>
      <c r="Q121" s="433"/>
      <c r="S121" s="1751"/>
      <c r="T121" s="1752"/>
      <c r="V121" s="1332"/>
      <c r="W121" s="1831"/>
      <c r="X121" s="1832"/>
    </row>
    <row r="122" spans="1:24" s="363" customFormat="1" ht="12.6" customHeight="1">
      <c r="B122" s="363" t="s">
        <v>1322</v>
      </c>
      <c r="E122" s="363" t="s">
        <v>3138</v>
      </c>
      <c r="F122" s="591">
        <f>G122/'Part VI-Revenues &amp; Expenses'!$M$62</f>
        <v>842.203125</v>
      </c>
      <c r="G122" s="1751">
        <v>107802</v>
      </c>
      <c r="H122" s="1752"/>
      <c r="J122" s="1751">
        <v>0</v>
      </c>
      <c r="K122" s="1752"/>
      <c r="L122" s="1163"/>
      <c r="M122" s="1751"/>
      <c r="N122" s="1752"/>
      <c r="P122" s="1751">
        <v>107802</v>
      </c>
      <c r="Q122" s="1752"/>
      <c r="S122" s="1751"/>
      <c r="T122" s="1752"/>
      <c r="V122" s="1332"/>
      <c r="W122" s="1831"/>
      <c r="X122" s="1832"/>
    </row>
    <row r="123" spans="1:24" s="363" customFormat="1" ht="12.6" customHeight="1" thickBot="1">
      <c r="A123" s="449" t="str">
        <f>IF(AND(G123&gt;0,OR(C123="",C123="&lt;Enter detailed description here; use Comments section if needed&gt;")),"X","")</f>
        <v/>
      </c>
      <c r="B123" s="363" t="s">
        <v>790</v>
      </c>
      <c r="C123" s="1590" t="s">
        <v>3714</v>
      </c>
      <c r="D123" s="1590"/>
      <c r="E123" s="1590"/>
      <c r="F123" s="1591"/>
      <c r="G123" s="1751">
        <v>67000</v>
      </c>
      <c r="H123" s="1752"/>
      <c r="J123" s="1751">
        <v>0</v>
      </c>
      <c r="K123" s="1752"/>
      <c r="L123" s="1163"/>
      <c r="M123" s="1751"/>
      <c r="N123" s="1752"/>
      <c r="P123" s="1751"/>
      <c r="Q123" s="1752"/>
      <c r="S123" s="1751">
        <v>67000</v>
      </c>
      <c r="T123" s="1752"/>
      <c r="U123" s="448" t="str">
        <f>IF(AND(G123&gt;0,OR(C123="",C123="&lt;Enter detailed description here; use Comments section if needed&gt;")),"NO DESCRIPTION PROVIDED - please enter detailed description in Other box at left; use Comments section below if needed.","")</f>
        <v/>
      </c>
      <c r="V123" s="1332"/>
      <c r="W123" s="1831"/>
      <c r="X123" s="1832"/>
    </row>
    <row r="124" spans="1:24" s="363" customFormat="1" ht="12.6" customHeight="1" thickTop="1">
      <c r="B124" s="434"/>
      <c r="F124" s="422" t="s">
        <v>199</v>
      </c>
      <c r="G124" s="1816">
        <f>SUM(G118:H123)</f>
        <v>681286</v>
      </c>
      <c r="H124" s="1828"/>
      <c r="J124" s="1816">
        <f>SUM(J122:K123)</f>
        <v>0</v>
      </c>
      <c r="K124" s="1828"/>
      <c r="L124" s="1163"/>
      <c r="M124" s="1816">
        <f>SUM(M122:N123)</f>
        <v>0</v>
      </c>
      <c r="N124" s="1828"/>
      <c r="P124" s="1816">
        <f>SUM(P122:Q123)</f>
        <v>107802</v>
      </c>
      <c r="Q124" s="1828"/>
      <c r="S124" s="1816">
        <f>SUM(S118:T123)</f>
        <v>573484</v>
      </c>
      <c r="T124" s="1828"/>
      <c r="V124" s="1334"/>
      <c r="W124" s="1833"/>
      <c r="X124" s="1834"/>
    </row>
    <row r="125" spans="1:24" s="363" customFormat="1" ht="13.15" customHeight="1">
      <c r="B125" s="366" t="s">
        <v>650</v>
      </c>
      <c r="C125" s="1147"/>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651</v>
      </c>
      <c r="C126" s="1147"/>
      <c r="G126" s="1751">
        <v>200000</v>
      </c>
      <c r="H126" s="1752"/>
      <c r="J126" s="1751">
        <v>0</v>
      </c>
      <c r="K126" s="1752"/>
      <c r="L126" s="423"/>
      <c r="M126" s="1751"/>
      <c r="N126" s="1752"/>
      <c r="P126" s="1751">
        <v>200000</v>
      </c>
      <c r="Q126" s="1752"/>
      <c r="S126" s="1751"/>
      <c r="T126" s="1752"/>
      <c r="V126" s="1332"/>
      <c r="W126" s="1829"/>
      <c r="X126" s="1830"/>
    </row>
    <row r="127" spans="1:24" s="363" customFormat="1" ht="12.6" customHeight="1" thickBot="1">
      <c r="A127" s="449" t="str">
        <f>IF(AND(G127&gt;0,OR(C127="",C127="&lt;Enter detailed description here; use Comments section if needed&gt;")),"X","")</f>
        <v/>
      </c>
      <c r="B127" s="363" t="s">
        <v>790</v>
      </c>
      <c r="C127" s="1590" t="s">
        <v>2577</v>
      </c>
      <c r="D127" s="1590"/>
      <c r="E127" s="1590"/>
      <c r="F127" s="1591"/>
      <c r="G127" s="1751"/>
      <c r="H127" s="1752"/>
      <c r="J127" s="1751">
        <v>0</v>
      </c>
      <c r="K127" s="1752"/>
      <c r="L127" s="1163"/>
      <c r="M127" s="1751"/>
      <c r="N127" s="1752"/>
      <c r="P127" s="1751"/>
      <c r="Q127" s="1752"/>
      <c r="S127" s="1751"/>
      <c r="T127" s="1752"/>
      <c r="U127" s="448" t="str">
        <f>IF(AND(G127&gt;0,OR(C127="",C127="&lt;Enter detailed description here; use Comments section if needed&gt;")),"NO DESCRIPTION PROVIDED - please enter detailed description in Other box at left; use Comments section below if needed.","")</f>
        <v/>
      </c>
      <c r="V127" s="1332"/>
      <c r="W127" s="1831"/>
      <c r="X127" s="1832"/>
    </row>
    <row r="128" spans="1:24" s="363" customFormat="1" ht="12.6" customHeight="1" thickTop="1">
      <c r="C128" s="1147"/>
      <c r="F128" s="422" t="s">
        <v>199</v>
      </c>
      <c r="G128" s="1816">
        <f>SUM(G126:H127)</f>
        <v>200000</v>
      </c>
      <c r="H128" s="1828"/>
      <c r="J128" s="1816">
        <f>SUM(J126:K127)</f>
        <v>0</v>
      </c>
      <c r="K128" s="1828"/>
      <c r="L128" s="1163"/>
      <c r="M128" s="1816">
        <f>SUM(M126:N127)</f>
        <v>0</v>
      </c>
      <c r="N128" s="1828"/>
      <c r="P128" s="1816">
        <f>SUM(P126:Q127)</f>
        <v>200000</v>
      </c>
      <c r="Q128" s="1828"/>
      <c r="S128" s="1816">
        <f>SUM(S126:T127)</f>
        <v>0</v>
      </c>
      <c r="T128" s="1828"/>
      <c r="V128" s="1334"/>
      <c r="W128" s="1831"/>
      <c r="X128" s="1832"/>
    </row>
    <row r="129" spans="1:24" s="363" customFormat="1" ht="3" customHeight="1" thickBot="1">
      <c r="C129" s="1147"/>
      <c r="H129" s="430"/>
      <c r="I129" s="430"/>
      <c r="L129" s="1157"/>
      <c r="W129" s="1831"/>
      <c r="X129" s="1832"/>
    </row>
    <row r="130" spans="1:24" s="363" customFormat="1" ht="13.9" customHeight="1" thickBot="1">
      <c r="B130" s="370" t="s">
        <v>3211</v>
      </c>
      <c r="G130" s="1843">
        <f>G17+G23+G27+G33+G38+G41+G47+G64+G77+G83+G91+G105+G111+G116+G124+G128</f>
        <v>14532951</v>
      </c>
      <c r="H130" s="1844"/>
      <c r="J130" s="1843">
        <f>J17+J23+J27+J33+J38+J41+J47+J64+J77+J83+J91+J105+J111+J116+J124+J128</f>
        <v>0</v>
      </c>
      <c r="K130" s="1844"/>
      <c r="M130" s="1843">
        <f>M17+M23+M27+M33+M38+M41+M47+M64+M77+M83+M91+M105+M111+M116+M124+M128</f>
        <v>3110750</v>
      </c>
      <c r="N130" s="1844"/>
      <c r="P130" s="1843">
        <f>P17+P23+P27+P33+P38+P41+P47+P64+P77+P83+P91+P105+P111+P116+P124+P128</f>
        <v>10020892</v>
      </c>
      <c r="Q130" s="1844"/>
      <c r="S130" s="1843">
        <f>S17+S23+S27+S33+S38+S41+S47+S64+S77+S83+S91+S105+S111+S116+S124+S128</f>
        <v>1401309</v>
      </c>
      <c r="T130" s="1844"/>
      <c r="V130" s="1336"/>
      <c r="W130" s="1835"/>
      <c r="X130" s="1834"/>
    </row>
    <row r="131" spans="1:24" s="363" customFormat="1" ht="3" customHeight="1">
      <c r="C131" s="1147"/>
      <c r="H131" s="430"/>
      <c r="I131" s="430"/>
      <c r="L131" s="1157"/>
    </row>
    <row r="132" spans="1:24" s="363" customFormat="1" ht="13.9" customHeight="1">
      <c r="B132" s="659" t="s">
        <v>3153</v>
      </c>
      <c r="C132" s="657"/>
      <c r="D132" s="1852">
        <f>G130/'Part VI-Revenues &amp; Expenses'!$M$62</f>
        <v>113538.6796875</v>
      </c>
      <c r="E132" s="1852"/>
      <c r="F132" s="658" t="s">
        <v>3152</v>
      </c>
      <c r="G132" s="1852">
        <f>G130/'Part VI-Revenues &amp; Expenses'!$M$100</f>
        <v>109.70251970168181</v>
      </c>
      <c r="H132" s="1853"/>
      <c r="I132" s="435"/>
    </row>
    <row r="133" spans="1:24" s="363" customFormat="1" ht="3" customHeight="1">
      <c r="I133" s="435"/>
      <c r="L133" s="435"/>
    </row>
    <row r="134" spans="1:24" s="363" customFormat="1" ht="3.6" customHeight="1" thickBot="1">
      <c r="D134" s="1147"/>
      <c r="E134" s="1147"/>
      <c r="I134" s="430"/>
      <c r="J134" s="430"/>
      <c r="K134" s="436"/>
      <c r="L134" s="369"/>
      <c r="P134" s="1157"/>
    </row>
    <row r="135" spans="1:24" s="363" customFormat="1" ht="25.9" customHeight="1">
      <c r="A135" s="525" t="s">
        <v>789</v>
      </c>
      <c r="B135" s="527" t="s">
        <v>1519</v>
      </c>
      <c r="C135" s="364"/>
      <c r="D135" s="1163"/>
      <c r="E135" s="1163"/>
      <c r="F135" s="1163"/>
      <c r="G135" s="1157"/>
      <c r="H135" s="1157"/>
      <c r="I135" s="437"/>
      <c r="J135" s="1839" t="s">
        <v>285</v>
      </c>
      <c r="K135" s="1840"/>
      <c r="M135" s="1839" t="s">
        <v>103</v>
      </c>
      <c r="N135" s="1840"/>
      <c r="P135" s="1839" t="s">
        <v>286</v>
      </c>
      <c r="Q135" s="1840"/>
      <c r="W135" s="526" t="str">
        <f>B135</f>
        <v>TAX CREDIT CALCULATION - BASIS METHOD</v>
      </c>
    </row>
    <row r="136" spans="1:24" s="363" customFormat="1" ht="15" customHeight="1" thickBot="1">
      <c r="B136" s="370" t="s">
        <v>2181</v>
      </c>
      <c r="D136" s="1163"/>
      <c r="E136" s="1163"/>
      <c r="I136" s="437"/>
      <c r="J136" s="1841"/>
      <c r="K136" s="1842"/>
      <c r="L136" s="364"/>
      <c r="M136" s="1841"/>
      <c r="N136" s="1842"/>
      <c r="P136" s="1841"/>
      <c r="Q136" s="1842"/>
      <c r="W136" s="363" t="str">
        <f>B136</f>
        <v>Subtractions From Eligible Basis</v>
      </c>
      <c r="X136" s="406"/>
    </row>
    <row r="137" spans="1:24" s="363" customFormat="1" ht="6" customHeight="1">
      <c r="D137" s="1147"/>
      <c r="E137" s="1147"/>
      <c r="I137" s="430"/>
      <c r="J137" s="430"/>
      <c r="K137" s="436"/>
      <c r="L137" s="369"/>
      <c r="P137" s="1157"/>
    </row>
    <row r="138" spans="1:24" s="363" customFormat="1" ht="13.9" customHeight="1">
      <c r="B138" s="1147" t="s">
        <v>147</v>
      </c>
      <c r="D138" s="1157"/>
      <c r="E138" s="1157"/>
      <c r="F138" s="1157"/>
      <c r="G138" s="1157"/>
      <c r="H138" s="1157"/>
      <c r="I138" s="437"/>
      <c r="J138" s="1854"/>
      <c r="K138" s="1855"/>
      <c r="P138" s="1854">
        <v>0</v>
      </c>
      <c r="Q138" s="1855"/>
      <c r="V138" s="1332"/>
      <c r="W138" s="1829"/>
      <c r="X138" s="1830"/>
    </row>
    <row r="139" spans="1:24" s="363" customFormat="1" ht="13.9" customHeight="1">
      <c r="B139" s="1157" t="s">
        <v>2289</v>
      </c>
      <c r="D139" s="1157"/>
      <c r="E139" s="1157"/>
      <c r="F139" s="1157"/>
      <c r="G139" s="1157"/>
      <c r="H139" s="1157"/>
      <c r="I139" s="437"/>
      <c r="J139" s="1854"/>
      <c r="K139" s="1855"/>
      <c r="P139" s="1854">
        <v>0</v>
      </c>
      <c r="Q139" s="1855"/>
      <c r="V139" s="1332"/>
      <c r="W139" s="1831"/>
      <c r="X139" s="1832"/>
    </row>
    <row r="140" spans="1:24" s="363" customFormat="1" ht="13.9" customHeight="1">
      <c r="B140" s="1157" t="s">
        <v>1991</v>
      </c>
      <c r="D140" s="1157"/>
      <c r="E140" s="1157"/>
      <c r="I140" s="437"/>
      <c r="J140" s="1854"/>
      <c r="K140" s="1855"/>
      <c r="P140" s="1854">
        <v>0</v>
      </c>
      <c r="Q140" s="1855"/>
      <c r="V140" s="1332"/>
      <c r="W140" s="1831"/>
      <c r="X140" s="1832"/>
    </row>
    <row r="141" spans="1:24" s="363" customFormat="1" ht="13.9" customHeight="1">
      <c r="B141" s="1157" t="s">
        <v>1992</v>
      </c>
      <c r="D141" s="1157"/>
      <c r="E141" s="1157"/>
      <c r="I141" s="437"/>
      <c r="J141" s="1854"/>
      <c r="K141" s="1855"/>
      <c r="P141" s="1854">
        <v>0</v>
      </c>
      <c r="Q141" s="1855"/>
      <c r="V141" s="1332"/>
      <c r="W141" s="1831"/>
      <c r="X141" s="1832"/>
    </row>
    <row r="142" spans="1:24" s="363" customFormat="1" ht="13.9" customHeight="1">
      <c r="B142" s="1157" t="s">
        <v>267</v>
      </c>
      <c r="D142" s="1157"/>
      <c r="E142" s="1157"/>
      <c r="I142" s="437"/>
      <c r="J142" s="1854"/>
      <c r="K142" s="1855"/>
      <c r="P142" s="1854">
        <v>0</v>
      </c>
      <c r="Q142" s="1855"/>
      <c r="V142" s="1332"/>
      <c r="W142" s="1831"/>
      <c r="X142" s="1832"/>
    </row>
    <row r="143" spans="1:24" s="363" customFormat="1" ht="13.9" customHeight="1" thickBot="1">
      <c r="B143" s="1157" t="s">
        <v>1709</v>
      </c>
      <c r="C143" s="1590" t="s">
        <v>2577</v>
      </c>
      <c r="D143" s="1590"/>
      <c r="E143" s="1590"/>
      <c r="F143" s="1590"/>
      <c r="G143" s="1590"/>
      <c r="H143" s="1590"/>
      <c r="I143" s="1591"/>
      <c r="J143" s="1854"/>
      <c r="K143" s="1855"/>
      <c r="P143" s="1854">
        <v>0</v>
      </c>
      <c r="Q143" s="1855"/>
      <c r="V143" s="1332"/>
      <c r="W143" s="1831"/>
      <c r="X143" s="1832"/>
    </row>
    <row r="144" spans="1:24" s="363" customFormat="1" ht="13.9" customHeight="1" thickBot="1">
      <c r="B144" s="375" t="s">
        <v>1993</v>
      </c>
      <c r="C144" s="378"/>
      <c r="J144" s="1759">
        <f>SUM(J138:K143)</f>
        <v>0</v>
      </c>
      <c r="K144" s="1760"/>
      <c r="P144" s="1759">
        <f>SUM(P138:Q143)</f>
        <v>0</v>
      </c>
      <c r="Q144" s="1760"/>
      <c r="V144" s="1334"/>
      <c r="W144" s="1833"/>
      <c r="X144" s="1834"/>
    </row>
    <row r="145" spans="1:24" s="363" customFormat="1" ht="3" customHeight="1"/>
    <row r="146" spans="1:24" s="363" customFormat="1" ht="15" customHeight="1" thickBot="1">
      <c r="B146" s="366" t="s">
        <v>2489</v>
      </c>
      <c r="W146" s="363" t="str">
        <f>B146</f>
        <v>Eligible Basis Calculation</v>
      </c>
    </row>
    <row r="147" spans="1:24" s="363" customFormat="1" ht="13.9" customHeight="1">
      <c r="B147" s="363" t="s">
        <v>1913</v>
      </c>
      <c r="J147" s="1912">
        <f>J130</f>
        <v>0</v>
      </c>
      <c r="K147" s="1913"/>
      <c r="M147" s="1914">
        <f>M130</f>
        <v>3110750</v>
      </c>
      <c r="N147" s="1915"/>
      <c r="P147" s="1912">
        <f>P130</f>
        <v>10020892</v>
      </c>
      <c r="Q147" s="1913"/>
      <c r="V147" s="1332"/>
      <c r="W147" s="1829"/>
      <c r="X147" s="1830"/>
    </row>
    <row r="148" spans="1:24" s="363" customFormat="1" ht="13.9" customHeight="1">
      <c r="B148" s="363" t="s">
        <v>2364</v>
      </c>
      <c r="J148" s="1845">
        <f>J144</f>
        <v>0</v>
      </c>
      <c r="K148" s="1846"/>
      <c r="M148" s="1849"/>
      <c r="N148" s="1849"/>
      <c r="P148" s="1845">
        <f>P144</f>
        <v>0</v>
      </c>
      <c r="Q148" s="1846"/>
      <c r="V148" s="1332"/>
      <c r="W148" s="1831"/>
      <c r="X148" s="1832"/>
    </row>
    <row r="149" spans="1:24" s="363" customFormat="1" ht="13.9" customHeight="1">
      <c r="B149" s="363" t="s">
        <v>2365</v>
      </c>
      <c r="J149" s="1845">
        <f>J147-J148</f>
        <v>0</v>
      </c>
      <c r="K149" s="1846"/>
      <c r="M149" s="1845">
        <f>M147</f>
        <v>3110750</v>
      </c>
      <c r="N149" s="1846"/>
      <c r="P149" s="1845">
        <f>P147-P148</f>
        <v>10020892</v>
      </c>
      <c r="Q149" s="1846"/>
      <c r="V149" s="1332"/>
      <c r="W149" s="1831"/>
      <c r="X149" s="1832"/>
    </row>
    <row r="150" spans="1:24" s="363" customFormat="1" ht="13.9" customHeight="1">
      <c r="B150" s="363" t="s">
        <v>1586</v>
      </c>
      <c r="G150" s="1150" t="s">
        <v>1832</v>
      </c>
      <c r="H150" s="1581" t="s">
        <v>3715</v>
      </c>
      <c r="I150" s="1582"/>
      <c r="J150" s="1850">
        <v>0</v>
      </c>
      <c r="K150" s="1851"/>
      <c r="M150" s="1911"/>
      <c r="N150" s="1911"/>
      <c r="P150" s="1850">
        <v>1.3</v>
      </c>
      <c r="Q150" s="1851"/>
      <c r="V150" s="1332"/>
      <c r="W150" s="1831"/>
      <c r="X150" s="1832"/>
    </row>
    <row r="151" spans="1:24" s="363" customFormat="1" ht="13.9" customHeight="1">
      <c r="B151" s="363" t="s">
        <v>2191</v>
      </c>
      <c r="J151" s="1845">
        <f>J149*J150</f>
        <v>0</v>
      </c>
      <c r="K151" s="1846"/>
      <c r="M151" s="1845">
        <f>+M149</f>
        <v>3110750</v>
      </c>
      <c r="N151" s="1846"/>
      <c r="P151" s="1845">
        <f>P149*P150</f>
        <v>13027159.6</v>
      </c>
      <c r="Q151" s="1846"/>
      <c r="V151" s="1332"/>
      <c r="W151" s="1831"/>
      <c r="X151" s="1832"/>
    </row>
    <row r="152" spans="1:24" s="363" customFormat="1" ht="13.9" customHeight="1">
      <c r="B152" s="363" t="s">
        <v>2722</v>
      </c>
      <c r="J152" s="1847">
        <f>MIN('Part VI-Revenues &amp; Expenses'!$M$58/'Part VI-Revenues &amp; Expenses'!$M$60,'Part VI-Revenues &amp; Expenses'!$M$96/'Part VI-Revenues &amp; Expenses'!$M$98)</f>
        <v>1</v>
      </c>
      <c r="K152" s="1848"/>
      <c r="M152" s="1847">
        <f>MIN('Part VI-Revenues &amp; Expenses'!$M$58/'Part VI-Revenues &amp; Expenses'!$M$60,'Part VI-Revenues &amp; Expenses'!$M$96/'Part VI-Revenues &amp; Expenses'!$M$98)</f>
        <v>1</v>
      </c>
      <c r="N152" s="1848"/>
      <c r="P152" s="1847">
        <f>MIN('Part VI-Revenues &amp; Expenses'!$M$58/'Part VI-Revenues &amp; Expenses'!$M$60,'Part VI-Revenues &amp; Expenses'!$M$96/'Part VI-Revenues &amp; Expenses'!$M$98)</f>
        <v>1</v>
      </c>
      <c r="Q152" s="1848"/>
      <c r="V152" s="1332"/>
      <c r="W152" s="1831"/>
      <c r="X152" s="1832"/>
    </row>
    <row r="153" spans="1:24" s="363" customFormat="1" ht="13.9" customHeight="1">
      <c r="B153" s="363" t="s">
        <v>2182</v>
      </c>
      <c r="J153" s="1845">
        <f>J151*J152</f>
        <v>0</v>
      </c>
      <c r="K153" s="1846"/>
      <c r="M153" s="1845">
        <f>M151*M152</f>
        <v>3110750</v>
      </c>
      <c r="N153" s="1846"/>
      <c r="P153" s="1845">
        <f>P151*P152</f>
        <v>13027159.6</v>
      </c>
      <c r="Q153" s="1846"/>
      <c r="V153" s="1332"/>
      <c r="W153" s="1831"/>
      <c r="X153" s="1832"/>
    </row>
    <row r="154" spans="1:24" s="363" customFormat="1" ht="13.9" customHeight="1">
      <c r="B154" s="363" t="s">
        <v>2183</v>
      </c>
      <c r="J154" s="1850"/>
      <c r="K154" s="1851"/>
      <c r="M154" s="1850">
        <v>3.2599999999999997E-2</v>
      </c>
      <c r="N154" s="1851"/>
      <c r="P154" s="1850">
        <v>7.5999999999999998E-2</v>
      </c>
      <c r="Q154" s="1851"/>
      <c r="V154" s="1332"/>
      <c r="W154" s="1831"/>
      <c r="X154" s="1832"/>
    </row>
    <row r="155" spans="1:24" s="363" customFormat="1" ht="13.9" customHeight="1" thickBot="1">
      <c r="B155" s="363" t="s">
        <v>2723</v>
      </c>
      <c r="J155" s="1909">
        <f>J153*J154</f>
        <v>0</v>
      </c>
      <c r="K155" s="1910"/>
      <c r="M155" s="1909">
        <f>M153*M154</f>
        <v>101410.45</v>
      </c>
      <c r="N155" s="1910"/>
      <c r="P155" s="1909">
        <f>P153*P154</f>
        <v>990064.12959999999</v>
      </c>
      <c r="Q155" s="1910"/>
      <c r="V155" s="1337"/>
      <c r="W155" s="1831"/>
      <c r="X155" s="1832"/>
    </row>
    <row r="156" spans="1:24" s="363" customFormat="1" ht="13.9" customHeight="1" thickBot="1">
      <c r="B156" s="366" t="s">
        <v>1517</v>
      </c>
      <c r="J156" s="1759">
        <f>J155+M155+P155</f>
        <v>1091474.5796000001</v>
      </c>
      <c r="K156" s="1899"/>
      <c r="L156" s="1899"/>
      <c r="M156" s="1899"/>
      <c r="N156" s="1899"/>
      <c r="O156" s="1899"/>
      <c r="P156" s="1899"/>
      <c r="Q156" s="1760"/>
      <c r="V156" s="1334"/>
      <c r="W156" s="1833"/>
      <c r="X156" s="1834"/>
    </row>
    <row r="157" spans="1:24" s="363" customFormat="1" ht="6" customHeight="1">
      <c r="B157" s="438"/>
      <c r="L157" s="439"/>
      <c r="M157" s="439"/>
      <c r="N157" s="439"/>
      <c r="O157" s="439"/>
    </row>
    <row r="158" spans="1:24" s="363" customFormat="1" ht="13.9" customHeight="1">
      <c r="A158" s="526" t="s">
        <v>791</v>
      </c>
      <c r="B158" s="526" t="s">
        <v>1520</v>
      </c>
      <c r="H158" s="430"/>
      <c r="I158" s="430"/>
      <c r="L158" s="1157"/>
      <c r="M158" s="611"/>
      <c r="N158" s="1157"/>
      <c r="O158" s="1157"/>
      <c r="P158" s="1157"/>
      <c r="Q158" s="1157"/>
      <c r="R158" s="1157"/>
      <c r="S158" s="1157"/>
      <c r="T158" s="1157"/>
    </row>
    <row r="159" spans="1:24" s="363" customFormat="1" ht="15" customHeight="1" thickBot="1">
      <c r="B159" s="366" t="s">
        <v>181</v>
      </c>
      <c r="H159" s="330"/>
      <c r="M159" s="611"/>
      <c r="N159" s="1157"/>
      <c r="O159" s="1157"/>
      <c r="P159" s="1157"/>
      <c r="Q159" s="1157"/>
      <c r="R159" s="1157"/>
      <c r="S159" s="1157"/>
      <c r="T159" s="1157"/>
      <c r="W159" s="526" t="str">
        <f>B158</f>
        <v>TAX CREDIT CALCULATION - GAP METHOD</v>
      </c>
    </row>
    <row r="160" spans="1:24" s="363" customFormat="1" ht="15" customHeight="1">
      <c r="B160" s="356" t="s">
        <v>3212</v>
      </c>
      <c r="G160" s="1894" t="str">
        <f>IF(J161&gt;J160,"TDC exceeds QAP PUCL!","")</f>
        <v/>
      </c>
      <c r="H160" s="1894"/>
      <c r="I160" s="1895"/>
      <c r="J160" s="1896">
        <f>'Part VIII-Threshold Criteria'!$P$47</f>
        <v>21517016</v>
      </c>
      <c r="K160" s="1897"/>
      <c r="L160" s="1898"/>
      <c r="M160" s="1884" t="s">
        <v>3018</v>
      </c>
      <c r="N160" s="1885"/>
      <c r="O160" s="1885"/>
      <c r="P160" s="1885"/>
      <c r="Q160" s="1885"/>
      <c r="R160" s="1886"/>
      <c r="S160" s="1890" t="s">
        <v>2975</v>
      </c>
      <c r="T160" s="1891"/>
      <c r="V160" s="1332"/>
      <c r="W160" s="1829"/>
      <c r="X160" s="1830"/>
    </row>
    <row r="161" spans="1:24" s="363" customFormat="1" ht="13.9" customHeight="1">
      <c r="B161" s="363" t="s">
        <v>3020</v>
      </c>
      <c r="J161" s="1881">
        <f>MIN(G130,J160,(G130-O163))</f>
        <v>14532951</v>
      </c>
      <c r="K161" s="1882"/>
      <c r="L161" s="1883"/>
      <c r="M161" s="1887"/>
      <c r="N161" s="1888"/>
      <c r="O161" s="1888"/>
      <c r="P161" s="1888"/>
      <c r="Q161" s="1888"/>
      <c r="R161" s="1889"/>
      <c r="S161" s="1892"/>
      <c r="T161" s="1893"/>
      <c r="V161" s="1332"/>
      <c r="W161" s="1831"/>
      <c r="X161" s="1832"/>
    </row>
    <row r="162" spans="1:24" s="363" customFormat="1" ht="13.9" customHeight="1">
      <c r="B162" s="363" t="s">
        <v>277</v>
      </c>
      <c r="J162" s="1845">
        <f>'Part III-Sources of Funds'!$H$49-'Part III-Sources of Funds'!H36-'Part III-Sources of Funds'!$H$37-'Part III-Sources of Funds'!$H$40-'Part III-Sources of Funds'!$H$41</f>
        <v>1515000</v>
      </c>
      <c r="K162" s="1849"/>
      <c r="L162" s="1900"/>
      <c r="M162" s="1887"/>
      <c r="N162" s="1888"/>
      <c r="O162" s="1888"/>
      <c r="P162" s="1888"/>
      <c r="Q162" s="1888"/>
      <c r="R162" s="1889"/>
      <c r="S162" s="1892"/>
      <c r="T162" s="1893"/>
      <c r="V162" s="1332"/>
      <c r="W162" s="1831"/>
      <c r="X162" s="1832"/>
    </row>
    <row r="163" spans="1:24" s="363" customFormat="1" ht="13.9" customHeight="1" thickBot="1">
      <c r="B163" s="363" t="s">
        <v>2377</v>
      </c>
      <c r="J163" s="1845">
        <f>+J161-J162</f>
        <v>13017951</v>
      </c>
      <c r="K163" s="1849"/>
      <c r="L163" s="1900"/>
      <c r="M163" s="1920" t="s">
        <v>3019</v>
      </c>
      <c r="N163" s="1921"/>
      <c r="O163" s="1903">
        <f>'Part III-Sources of Funds'!H36</f>
        <v>0</v>
      </c>
      <c r="P163" s="1903"/>
      <c r="Q163" s="1903"/>
      <c r="R163" s="1904"/>
      <c r="S163" s="502" t="s">
        <v>1774</v>
      </c>
      <c r="T163" s="1338" t="s">
        <v>3699</v>
      </c>
      <c r="V163" s="1332"/>
      <c r="W163" s="1831"/>
      <c r="X163" s="1832"/>
    </row>
    <row r="164" spans="1:24" s="363" customFormat="1" ht="13.9" customHeight="1">
      <c r="B164" s="363" t="s">
        <v>1371</v>
      </c>
      <c r="J164" s="1919" t="str">
        <f>"/ 10"</f>
        <v>/ 10</v>
      </c>
      <c r="K164" s="1919"/>
      <c r="L164" s="1919"/>
      <c r="M164" s="1157"/>
      <c r="N164" s="608"/>
      <c r="O164" s="608"/>
      <c r="P164" s="608"/>
      <c r="Q164" s="608"/>
      <c r="R164" s="608"/>
      <c r="W164" s="1831"/>
      <c r="X164" s="1832"/>
    </row>
    <row r="165" spans="1:24" s="363" customFormat="1" ht="13.9" customHeight="1">
      <c r="B165" s="363" t="s">
        <v>1372</v>
      </c>
      <c r="J165" s="1845">
        <f>J163/10</f>
        <v>1301795.1000000001</v>
      </c>
      <c r="K165" s="1849"/>
      <c r="L165" s="1846"/>
      <c r="M165" s="383"/>
      <c r="N165" s="1570" t="s">
        <v>1373</v>
      </c>
      <c r="O165" s="1570"/>
      <c r="Q165" s="1570" t="s">
        <v>1922</v>
      </c>
      <c r="R165" s="1570"/>
      <c r="V165" s="1332"/>
      <c r="W165" s="1831"/>
      <c r="X165" s="1832"/>
    </row>
    <row r="166" spans="1:24" s="363" customFormat="1" ht="13.9" customHeight="1" thickBot="1">
      <c r="B166" s="363" t="s">
        <v>1585</v>
      </c>
      <c r="J166" s="1905">
        <f>N166+Q166</f>
        <v>1.29</v>
      </c>
      <c r="K166" s="1906"/>
      <c r="L166" s="1907"/>
      <c r="M166" s="1150" t="s">
        <v>1374</v>
      </c>
      <c r="N166" s="1901">
        <v>0.9</v>
      </c>
      <c r="O166" s="1902"/>
      <c r="P166" s="1150" t="s">
        <v>652</v>
      </c>
      <c r="Q166" s="1901">
        <v>0.39</v>
      </c>
      <c r="R166" s="1902"/>
      <c r="V166" s="1332"/>
      <c r="W166" s="1831"/>
      <c r="X166" s="1832"/>
    </row>
    <row r="167" spans="1:24" s="363" customFormat="1" ht="13.9" customHeight="1" thickBot="1">
      <c r="B167" s="366" t="s">
        <v>1518</v>
      </c>
      <c r="J167" s="1759">
        <f>IF(J166=0,"",J165/J166)</f>
        <v>1009143.4883720931</v>
      </c>
      <c r="K167" s="1899"/>
      <c r="L167" s="1760"/>
      <c r="M167" s="383"/>
      <c r="N167" s="1157"/>
      <c r="O167" s="1157"/>
      <c r="V167" s="1332"/>
      <c r="W167" s="1831"/>
      <c r="X167" s="1832"/>
    </row>
    <row r="168" spans="1:24" s="363" customFormat="1" ht="6" customHeight="1">
      <c r="J168" s="440"/>
      <c r="K168" s="440"/>
      <c r="L168" s="440"/>
      <c r="M168" s="383"/>
      <c r="N168" s="1153"/>
      <c r="O168" s="1153"/>
      <c r="W168" s="1831"/>
      <c r="X168" s="1832"/>
    </row>
    <row r="169" spans="1:24" s="363" customFormat="1" ht="16.149999999999999" customHeight="1">
      <c r="B169" s="366" t="s">
        <v>3572</v>
      </c>
      <c r="J169" s="1878">
        <f>IF('Part I-Project Information'!I161 = "Yes",+MIN(J156,J167,'Part I-Project Information'!$O$161,'DCA Underwriting Assumptions'!$R$7),+MIN(J156,J167,'DCA Underwriting Assumptions'!$R$6))</f>
        <v>1000000</v>
      </c>
      <c r="K169" s="1879"/>
      <c r="L169" s="1880"/>
      <c r="M169" s="383"/>
      <c r="N169" s="1153"/>
      <c r="O169" s="1153"/>
      <c r="V169" s="1332"/>
      <c r="W169" s="1831"/>
      <c r="X169" s="1832"/>
    </row>
    <row r="170" spans="1:24" s="363" customFormat="1" ht="3" customHeight="1">
      <c r="J170" s="440"/>
      <c r="K170" s="440"/>
      <c r="L170" s="440"/>
      <c r="M170" s="383"/>
      <c r="N170" s="1153"/>
      <c r="O170" s="1153"/>
      <c r="W170" s="1831"/>
      <c r="X170" s="1832"/>
    </row>
    <row r="171" spans="1:24" s="363" customFormat="1" ht="16.149999999999999" customHeight="1">
      <c r="B171" s="366" t="s">
        <v>367</v>
      </c>
      <c r="J171" s="1916">
        <v>1000000</v>
      </c>
      <c r="K171" s="1917"/>
      <c r="L171" s="1918"/>
      <c r="M171" s="441" t="str">
        <f>IF(J169=0,"",IF(J171&gt;J169,"ALLOCATION CANNOT EXCEED MAXIMUM - REVISE REQUEST!",""))</f>
        <v/>
      </c>
      <c r="N171" s="1153"/>
      <c r="O171" s="1153"/>
      <c r="V171" s="1332"/>
      <c r="W171" s="1831"/>
      <c r="X171" s="1832"/>
    </row>
    <row r="172" spans="1:24" s="363" customFormat="1" ht="3" customHeight="1">
      <c r="J172" s="440"/>
      <c r="K172" s="440"/>
      <c r="L172" s="440"/>
      <c r="M172" s="383"/>
      <c r="N172" s="1153"/>
      <c r="O172" s="1153"/>
      <c r="W172" s="1831"/>
      <c r="X172" s="1832"/>
    </row>
    <row r="173" spans="1:24" s="363" customFormat="1" ht="16.149999999999999" customHeight="1">
      <c r="A173" s="526" t="s">
        <v>1915</v>
      </c>
      <c r="B173" s="526" t="s">
        <v>2802</v>
      </c>
      <c r="D173" s="383"/>
      <c r="E173" s="383"/>
      <c r="F173" s="369"/>
      <c r="J173" s="1878">
        <f>IF(J171="",0,+MIN(J169,J171))</f>
        <v>1000000</v>
      </c>
      <c r="K173" s="1879"/>
      <c r="L173" s="1880"/>
      <c r="N173" s="1339"/>
      <c r="O173" s="1339"/>
      <c r="P173" s="1339"/>
      <c r="Q173" s="1339"/>
      <c r="R173" s="1339"/>
      <c r="S173" s="1339"/>
      <c r="T173" s="1339"/>
      <c r="V173" s="1332"/>
      <c r="W173" s="1833"/>
      <c r="X173" s="1834"/>
    </row>
    <row r="174" spans="1:24" ht="3" customHeight="1"/>
    <row r="175" spans="1:24" ht="6" customHeight="1"/>
    <row r="176" spans="1:24" ht="12" customHeight="1">
      <c r="A176" s="366" t="s">
        <v>1917</v>
      </c>
      <c r="B176" s="392" t="s">
        <v>607</v>
      </c>
      <c r="K176" s="366" t="s">
        <v>562</v>
      </c>
      <c r="L176" s="366" t="s">
        <v>82</v>
      </c>
    </row>
    <row r="177" spans="1:24" ht="201" customHeight="1">
      <c r="A177" s="1922" t="s">
        <v>3849</v>
      </c>
      <c r="B177" s="1923"/>
      <c r="C177" s="1923"/>
      <c r="D177" s="1923"/>
      <c r="E177" s="1923"/>
      <c r="F177" s="1923"/>
      <c r="G177" s="1923"/>
      <c r="H177" s="1923"/>
      <c r="I177" s="1923"/>
      <c r="J177" s="1924"/>
      <c r="K177" s="1925"/>
      <c r="L177" s="1926"/>
      <c r="M177" s="1926"/>
      <c r="N177" s="1926"/>
      <c r="O177" s="1926"/>
      <c r="P177" s="1926"/>
      <c r="Q177" s="1926"/>
      <c r="R177" s="1926"/>
      <c r="S177" s="1926"/>
      <c r="T177" s="1927"/>
      <c r="W177" s="1792" t="s">
        <v>2923</v>
      </c>
      <c r="X177" s="1792"/>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7"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10" zoomScaleNormal="100" workbookViewId="0">
      <selection activeCell="A10"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28" t="str">
        <f>CONCATENATE("PART FIVE - UTILITY ALLOWANCES","  -  ",'Part I-Project Information'!$O$4," ",'Part I-Project Information'!$F$23,", ",'Part I-Project Information'!F27,", ",'Part I-Project Information'!J28," County")</f>
        <v>PART FIVE - UTILITY ALLOWANCES  -  2014-006 North Grove Apartments, Athens, Clarke County</v>
      </c>
      <c r="B1" s="1929"/>
      <c r="C1" s="1929"/>
      <c r="D1" s="1929"/>
      <c r="E1" s="1929"/>
      <c r="F1" s="1929"/>
      <c r="G1" s="1929"/>
      <c r="H1" s="1929"/>
      <c r="I1" s="1929"/>
      <c r="J1" s="1929"/>
      <c r="K1" s="1929"/>
      <c r="L1" s="1929"/>
      <c r="M1" s="1929"/>
      <c r="N1" s="11"/>
      <c r="O1" s="11"/>
      <c r="P1" s="11"/>
      <c r="Q1" s="11"/>
      <c r="R1" s="19"/>
      <c r="S1" s="19"/>
      <c r="T1" s="19"/>
    </row>
    <row r="2" spans="1:20" s="9" customFormat="1"/>
    <row r="3" spans="1:20" s="9" customFormat="1">
      <c r="F3" s="5" t="s">
        <v>547</v>
      </c>
      <c r="I3" s="1181" t="str">
        <f>VLOOKUP('Part I-Project Information'!$J$28,'Part I-Project Information'!$C$179:$D$338,2)</f>
        <v>Middle</v>
      </c>
    </row>
    <row r="4" spans="1:20" s="9" customFormat="1"/>
    <row r="5" spans="1:20" s="9" customFormat="1">
      <c r="A5" s="16" t="s">
        <v>656</v>
      </c>
      <c r="B5" s="16" t="s">
        <v>2372</v>
      </c>
      <c r="F5" s="9" t="s">
        <v>2689</v>
      </c>
      <c r="I5" s="1930" t="s">
        <v>3754</v>
      </c>
      <c r="J5" s="1931"/>
      <c r="K5" s="1931"/>
      <c r="L5" s="1931"/>
      <c r="M5" s="1932"/>
    </row>
    <row r="6" spans="1:20" s="9" customFormat="1" ht="13.15" customHeight="1">
      <c r="A6" s="16"/>
      <c r="F6" s="9" t="s">
        <v>676</v>
      </c>
      <c r="H6" s="31"/>
      <c r="I6" s="1933">
        <v>41821</v>
      </c>
      <c r="J6" s="1934"/>
      <c r="K6" s="73" t="s">
        <v>572</v>
      </c>
      <c r="L6" s="1935" t="s">
        <v>3753</v>
      </c>
      <c r="M6" s="1932"/>
    </row>
    <row r="7" spans="1:20" s="9" customFormat="1" ht="6" customHeight="1">
      <c r="A7" s="16"/>
    </row>
    <row r="8" spans="1:20" s="16" customFormat="1">
      <c r="B8" s="293"/>
      <c r="C8" s="293"/>
      <c r="D8" s="293"/>
      <c r="E8" s="293"/>
      <c r="F8" s="1937" t="s">
        <v>649</v>
      </c>
      <c r="G8" s="1937"/>
      <c r="I8" s="1936" t="s">
        <v>208</v>
      </c>
      <c r="J8" s="1936"/>
      <c r="K8" s="1936"/>
      <c r="L8" s="1936"/>
      <c r="M8" s="1936"/>
    </row>
    <row r="9" spans="1:20" s="16" customFormat="1">
      <c r="B9" s="293" t="s">
        <v>851</v>
      </c>
      <c r="D9" s="293" t="s">
        <v>1707</v>
      </c>
      <c r="F9" s="1168" t="s">
        <v>682</v>
      </c>
      <c r="G9" s="1168" t="s">
        <v>1978</v>
      </c>
      <c r="I9" s="294" t="s">
        <v>600</v>
      </c>
      <c r="J9" s="295">
        <v>1</v>
      </c>
      <c r="K9" s="295">
        <v>2</v>
      </c>
      <c r="L9" s="295">
        <v>3</v>
      </c>
      <c r="M9" s="295">
        <v>4</v>
      </c>
    </row>
    <row r="10" spans="1:20" s="9" customFormat="1">
      <c r="B10" s="296" t="s">
        <v>1980</v>
      </c>
      <c r="C10" s="297"/>
      <c r="D10" s="1938" t="s">
        <v>1703</v>
      </c>
      <c r="E10" s="1939"/>
      <c r="F10" s="1340" t="s">
        <v>463</v>
      </c>
      <c r="G10" s="1340"/>
      <c r="H10" s="298"/>
      <c r="I10" s="1341"/>
      <c r="J10" s="1341">
        <v>7</v>
      </c>
      <c r="K10" s="1341">
        <v>9</v>
      </c>
      <c r="L10" s="1341">
        <v>13</v>
      </c>
      <c r="M10" s="1341"/>
    </row>
    <row r="11" spans="1:20" s="9" customFormat="1">
      <c r="B11" s="299" t="s">
        <v>493</v>
      </c>
      <c r="C11" s="300"/>
      <c r="D11" s="299" t="s">
        <v>1703</v>
      </c>
      <c r="E11" s="300"/>
      <c r="F11" s="1342" t="s">
        <v>463</v>
      </c>
      <c r="G11" s="1342"/>
      <c r="H11" s="301"/>
      <c r="I11" s="1343"/>
      <c r="J11" s="1343">
        <v>30</v>
      </c>
      <c r="K11" s="1343">
        <v>39</v>
      </c>
      <c r="L11" s="1344">
        <v>48</v>
      </c>
      <c r="M11" s="1344"/>
    </row>
    <row r="12" spans="1:20" s="9" customFormat="1">
      <c r="B12" s="299" t="s">
        <v>1704</v>
      </c>
      <c r="C12" s="300"/>
      <c r="D12" s="1940" t="s">
        <v>1703</v>
      </c>
      <c r="E12" s="1941"/>
      <c r="F12" s="1342" t="s">
        <v>463</v>
      </c>
      <c r="G12" s="1342"/>
      <c r="H12" s="301"/>
      <c r="I12" s="1343"/>
      <c r="J12" s="1343">
        <v>9</v>
      </c>
      <c r="K12" s="1343">
        <v>11</v>
      </c>
      <c r="L12" s="1344">
        <v>14</v>
      </c>
      <c r="M12" s="1344"/>
    </row>
    <row r="13" spans="1:20" s="9" customFormat="1">
      <c r="B13" s="299" t="s">
        <v>1705</v>
      </c>
      <c r="C13" s="300"/>
      <c r="D13" s="1940" t="s">
        <v>1703</v>
      </c>
      <c r="E13" s="1941"/>
      <c r="F13" s="1342" t="s">
        <v>463</v>
      </c>
      <c r="G13" s="1342"/>
      <c r="H13" s="301"/>
      <c r="I13" s="1343"/>
      <c r="J13" s="1343">
        <v>27</v>
      </c>
      <c r="K13" s="1343">
        <v>34</v>
      </c>
      <c r="L13" s="1344">
        <v>42</v>
      </c>
      <c r="M13" s="1344"/>
    </row>
    <row r="14" spans="1:20" s="9" customFormat="1">
      <c r="B14" s="299" t="s">
        <v>1706</v>
      </c>
      <c r="C14" s="300"/>
      <c r="D14" s="299" t="s">
        <v>1703</v>
      </c>
      <c r="E14" s="302"/>
      <c r="F14" s="1342" t="s">
        <v>463</v>
      </c>
      <c r="G14" s="1342"/>
      <c r="H14" s="301"/>
      <c r="I14" s="1343"/>
      <c r="J14" s="1343">
        <v>25</v>
      </c>
      <c r="K14" s="1343">
        <v>32</v>
      </c>
      <c r="L14" s="1344">
        <v>39</v>
      </c>
      <c r="M14" s="1344"/>
    </row>
    <row r="15" spans="1:20" s="9" customFormat="1">
      <c r="B15" s="299" t="s">
        <v>1456</v>
      </c>
      <c r="C15" s="300"/>
      <c r="D15" s="299" t="s">
        <v>2371</v>
      </c>
      <c r="E15" s="1345" t="s">
        <v>3699</v>
      </c>
      <c r="F15" s="1342"/>
      <c r="G15" s="1342" t="s">
        <v>463</v>
      </c>
      <c r="H15" s="301"/>
      <c r="I15" s="1343"/>
      <c r="J15" s="1343"/>
      <c r="K15" s="1343"/>
      <c r="L15" s="1344"/>
      <c r="M15" s="1344"/>
    </row>
    <row r="16" spans="1:20" s="9" customFormat="1">
      <c r="B16" s="303" t="s">
        <v>1979</v>
      </c>
      <c r="C16" s="304"/>
      <c r="D16" s="303"/>
      <c r="E16" s="270"/>
      <c r="F16" s="1346"/>
      <c r="G16" s="1346" t="s">
        <v>463</v>
      </c>
      <c r="H16" s="305"/>
      <c r="I16" s="1347"/>
      <c r="J16" s="1347"/>
      <c r="K16" s="1347"/>
      <c r="L16" s="1348"/>
      <c r="M16" s="1348"/>
    </row>
    <row r="17" spans="1:19" s="9" customFormat="1">
      <c r="B17" s="293" t="s">
        <v>1081</v>
      </c>
      <c r="D17" s="31"/>
      <c r="E17" s="31"/>
      <c r="F17" s="94"/>
      <c r="G17" s="94"/>
      <c r="I17" s="1168">
        <f>SUM(I10:I16)</f>
        <v>0</v>
      </c>
      <c r="J17" s="1168">
        <f>SUM(J10:J16)</f>
        <v>98</v>
      </c>
      <c r="K17" s="1168">
        <f>SUM(K10:K16)</f>
        <v>125</v>
      </c>
      <c r="L17" s="1168">
        <f>SUM(L10:L16)</f>
        <v>156</v>
      </c>
      <c r="M17" s="1168">
        <f>SUM(M10:M16)</f>
        <v>0</v>
      </c>
    </row>
    <row r="18" spans="1:19" s="9" customFormat="1" ht="11.25" customHeight="1">
      <c r="M18" s="31"/>
      <c r="N18" s="31"/>
      <c r="O18" s="31"/>
      <c r="P18" s="31"/>
      <c r="Q18" s="31"/>
      <c r="R18" s="31"/>
      <c r="S18" s="31"/>
    </row>
    <row r="19" spans="1:19" s="9" customFormat="1">
      <c r="A19" s="16" t="s">
        <v>789</v>
      </c>
      <c r="B19" s="16" t="s">
        <v>2373</v>
      </c>
      <c r="F19" s="9" t="s">
        <v>2689</v>
      </c>
      <c r="I19" s="1935"/>
      <c r="J19" s="1931"/>
      <c r="K19" s="1931"/>
      <c r="L19" s="1931"/>
      <c r="M19" s="1932"/>
    </row>
    <row r="20" spans="1:19" s="9" customFormat="1" ht="13.15" customHeight="1">
      <c r="A20" s="16"/>
      <c r="B20" s="16"/>
      <c r="F20" s="9" t="s">
        <v>676</v>
      </c>
      <c r="H20" s="31"/>
      <c r="I20" s="1933"/>
      <c r="J20" s="1934"/>
      <c r="K20" s="73" t="s">
        <v>572</v>
      </c>
      <c r="L20" s="1935"/>
      <c r="M20" s="1932"/>
    </row>
    <row r="21" spans="1:19" s="9" customFormat="1" ht="6" customHeight="1">
      <c r="A21" s="16"/>
    </row>
    <row r="22" spans="1:19" s="16" customFormat="1">
      <c r="B22" s="293"/>
      <c r="C22" s="293"/>
      <c r="D22" s="293"/>
      <c r="E22" s="293"/>
      <c r="F22" s="1937" t="s">
        <v>649</v>
      </c>
      <c r="G22" s="1937"/>
      <c r="I22" s="1936" t="s">
        <v>208</v>
      </c>
      <c r="J22" s="1936"/>
      <c r="K22" s="1936"/>
      <c r="L22" s="1936"/>
      <c r="M22" s="1936"/>
    </row>
    <row r="23" spans="1:19" s="16" customFormat="1">
      <c r="B23" s="293" t="s">
        <v>851</v>
      </c>
      <c r="D23" s="293" t="s">
        <v>1707</v>
      </c>
      <c r="F23" s="1168" t="s">
        <v>682</v>
      </c>
      <c r="G23" s="1168" t="s">
        <v>1978</v>
      </c>
      <c r="I23" s="294" t="s">
        <v>600</v>
      </c>
      <c r="J23" s="295">
        <v>1</v>
      </c>
      <c r="K23" s="295">
        <v>2</v>
      </c>
      <c r="L23" s="295">
        <v>3</v>
      </c>
      <c r="M23" s="295">
        <v>4</v>
      </c>
    </row>
    <row r="24" spans="1:19" s="9" customFormat="1">
      <c r="B24" s="296" t="s">
        <v>1980</v>
      </c>
      <c r="C24" s="297"/>
      <c r="D24" s="1938" t="s">
        <v>1946</v>
      </c>
      <c r="E24" s="1939"/>
      <c r="F24" s="1340"/>
      <c r="G24" s="1340"/>
      <c r="H24" s="298"/>
      <c r="I24" s="1341"/>
      <c r="J24" s="1341"/>
      <c r="K24" s="1341"/>
      <c r="L24" s="1341"/>
      <c r="M24" s="1341"/>
    </row>
    <row r="25" spans="1:19" s="9" customFormat="1">
      <c r="B25" s="299" t="s">
        <v>493</v>
      </c>
      <c r="C25" s="300"/>
      <c r="D25" s="299" t="s">
        <v>1703</v>
      </c>
      <c r="E25" s="300"/>
      <c r="F25" s="1342"/>
      <c r="G25" s="1342"/>
      <c r="H25" s="301"/>
      <c r="I25" s="1343"/>
      <c r="J25" s="1343"/>
      <c r="K25" s="1343"/>
      <c r="L25" s="1344"/>
      <c r="M25" s="1344"/>
    </row>
    <row r="26" spans="1:19" s="9" customFormat="1">
      <c r="B26" s="299" t="s">
        <v>1704</v>
      </c>
      <c r="C26" s="300"/>
      <c r="D26" s="1940" t="s">
        <v>1946</v>
      </c>
      <c r="E26" s="1941"/>
      <c r="F26" s="1342"/>
      <c r="G26" s="1342"/>
      <c r="H26" s="301"/>
      <c r="I26" s="1343"/>
      <c r="J26" s="1343"/>
      <c r="K26" s="1343"/>
      <c r="L26" s="1344"/>
      <c r="M26" s="1344"/>
    </row>
    <row r="27" spans="1:19" s="9" customFormat="1">
      <c r="B27" s="299" t="s">
        <v>1705</v>
      </c>
      <c r="C27" s="300"/>
      <c r="D27" s="1940" t="s">
        <v>1946</v>
      </c>
      <c r="E27" s="1941"/>
      <c r="F27" s="1342"/>
      <c r="G27" s="1342"/>
      <c r="H27" s="301"/>
      <c r="I27" s="1343"/>
      <c r="J27" s="1343"/>
      <c r="K27" s="1343"/>
      <c r="L27" s="1344"/>
      <c r="M27" s="1344"/>
    </row>
    <row r="28" spans="1:19" s="9" customFormat="1">
      <c r="B28" s="299" t="s">
        <v>1706</v>
      </c>
      <c r="C28" s="300"/>
      <c r="D28" s="299" t="s">
        <v>1703</v>
      </c>
      <c r="E28" s="302"/>
      <c r="F28" s="1342"/>
      <c r="G28" s="1342"/>
      <c r="H28" s="301"/>
      <c r="I28" s="1343"/>
      <c r="J28" s="1343"/>
      <c r="K28" s="1343"/>
      <c r="L28" s="1344"/>
      <c r="M28" s="1344"/>
    </row>
    <row r="29" spans="1:19" s="9" customFormat="1">
      <c r="B29" s="299" t="s">
        <v>1456</v>
      </c>
      <c r="C29" s="300"/>
      <c r="D29" s="299" t="s">
        <v>2371</v>
      </c>
      <c r="E29" s="1345" t="s">
        <v>209</v>
      </c>
      <c r="F29" s="1342"/>
      <c r="G29" s="1342"/>
      <c r="H29" s="301"/>
      <c r="I29" s="1343"/>
      <c r="J29" s="1343"/>
      <c r="K29" s="1343"/>
      <c r="L29" s="1344"/>
      <c r="M29" s="1344"/>
    </row>
    <row r="30" spans="1:19" s="9" customFormat="1">
      <c r="B30" s="303" t="s">
        <v>1979</v>
      </c>
      <c r="C30" s="304"/>
      <c r="D30" s="303"/>
      <c r="E30" s="270"/>
      <c r="F30" s="1346"/>
      <c r="G30" s="1346"/>
      <c r="H30" s="305"/>
      <c r="I30" s="1347"/>
      <c r="J30" s="1347"/>
      <c r="K30" s="1347"/>
      <c r="L30" s="1348"/>
      <c r="M30" s="1348"/>
    </row>
    <row r="31" spans="1:19" s="9" customFormat="1">
      <c r="B31" s="293" t="s">
        <v>1081</v>
      </c>
      <c r="D31" s="31"/>
      <c r="E31" s="31"/>
      <c r="F31" s="94"/>
      <c r="G31" s="94"/>
      <c r="I31" s="1168">
        <f>SUM(I24:I30)</f>
        <v>0</v>
      </c>
      <c r="J31" s="1168">
        <f>SUM(J24:J30)</f>
        <v>0</v>
      </c>
      <c r="K31" s="1168">
        <f>SUM(K24:K30)</f>
        <v>0</v>
      </c>
      <c r="L31" s="1168">
        <f>SUM(L24:L30)</f>
        <v>0</v>
      </c>
      <c r="M31" s="1168">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1945" t="s">
        <v>3844</v>
      </c>
      <c r="C36" s="1946"/>
      <c r="D36" s="1946"/>
      <c r="E36" s="1946"/>
      <c r="F36" s="1946"/>
      <c r="G36" s="1946"/>
      <c r="H36" s="1946"/>
      <c r="I36" s="1946"/>
      <c r="J36" s="1946"/>
      <c r="K36" s="1946"/>
      <c r="L36" s="1946"/>
      <c r="M36" s="1947"/>
      <c r="N36" s="31"/>
      <c r="O36" s="1491" t="s">
        <v>2923</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1973</v>
      </c>
      <c r="M38" s="31"/>
      <c r="N38" s="31"/>
      <c r="O38" s="1491"/>
      <c r="P38" s="1491"/>
      <c r="Q38" s="1491"/>
      <c r="R38" s="1491"/>
      <c r="S38" s="1491"/>
    </row>
    <row r="39" spans="1:19" s="9" customFormat="1" ht="24.75" customHeight="1">
      <c r="B39" s="1942"/>
      <c r="C39" s="1943"/>
      <c r="D39" s="1943"/>
      <c r="E39" s="1943"/>
      <c r="F39" s="1943"/>
      <c r="G39" s="1943"/>
      <c r="H39" s="1943"/>
      <c r="I39" s="1943"/>
      <c r="J39" s="1943"/>
      <c r="K39" s="1943"/>
      <c r="L39" s="1943"/>
      <c r="M39" s="1944"/>
      <c r="N39" s="31"/>
      <c r="O39" s="1491"/>
      <c r="P39" s="1491"/>
      <c r="Q39" s="1491"/>
      <c r="R39" s="1491"/>
      <c r="S39" s="149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18597F9-BE0E-480D-BF5D-CDC36741C0D0}">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78AB752D-CBA1-4A58-8FAF-970F18389D22}">
  <ds:schemaRefs>
    <ds:schemaRef ds:uri="http://schemas.microsoft.com/sharepoint/v3/contenttype/forms"/>
  </ds:schemaRefs>
</ds:datastoreItem>
</file>

<file path=customXml/itemProps3.xml><?xml version="1.0" encoding="utf-8"?>
<ds:datastoreItem xmlns:ds="http://schemas.openxmlformats.org/officeDocument/2006/customXml" ds:itemID="{CA1FCC83-D68E-4EBE-8D32-D90D8BF53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2014-06-04T22:40:40Z</cp:lastPrinted>
  <dcterms:created xsi:type="dcterms:W3CDTF">2005-09-15T20:51:37Z</dcterms:created>
  <dcterms:modified xsi:type="dcterms:W3CDTF">2014-06-18T22:47:56Z</dcterms:modified>
</cp:coreProperties>
</file>