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70" yWindow="90" windowWidth="20400" windowHeight="13260"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G84" i="15"/>
  <c r="S25" l="1"/>
  <c r="S53" l="1"/>
  <c r="A4" i="41" l="1"/>
  <c r="A2"/>
  <c r="M288" i="11"/>
  <c r="M6" s="1"/>
  <c r="P279"/>
  <c r="O279"/>
  <c r="L279"/>
  <c r="L263"/>
  <c r="A250"/>
  <c r="R240"/>
  <c r="P240"/>
  <c r="O240"/>
  <c r="L234"/>
  <c r="L232"/>
  <c r="P231"/>
  <c r="O231"/>
  <c r="L220"/>
  <c r="M214"/>
  <c r="P211" s="1"/>
  <c r="K214"/>
  <c r="O211" s="1"/>
  <c r="R211" s="1"/>
  <c r="L204"/>
  <c r="I204"/>
  <c r="L182"/>
  <c r="L180"/>
  <c r="N169"/>
  <c r="L169"/>
  <c r="N164"/>
  <c r="L156"/>
  <c r="R150"/>
  <c r="R149"/>
  <c r="P148"/>
  <c r="O148"/>
  <c r="N136"/>
  <c r="L136"/>
  <c r="O128"/>
  <c r="O121" s="1"/>
  <c r="L122"/>
  <c r="G122"/>
  <c r="P121"/>
  <c r="A113"/>
  <c r="M112"/>
  <c r="M111"/>
  <c r="M110"/>
  <c r="M109"/>
  <c r="M108"/>
  <c r="M107"/>
  <c r="M106"/>
  <c r="A105"/>
  <c r="A103"/>
  <c r="A102"/>
  <c r="M100"/>
  <c r="M99"/>
  <c r="M98"/>
  <c r="M97"/>
  <c r="I96"/>
  <c r="M96" s="1"/>
  <c r="A95"/>
  <c r="A89"/>
  <c r="O86"/>
  <c r="M73"/>
  <c r="M72"/>
  <c r="A71"/>
  <c r="M69"/>
  <c r="M68"/>
  <c r="M67"/>
  <c r="A66"/>
  <c r="O63"/>
  <c r="N56"/>
  <c r="L50"/>
  <c r="L49"/>
  <c r="L48"/>
  <c r="P47"/>
  <c r="O47"/>
  <c r="P38"/>
  <c r="O38"/>
  <c r="P16"/>
  <c r="G11" s="1"/>
  <c r="K16"/>
  <c r="G12" s="1"/>
  <c r="F16"/>
  <c r="G10" s="1"/>
  <c r="P8"/>
  <c r="O8"/>
  <c r="S337" i="6"/>
  <c r="O264" i="11" s="1"/>
  <c r="L264" s="1"/>
  <c r="K60" i="6"/>
  <c r="L52"/>
  <c r="K52"/>
  <c r="M52" s="1"/>
  <c r="G52"/>
  <c r="L51"/>
  <c r="K51"/>
  <c r="M51" s="1"/>
  <c r="G51"/>
  <c r="L50"/>
  <c r="N50" s="1"/>
  <c r="K50"/>
  <c r="G50"/>
  <c r="L49"/>
  <c r="K49"/>
  <c r="G49"/>
  <c r="L48"/>
  <c r="K48"/>
  <c r="G48"/>
  <c r="A3"/>
  <c r="H3" s="1"/>
  <c r="K97" i="8"/>
  <c r="J97"/>
  <c r="I97"/>
  <c r="H97"/>
  <c r="G97"/>
  <c r="F97"/>
  <c r="E97"/>
  <c r="D97"/>
  <c r="C97"/>
  <c r="B97"/>
  <c r="K96"/>
  <c r="J96"/>
  <c r="I96"/>
  <c r="H96"/>
  <c r="G96"/>
  <c r="F96"/>
  <c r="E96"/>
  <c r="D96"/>
  <c r="C96"/>
  <c r="B96"/>
  <c r="A82"/>
  <c r="K68"/>
  <c r="J68"/>
  <c r="I68"/>
  <c r="H68"/>
  <c r="G68"/>
  <c r="F68"/>
  <c r="E68"/>
  <c r="D68"/>
  <c r="C68"/>
  <c r="B68"/>
  <c r="K67"/>
  <c r="J67"/>
  <c r="I67"/>
  <c r="H67"/>
  <c r="G67"/>
  <c r="F67"/>
  <c r="E67"/>
  <c r="D67"/>
  <c r="C67"/>
  <c r="B67"/>
  <c r="A63"/>
  <c r="A92" s="1"/>
  <c r="A55"/>
  <c r="A84" s="1"/>
  <c r="G54"/>
  <c r="A54"/>
  <c r="A83" s="1"/>
  <c r="A53"/>
  <c r="A52"/>
  <c r="A81" s="1"/>
  <c r="K39"/>
  <c r="J39"/>
  <c r="I39"/>
  <c r="H39"/>
  <c r="G39"/>
  <c r="F39"/>
  <c r="E39"/>
  <c r="D39"/>
  <c r="C39"/>
  <c r="B39"/>
  <c r="K38"/>
  <c r="J38"/>
  <c r="I38"/>
  <c r="H38"/>
  <c r="G38"/>
  <c r="F38"/>
  <c r="E38"/>
  <c r="D38"/>
  <c r="C38"/>
  <c r="B38"/>
  <c r="A33"/>
  <c r="A62" s="1"/>
  <c r="A91" s="1"/>
  <c r="A32"/>
  <c r="A61" s="1"/>
  <c r="A90" s="1"/>
  <c r="A31"/>
  <c r="A60" s="1"/>
  <c r="A89" s="1"/>
  <c r="B28"/>
  <c r="G26"/>
  <c r="C13"/>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M11"/>
  <c r="M3"/>
  <c r="F165" i="36"/>
  <c r="K162"/>
  <c r="F154"/>
  <c r="K152"/>
  <c r="F145"/>
  <c r="P144"/>
  <c r="K143"/>
  <c r="T138"/>
  <c r="P136"/>
  <c r="K76" i="8" s="1"/>
  <c r="O136" i="36"/>
  <c r="J76" i="8" s="1"/>
  <c r="N136" i="36"/>
  <c r="I76" i="8" s="1"/>
  <c r="M136" i="36"/>
  <c r="H76" i="8" s="1"/>
  <c r="L136" i="36"/>
  <c r="G76" i="8" s="1"/>
  <c r="K136" i="36"/>
  <c r="F76" i="8" s="1"/>
  <c r="J136" i="36"/>
  <c r="E76" i="8" s="1"/>
  <c r="I136" i="36"/>
  <c r="D76" i="8" s="1"/>
  <c r="H136" i="36"/>
  <c r="C76" i="8" s="1"/>
  <c r="G136" i="36"/>
  <c r="B76" i="8" s="1"/>
  <c r="T133" i="36"/>
  <c r="P131"/>
  <c r="K75" i="8" s="1"/>
  <c r="O131" i="36"/>
  <c r="J75" i="8" s="1"/>
  <c r="N131" i="36"/>
  <c r="I75" i="8" s="1"/>
  <c r="M131" i="36"/>
  <c r="H75" i="8" s="1"/>
  <c r="L131" i="36"/>
  <c r="G75" i="8" s="1"/>
  <c r="K131" i="36"/>
  <c r="F75" i="8" s="1"/>
  <c r="J131" i="36"/>
  <c r="E75" i="8" s="1"/>
  <c r="I131" i="36"/>
  <c r="D75" i="8" s="1"/>
  <c r="H131" i="36"/>
  <c r="C75" i="8" s="1"/>
  <c r="G131" i="36"/>
  <c r="B75" i="8" s="1"/>
  <c r="T128" i="36"/>
  <c r="P126"/>
  <c r="K47" i="8" s="1"/>
  <c r="O126" i="36"/>
  <c r="J47" i="8" s="1"/>
  <c r="N126" i="36"/>
  <c r="I47" i="8" s="1"/>
  <c r="M126" i="36"/>
  <c r="H47" i="8" s="1"/>
  <c r="L126" i="36"/>
  <c r="G47" i="8" s="1"/>
  <c r="K126" i="36"/>
  <c r="F47" i="8" s="1"/>
  <c r="J126" i="36"/>
  <c r="E47" i="8" s="1"/>
  <c r="I126" i="36"/>
  <c r="D47" i="8" s="1"/>
  <c r="H126" i="36"/>
  <c r="C47" i="8" s="1"/>
  <c r="G126" i="36"/>
  <c r="B47" i="8" s="1"/>
  <c r="T123" i="36"/>
  <c r="P121"/>
  <c r="K46" i="8" s="1"/>
  <c r="O121" i="36"/>
  <c r="J46" i="8" s="1"/>
  <c r="N121" i="36"/>
  <c r="I46" i="8" s="1"/>
  <c r="M121" i="36"/>
  <c r="H46" i="8" s="1"/>
  <c r="L121" i="36"/>
  <c r="G46" i="8" s="1"/>
  <c r="K121" i="36"/>
  <c r="F46" i="8" s="1"/>
  <c r="J121" i="36"/>
  <c r="E46" i="8" s="1"/>
  <c r="I121" i="36"/>
  <c r="D46" i="8" s="1"/>
  <c r="H121" i="36"/>
  <c r="C46" i="8" s="1"/>
  <c r="G121" i="36"/>
  <c r="B46" i="8" s="1"/>
  <c r="T118" i="36"/>
  <c r="P116"/>
  <c r="K18" i="8" s="1"/>
  <c r="O116" i="36"/>
  <c r="J18" i="8" s="1"/>
  <c r="N116" i="36"/>
  <c r="I18" i="8" s="1"/>
  <c r="M116" i="36"/>
  <c r="H18" i="8" s="1"/>
  <c r="L116" i="36"/>
  <c r="G18" i="8" s="1"/>
  <c r="K116" i="36"/>
  <c r="F18" i="8" s="1"/>
  <c r="J116" i="36"/>
  <c r="E18" i="8" s="1"/>
  <c r="I116" i="36"/>
  <c r="D18" i="8" s="1"/>
  <c r="H116" i="36"/>
  <c r="C18" i="8" s="1"/>
  <c r="G116" i="36"/>
  <c r="B18" i="8" s="1"/>
  <c r="T113" i="36"/>
  <c r="P111"/>
  <c r="K17" i="8" s="1"/>
  <c r="O111" i="36"/>
  <c r="J17" i="8" s="1"/>
  <c r="N111" i="36"/>
  <c r="I17" i="8" s="1"/>
  <c r="M111" i="36"/>
  <c r="H17" i="8" s="1"/>
  <c r="L111" i="36"/>
  <c r="G17" i="8" s="1"/>
  <c r="K111" i="36"/>
  <c r="F17" i="8" s="1"/>
  <c r="J111" i="36"/>
  <c r="E17" i="8" s="1"/>
  <c r="I111" i="36"/>
  <c r="D17" i="8" s="1"/>
  <c r="H111" i="36"/>
  <c r="C17" i="8" s="1"/>
  <c r="G111" i="36"/>
  <c r="B17" i="8" s="1"/>
  <c r="T108" i="36"/>
  <c r="T106"/>
  <c r="T104"/>
  <c r="T93"/>
  <c r="T83"/>
  <c r="M82"/>
  <c r="M81"/>
  <c r="T71"/>
  <c r="T67"/>
  <c r="T63"/>
  <c r="T53"/>
  <c r="F48"/>
  <c r="E48"/>
  <c r="HM47"/>
  <c r="HL47"/>
  <c r="HK47"/>
  <c r="HJ47"/>
  <c r="HI47"/>
  <c r="HH47"/>
  <c r="HG47"/>
  <c r="HF47"/>
  <c r="HE47"/>
  <c r="HD47"/>
  <c r="HC47"/>
  <c r="HB47"/>
  <c r="HA47"/>
  <c r="GZ47"/>
  <c r="GY47"/>
  <c r="GX47"/>
  <c r="GW47"/>
  <c r="GV47"/>
  <c r="GU47"/>
  <c r="GT47"/>
  <c r="GS47"/>
  <c r="GR47"/>
  <c r="GQ47"/>
  <c r="GP47"/>
  <c r="GO47"/>
  <c r="GN47"/>
  <c r="GM47"/>
  <c r="GL47"/>
  <c r="GK47"/>
  <c r="GJ47"/>
  <c r="GI47"/>
  <c r="GH47"/>
  <c r="GG47"/>
  <c r="GF47"/>
  <c r="GE47"/>
  <c r="GD47"/>
  <c r="GC47"/>
  <c r="GB47"/>
  <c r="GA47"/>
  <c r="FZ47"/>
  <c r="FY47"/>
  <c r="FX47"/>
  <c r="FW47"/>
  <c r="FV47"/>
  <c r="FU47"/>
  <c r="FT47"/>
  <c r="FS47"/>
  <c r="FR47"/>
  <c r="FQ47"/>
  <c r="FP47"/>
  <c r="FO47"/>
  <c r="FN47"/>
  <c r="FM47"/>
  <c r="FL47"/>
  <c r="FK47"/>
  <c r="FJ47"/>
  <c r="FI47"/>
  <c r="FH47"/>
  <c r="FG47"/>
  <c r="FF47"/>
  <c r="FE47"/>
  <c r="FD47"/>
  <c r="FC47"/>
  <c r="FB47"/>
  <c r="FA47"/>
  <c r="EZ47"/>
  <c r="EY47"/>
  <c r="EX47"/>
  <c r="EW47"/>
  <c r="EV47"/>
  <c r="EU47"/>
  <c r="ET47"/>
  <c r="ES47"/>
  <c r="ER47"/>
  <c r="EQ47"/>
  <c r="EP47"/>
  <c r="EO47"/>
  <c r="EN47"/>
  <c r="EM47"/>
  <c r="EL47"/>
  <c r="EK47"/>
  <c r="EJ47"/>
  <c r="EI47"/>
  <c r="EH47"/>
  <c r="EG47"/>
  <c r="EF47"/>
  <c r="EE47"/>
  <c r="ED47"/>
  <c r="EC47"/>
  <c r="EB47"/>
  <c r="EA47"/>
  <c r="DZ47"/>
  <c r="DY47"/>
  <c r="DX47"/>
  <c r="DW47"/>
  <c r="DV47"/>
  <c r="DU47"/>
  <c r="DT47"/>
  <c r="DS47"/>
  <c r="DR47"/>
  <c r="DQ47"/>
  <c r="DP47"/>
  <c r="DO47"/>
  <c r="DN47"/>
  <c r="DM47"/>
  <c r="DL47"/>
  <c r="DK47"/>
  <c r="DJ47"/>
  <c r="DI47"/>
  <c r="DH47"/>
  <c r="DG47"/>
  <c r="DF47"/>
  <c r="DE47"/>
  <c r="DD47"/>
  <c r="DC47"/>
  <c r="DB47"/>
  <c r="DA47"/>
  <c r="CZ47"/>
  <c r="CY47"/>
  <c r="CX47"/>
  <c r="CW47"/>
  <c r="CV47"/>
  <c r="CU47"/>
  <c r="CT47"/>
  <c r="CS47"/>
  <c r="CR47"/>
  <c r="CQ47"/>
  <c r="CP47"/>
  <c r="CO47"/>
  <c r="CN47"/>
  <c r="CM47"/>
  <c r="CL47"/>
  <c r="CK47"/>
  <c r="CJ47"/>
  <c r="CI47"/>
  <c r="CH47"/>
  <c r="CG47"/>
  <c r="CF47"/>
  <c r="CE47"/>
  <c r="CD47"/>
  <c r="CC47"/>
  <c r="CB47"/>
  <c r="CA47"/>
  <c r="BZ47"/>
  <c r="BY47"/>
  <c r="BX47"/>
  <c r="BW47"/>
  <c r="BV47"/>
  <c r="BU47"/>
  <c r="BT47"/>
  <c r="BS47"/>
  <c r="BR47"/>
  <c r="BQ47"/>
  <c r="BP47"/>
  <c r="BO47"/>
  <c r="BN47"/>
  <c r="BM47"/>
  <c r="BL47"/>
  <c r="BK47"/>
  <c r="BJ47"/>
  <c r="BI47"/>
  <c r="BH47"/>
  <c r="BG47"/>
  <c r="BF47"/>
  <c r="BE47"/>
  <c r="BD47"/>
  <c r="BC47"/>
  <c r="BB47"/>
  <c r="BA47"/>
  <c r="AZ47"/>
  <c r="AY47"/>
  <c r="AX47"/>
  <c r="AW47"/>
  <c r="AV47"/>
  <c r="AU47"/>
  <c r="AT47"/>
  <c r="AS47"/>
  <c r="AR47"/>
  <c r="AQ47"/>
  <c r="AP47"/>
  <c r="AO47"/>
  <c r="AN47"/>
  <c r="AM47"/>
  <c r="AL47"/>
  <c r="AK47"/>
  <c r="AJ47"/>
  <c r="AI47"/>
  <c r="AH47"/>
  <c r="AG47"/>
  <c r="AF47"/>
  <c r="AE47"/>
  <c r="AD47"/>
  <c r="AC47"/>
  <c r="AB47"/>
  <c r="AA47"/>
  <c r="Z47"/>
  <c r="Y47"/>
  <c r="X47"/>
  <c r="W47"/>
  <c r="V47"/>
  <c r="Q47"/>
  <c r="P47"/>
  <c r="K47"/>
  <c r="L47" s="1"/>
  <c r="A47"/>
  <c r="HM46"/>
  <c r="HL46"/>
  <c r="HK46"/>
  <c r="HJ46"/>
  <c r="HI46"/>
  <c r="HH46"/>
  <c r="HG46"/>
  <c r="HF46"/>
  <c r="HE46"/>
  <c r="HD46"/>
  <c r="HC46"/>
  <c r="HB46"/>
  <c r="HA46"/>
  <c r="GZ46"/>
  <c r="GY46"/>
  <c r="GX46"/>
  <c r="GW46"/>
  <c r="GV46"/>
  <c r="GU46"/>
  <c r="GT46"/>
  <c r="GS46"/>
  <c r="GR46"/>
  <c r="GQ46"/>
  <c r="GP46"/>
  <c r="GO46"/>
  <c r="GN46"/>
  <c r="GM46"/>
  <c r="GL46"/>
  <c r="GK46"/>
  <c r="GJ46"/>
  <c r="GI46"/>
  <c r="GH46"/>
  <c r="GG46"/>
  <c r="GF46"/>
  <c r="GE46"/>
  <c r="GD46"/>
  <c r="GC46"/>
  <c r="GB46"/>
  <c r="GA46"/>
  <c r="FZ46"/>
  <c r="FY46"/>
  <c r="FX46"/>
  <c r="FW46"/>
  <c r="FV46"/>
  <c r="FU46"/>
  <c r="FT46"/>
  <c r="FS46"/>
  <c r="FR46"/>
  <c r="FQ46"/>
  <c r="FP46"/>
  <c r="FO46"/>
  <c r="FN46"/>
  <c r="FM46"/>
  <c r="FL46"/>
  <c r="FK46"/>
  <c r="FJ46"/>
  <c r="FI46"/>
  <c r="FH46"/>
  <c r="FG46"/>
  <c r="FF46"/>
  <c r="FE46"/>
  <c r="FD46"/>
  <c r="FC46"/>
  <c r="FB46"/>
  <c r="FA46"/>
  <c r="EZ46"/>
  <c r="EY46"/>
  <c r="EX46"/>
  <c r="EW46"/>
  <c r="EV46"/>
  <c r="EU46"/>
  <c r="ET46"/>
  <c r="ES46"/>
  <c r="ER46"/>
  <c r="EQ46"/>
  <c r="EP46"/>
  <c r="EO46"/>
  <c r="EN46"/>
  <c r="EM46"/>
  <c r="EL46"/>
  <c r="EK46"/>
  <c r="EJ46"/>
  <c r="EI46"/>
  <c r="EH46"/>
  <c r="EG46"/>
  <c r="EF46"/>
  <c r="EE46"/>
  <c r="ED46"/>
  <c r="EC46"/>
  <c r="EB46"/>
  <c r="EA46"/>
  <c r="DZ46"/>
  <c r="DY46"/>
  <c r="DX46"/>
  <c r="DW46"/>
  <c r="DV46"/>
  <c r="DU46"/>
  <c r="DT46"/>
  <c r="DS46"/>
  <c r="DR46"/>
  <c r="DQ46"/>
  <c r="DP46"/>
  <c r="DO46"/>
  <c r="DN46"/>
  <c r="DM46"/>
  <c r="DL46"/>
  <c r="DK46"/>
  <c r="DJ46"/>
  <c r="DI46"/>
  <c r="DH46"/>
  <c r="DG46"/>
  <c r="DF46"/>
  <c r="DE46"/>
  <c r="DD46"/>
  <c r="DC46"/>
  <c r="DB46"/>
  <c r="DA46"/>
  <c r="CZ46"/>
  <c r="CY46"/>
  <c r="CX46"/>
  <c r="CW46"/>
  <c r="CV46"/>
  <c r="CU46"/>
  <c r="CT46"/>
  <c r="CS46"/>
  <c r="CR46"/>
  <c r="CQ46"/>
  <c r="CP46"/>
  <c r="CO46"/>
  <c r="CN46"/>
  <c r="CM46"/>
  <c r="CL46"/>
  <c r="CK46"/>
  <c r="CJ46"/>
  <c r="CI46"/>
  <c r="CH46"/>
  <c r="CG46"/>
  <c r="CF46"/>
  <c r="CE46"/>
  <c r="CD46"/>
  <c r="CC46"/>
  <c r="CB46"/>
  <c r="CA46"/>
  <c r="BZ46"/>
  <c r="BY46"/>
  <c r="BX46"/>
  <c r="BW46"/>
  <c r="BV46"/>
  <c r="BU46"/>
  <c r="BT46"/>
  <c r="BS46"/>
  <c r="BR46"/>
  <c r="BQ46"/>
  <c r="BP46"/>
  <c r="BO46"/>
  <c r="BN46"/>
  <c r="BM46"/>
  <c r="BL46"/>
  <c r="BK46"/>
  <c r="BJ46"/>
  <c r="BI46"/>
  <c r="BH46"/>
  <c r="BG46"/>
  <c r="BF46"/>
  <c r="BE46"/>
  <c r="BD46"/>
  <c r="BC46"/>
  <c r="BB46"/>
  <c r="BA46"/>
  <c r="AZ46"/>
  <c r="AY46"/>
  <c r="AX46"/>
  <c r="AW46"/>
  <c r="AV46"/>
  <c r="AU46"/>
  <c r="AT46"/>
  <c r="AS46"/>
  <c r="AR46"/>
  <c r="AQ46"/>
  <c r="AP46"/>
  <c r="AO46"/>
  <c r="AN46"/>
  <c r="AM46"/>
  <c r="AL46"/>
  <c r="AK46"/>
  <c r="AJ46"/>
  <c r="AI46"/>
  <c r="AH46"/>
  <c r="AG46"/>
  <c r="AF46"/>
  <c r="AE46"/>
  <c r="AD46"/>
  <c r="AC46"/>
  <c r="AB46"/>
  <c r="AA46"/>
  <c r="Z46"/>
  <c r="Y46"/>
  <c r="X46"/>
  <c r="W46"/>
  <c r="V46"/>
  <c r="Q46"/>
  <c r="P46"/>
  <c r="K46"/>
  <c r="L46" s="1"/>
  <c r="A46"/>
  <c r="HM45"/>
  <c r="HL45"/>
  <c r="HK45"/>
  <c r="HJ45"/>
  <c r="HI45"/>
  <c r="HH45"/>
  <c r="HG45"/>
  <c r="HF45"/>
  <c r="HE45"/>
  <c r="HD45"/>
  <c r="HC45"/>
  <c r="HB45"/>
  <c r="HA45"/>
  <c r="GZ45"/>
  <c r="GY45"/>
  <c r="GX45"/>
  <c r="GW45"/>
  <c r="GV45"/>
  <c r="GU45"/>
  <c r="GT45"/>
  <c r="GS45"/>
  <c r="GR45"/>
  <c r="GQ45"/>
  <c r="GP45"/>
  <c r="GO45"/>
  <c r="GN45"/>
  <c r="GM45"/>
  <c r="GL45"/>
  <c r="GK45"/>
  <c r="GJ45"/>
  <c r="GI45"/>
  <c r="GH45"/>
  <c r="GG45"/>
  <c r="GF45"/>
  <c r="GE45"/>
  <c r="GD45"/>
  <c r="GC45"/>
  <c r="GB45"/>
  <c r="GA45"/>
  <c r="FZ45"/>
  <c r="FY45"/>
  <c r="FX45"/>
  <c r="FW45"/>
  <c r="FV45"/>
  <c r="FU45"/>
  <c r="FT45"/>
  <c r="FS45"/>
  <c r="FR45"/>
  <c r="FQ45"/>
  <c r="FP45"/>
  <c r="FO45"/>
  <c r="FN45"/>
  <c r="FM45"/>
  <c r="FL45"/>
  <c r="FK45"/>
  <c r="FJ45"/>
  <c r="FI45"/>
  <c r="FH45"/>
  <c r="FG45"/>
  <c r="FF45"/>
  <c r="FE45"/>
  <c r="FD45"/>
  <c r="FC45"/>
  <c r="FB45"/>
  <c r="FA45"/>
  <c r="EZ45"/>
  <c r="EY45"/>
  <c r="EX45"/>
  <c r="EW45"/>
  <c r="EV45"/>
  <c r="EU45"/>
  <c r="ET45"/>
  <c r="ES45"/>
  <c r="ER45"/>
  <c r="EQ45"/>
  <c r="EP45"/>
  <c r="EO45"/>
  <c r="EN45"/>
  <c r="EM45"/>
  <c r="EL45"/>
  <c r="EK45"/>
  <c r="EJ45"/>
  <c r="EI45"/>
  <c r="EH45"/>
  <c r="EG45"/>
  <c r="EF45"/>
  <c r="EE45"/>
  <c r="ED45"/>
  <c r="EC45"/>
  <c r="EB45"/>
  <c r="EA45"/>
  <c r="DZ45"/>
  <c r="DY45"/>
  <c r="DX45"/>
  <c r="DW45"/>
  <c r="DV45"/>
  <c r="DU45"/>
  <c r="DT45"/>
  <c r="DS45"/>
  <c r="DR45"/>
  <c r="DQ45"/>
  <c r="DP45"/>
  <c r="DO45"/>
  <c r="DN45"/>
  <c r="DM45"/>
  <c r="DL45"/>
  <c r="DK45"/>
  <c r="DJ45"/>
  <c r="DI45"/>
  <c r="DH45"/>
  <c r="DG45"/>
  <c r="DF45"/>
  <c r="DE45"/>
  <c r="DD45"/>
  <c r="DC45"/>
  <c r="DB45"/>
  <c r="DA45"/>
  <c r="CZ45"/>
  <c r="CY45"/>
  <c r="CX45"/>
  <c r="CW45"/>
  <c r="CV45"/>
  <c r="CU45"/>
  <c r="CT45"/>
  <c r="CS45"/>
  <c r="CR45"/>
  <c r="CQ45"/>
  <c r="CP45"/>
  <c r="CO45"/>
  <c r="CN45"/>
  <c r="CM45"/>
  <c r="CL45"/>
  <c r="CK45"/>
  <c r="CJ45"/>
  <c r="CI45"/>
  <c r="CH45"/>
  <c r="CG45"/>
  <c r="CF45"/>
  <c r="CE45"/>
  <c r="CD45"/>
  <c r="CC45"/>
  <c r="CB45"/>
  <c r="CA45"/>
  <c r="BZ45"/>
  <c r="BY45"/>
  <c r="BX45"/>
  <c r="BW45"/>
  <c r="BV45"/>
  <c r="BU45"/>
  <c r="BT45"/>
  <c r="BS45"/>
  <c r="BR45"/>
  <c r="BQ45"/>
  <c r="BP45"/>
  <c r="BO45"/>
  <c r="BN45"/>
  <c r="BM45"/>
  <c r="BL45"/>
  <c r="BK45"/>
  <c r="BJ45"/>
  <c r="BI45"/>
  <c r="BH45"/>
  <c r="BG45"/>
  <c r="BF45"/>
  <c r="BE45"/>
  <c r="BD45"/>
  <c r="BC45"/>
  <c r="BB45"/>
  <c r="BA45"/>
  <c r="AZ45"/>
  <c r="AY45"/>
  <c r="AX45"/>
  <c r="AW45"/>
  <c r="AV45"/>
  <c r="AU45"/>
  <c r="AT45"/>
  <c r="AS45"/>
  <c r="AR45"/>
  <c r="AQ45"/>
  <c r="AP45"/>
  <c r="AO45"/>
  <c r="AN45"/>
  <c r="AM45"/>
  <c r="AL45"/>
  <c r="AK45"/>
  <c r="AJ45"/>
  <c r="AI45"/>
  <c r="AH45"/>
  <c r="AG45"/>
  <c r="AF45"/>
  <c r="AE45"/>
  <c r="AD45"/>
  <c r="AC45"/>
  <c r="AB45"/>
  <c r="AA45"/>
  <c r="Z45"/>
  <c r="Y45"/>
  <c r="X45"/>
  <c r="W45"/>
  <c r="V45"/>
  <c r="Q45"/>
  <c r="P45"/>
  <c r="K45"/>
  <c r="L45" s="1"/>
  <c r="A45"/>
  <c r="HM44"/>
  <c r="HL44"/>
  <c r="HK44"/>
  <c r="HJ44"/>
  <c r="HI44"/>
  <c r="HH44"/>
  <c r="HG44"/>
  <c r="HF44"/>
  <c r="HE44"/>
  <c r="HD44"/>
  <c r="HC44"/>
  <c r="HB44"/>
  <c r="HA44"/>
  <c r="GZ44"/>
  <c r="GY44"/>
  <c r="GX44"/>
  <c r="GW44"/>
  <c r="GV44"/>
  <c r="GU44"/>
  <c r="GT44"/>
  <c r="GS44"/>
  <c r="GR44"/>
  <c r="GQ44"/>
  <c r="GP44"/>
  <c r="GO44"/>
  <c r="GN44"/>
  <c r="GM44"/>
  <c r="GL44"/>
  <c r="GK44"/>
  <c r="GJ44"/>
  <c r="GI44"/>
  <c r="GH44"/>
  <c r="GG44"/>
  <c r="GF44"/>
  <c r="GE44"/>
  <c r="GD44"/>
  <c r="GC44"/>
  <c r="GB44"/>
  <c r="GA44"/>
  <c r="FZ44"/>
  <c r="FY44"/>
  <c r="FX44"/>
  <c r="FW44"/>
  <c r="FV44"/>
  <c r="FU44"/>
  <c r="FT44"/>
  <c r="FS44"/>
  <c r="FR44"/>
  <c r="FQ44"/>
  <c r="FP44"/>
  <c r="FO44"/>
  <c r="FN44"/>
  <c r="FM44"/>
  <c r="FL44"/>
  <c r="FK44"/>
  <c r="FJ44"/>
  <c r="FI44"/>
  <c r="FH44"/>
  <c r="FG44"/>
  <c r="FF44"/>
  <c r="FE44"/>
  <c r="FD44"/>
  <c r="FC44"/>
  <c r="FB44"/>
  <c r="FA44"/>
  <c r="EZ44"/>
  <c r="EY44"/>
  <c r="EX44"/>
  <c r="EW44"/>
  <c r="EV44"/>
  <c r="EU44"/>
  <c r="ET44"/>
  <c r="ES44"/>
  <c r="ER44"/>
  <c r="EQ44"/>
  <c r="EP44"/>
  <c r="EO44"/>
  <c r="EN44"/>
  <c r="EM44"/>
  <c r="EL44"/>
  <c r="EK44"/>
  <c r="EJ44"/>
  <c r="EI44"/>
  <c r="EH44"/>
  <c r="EG44"/>
  <c r="EF44"/>
  <c r="EE44"/>
  <c r="ED44"/>
  <c r="EC44"/>
  <c r="EB44"/>
  <c r="EA44"/>
  <c r="DZ44"/>
  <c r="DY44"/>
  <c r="DX44"/>
  <c r="DW44"/>
  <c r="DV44"/>
  <c r="DU44"/>
  <c r="DT44"/>
  <c r="DS44"/>
  <c r="DR44"/>
  <c r="DQ44"/>
  <c r="DP44"/>
  <c r="DO44"/>
  <c r="DN44"/>
  <c r="DM44"/>
  <c r="DL44"/>
  <c r="DK44"/>
  <c r="DJ44"/>
  <c r="DI44"/>
  <c r="DH44"/>
  <c r="DG44"/>
  <c r="DF44"/>
  <c r="DE44"/>
  <c r="DD44"/>
  <c r="DC44"/>
  <c r="DB44"/>
  <c r="DA44"/>
  <c r="CZ44"/>
  <c r="CY44"/>
  <c r="CX44"/>
  <c r="CW44"/>
  <c r="CV44"/>
  <c r="CU44"/>
  <c r="CT44"/>
  <c r="CS44"/>
  <c r="CR44"/>
  <c r="CQ44"/>
  <c r="CP44"/>
  <c r="CO44"/>
  <c r="CN44"/>
  <c r="CM44"/>
  <c r="CL44"/>
  <c r="CK44"/>
  <c r="CJ44"/>
  <c r="CI44"/>
  <c r="CH44"/>
  <c r="CG44"/>
  <c r="CF44"/>
  <c r="CE44"/>
  <c r="CD44"/>
  <c r="CC44"/>
  <c r="CB44"/>
  <c r="CA44"/>
  <c r="BZ44"/>
  <c r="BY44"/>
  <c r="BX44"/>
  <c r="BW44"/>
  <c r="BV44"/>
  <c r="BU44"/>
  <c r="BT44"/>
  <c r="BS44"/>
  <c r="BR44"/>
  <c r="BQ44"/>
  <c r="BP44"/>
  <c r="BO44"/>
  <c r="BN44"/>
  <c r="BM44"/>
  <c r="BL44"/>
  <c r="BK44"/>
  <c r="BJ44"/>
  <c r="BI44"/>
  <c r="BH44"/>
  <c r="BG44"/>
  <c r="BF44"/>
  <c r="BE44"/>
  <c r="BD44"/>
  <c r="BC44"/>
  <c r="BB44"/>
  <c r="BA44"/>
  <c r="AZ44"/>
  <c r="AY44"/>
  <c r="AX44"/>
  <c r="AW44"/>
  <c r="AV44"/>
  <c r="AU44"/>
  <c r="AT44"/>
  <c r="AS44"/>
  <c r="AR44"/>
  <c r="AQ44"/>
  <c r="AP44"/>
  <c r="AO44"/>
  <c r="AN44"/>
  <c r="AM44"/>
  <c r="AL44"/>
  <c r="AK44"/>
  <c r="AJ44"/>
  <c r="AI44"/>
  <c r="AH44"/>
  <c r="AG44"/>
  <c r="AF44"/>
  <c r="AE44"/>
  <c r="AD44"/>
  <c r="AC44"/>
  <c r="AB44"/>
  <c r="AA44"/>
  <c r="Z44"/>
  <c r="Y44"/>
  <c r="X44"/>
  <c r="W44"/>
  <c r="V44"/>
  <c r="Q44"/>
  <c r="P44"/>
  <c r="K44"/>
  <c r="L44" s="1"/>
  <c r="A44"/>
  <c r="HM43"/>
  <c r="HL43"/>
  <c r="HK43"/>
  <c r="HJ43"/>
  <c r="HI43"/>
  <c r="HH43"/>
  <c r="HG43"/>
  <c r="HF43"/>
  <c r="HE43"/>
  <c r="HD43"/>
  <c r="HC43"/>
  <c r="HB43"/>
  <c r="HA43"/>
  <c r="GZ43"/>
  <c r="GY43"/>
  <c r="GX43"/>
  <c r="GW43"/>
  <c r="GV43"/>
  <c r="GU43"/>
  <c r="GT43"/>
  <c r="GS43"/>
  <c r="GR43"/>
  <c r="GQ43"/>
  <c r="GP43"/>
  <c r="GO43"/>
  <c r="GN43"/>
  <c r="GM43"/>
  <c r="GL43"/>
  <c r="GK43"/>
  <c r="GJ43"/>
  <c r="GI43"/>
  <c r="GH43"/>
  <c r="GG43"/>
  <c r="GF43"/>
  <c r="GE43"/>
  <c r="GD43"/>
  <c r="GC43"/>
  <c r="GB43"/>
  <c r="GA43"/>
  <c r="FZ43"/>
  <c r="FY43"/>
  <c r="FX43"/>
  <c r="FW43"/>
  <c r="FV43"/>
  <c r="FU43"/>
  <c r="FT43"/>
  <c r="FS43"/>
  <c r="FR43"/>
  <c r="FQ43"/>
  <c r="FP43"/>
  <c r="FO43"/>
  <c r="FN43"/>
  <c r="FM43"/>
  <c r="FL43"/>
  <c r="FK43"/>
  <c r="FJ43"/>
  <c r="FI43"/>
  <c r="FH43"/>
  <c r="FG43"/>
  <c r="FF43"/>
  <c r="FE43"/>
  <c r="FD43"/>
  <c r="FC43"/>
  <c r="FB43"/>
  <c r="FA43"/>
  <c r="EZ43"/>
  <c r="EY43"/>
  <c r="EX43"/>
  <c r="EW43"/>
  <c r="EV43"/>
  <c r="EU43"/>
  <c r="ET43"/>
  <c r="ES43"/>
  <c r="ER43"/>
  <c r="EQ43"/>
  <c r="EP43"/>
  <c r="EO43"/>
  <c r="EN43"/>
  <c r="EM43"/>
  <c r="EL43"/>
  <c r="EK43"/>
  <c r="EJ43"/>
  <c r="EI43"/>
  <c r="EH43"/>
  <c r="EG43"/>
  <c r="EF43"/>
  <c r="EE43"/>
  <c r="ED43"/>
  <c r="EC43"/>
  <c r="EB43"/>
  <c r="EA43"/>
  <c r="DZ43"/>
  <c r="DY43"/>
  <c r="DX43"/>
  <c r="DW43"/>
  <c r="DV43"/>
  <c r="DU43"/>
  <c r="DT43"/>
  <c r="DS43"/>
  <c r="DR43"/>
  <c r="DQ43"/>
  <c r="DP43"/>
  <c r="DO43"/>
  <c r="DN43"/>
  <c r="DM43"/>
  <c r="DL43"/>
  <c r="DK43"/>
  <c r="DJ43"/>
  <c r="DI43"/>
  <c r="DH43"/>
  <c r="DG43"/>
  <c r="DF43"/>
  <c r="DE43"/>
  <c r="DD43"/>
  <c r="DC43"/>
  <c r="DB43"/>
  <c r="DA43"/>
  <c r="CZ43"/>
  <c r="CY43"/>
  <c r="CX43"/>
  <c r="CW43"/>
  <c r="CV43"/>
  <c r="CU43"/>
  <c r="CT43"/>
  <c r="CS43"/>
  <c r="CR43"/>
  <c r="CQ43"/>
  <c r="CP43"/>
  <c r="CO43"/>
  <c r="CN43"/>
  <c r="CM43"/>
  <c r="CL43"/>
  <c r="CK43"/>
  <c r="CJ43"/>
  <c r="CI43"/>
  <c r="CH43"/>
  <c r="CG43"/>
  <c r="CF43"/>
  <c r="CE43"/>
  <c r="CD43"/>
  <c r="CC43"/>
  <c r="CB43"/>
  <c r="CA43"/>
  <c r="BZ43"/>
  <c r="BY43"/>
  <c r="BX43"/>
  <c r="BW43"/>
  <c r="BV43"/>
  <c r="BU43"/>
  <c r="BT43"/>
  <c r="BS43"/>
  <c r="BR43"/>
  <c r="BQ43"/>
  <c r="BP43"/>
  <c r="BO43"/>
  <c r="BN43"/>
  <c r="BM43"/>
  <c r="BL43"/>
  <c r="BK43"/>
  <c r="BJ43"/>
  <c r="BI43"/>
  <c r="BH43"/>
  <c r="BG43"/>
  <c r="BF43"/>
  <c r="BE43"/>
  <c r="BD43"/>
  <c r="BC43"/>
  <c r="BB43"/>
  <c r="BA43"/>
  <c r="AZ43"/>
  <c r="AY43"/>
  <c r="AX43"/>
  <c r="AW43"/>
  <c r="AV43"/>
  <c r="AU43"/>
  <c r="AT43"/>
  <c r="AS43"/>
  <c r="AR43"/>
  <c r="AQ43"/>
  <c r="AP43"/>
  <c r="AO43"/>
  <c r="AN43"/>
  <c r="AM43"/>
  <c r="AL43"/>
  <c r="AK43"/>
  <c r="AJ43"/>
  <c r="AI43"/>
  <c r="AH43"/>
  <c r="AG43"/>
  <c r="AF43"/>
  <c r="AE43"/>
  <c r="AD43"/>
  <c r="AC43"/>
  <c r="AB43"/>
  <c r="AA43"/>
  <c r="Z43"/>
  <c r="Y43"/>
  <c r="X43"/>
  <c r="W43"/>
  <c r="V43"/>
  <c r="Q43"/>
  <c r="P43"/>
  <c r="L43"/>
  <c r="K43"/>
  <c r="A43"/>
  <c r="HM42"/>
  <c r="HL42"/>
  <c r="HK42"/>
  <c r="HJ42"/>
  <c r="HI42"/>
  <c r="HH42"/>
  <c r="HG42"/>
  <c r="HF42"/>
  <c r="HE42"/>
  <c r="HD42"/>
  <c r="HC42"/>
  <c r="HB42"/>
  <c r="HA42"/>
  <c r="GZ42"/>
  <c r="GY42"/>
  <c r="GX42"/>
  <c r="GW42"/>
  <c r="GV42"/>
  <c r="GU42"/>
  <c r="GT42"/>
  <c r="GS42"/>
  <c r="GR42"/>
  <c r="GQ42"/>
  <c r="GP42"/>
  <c r="GO42"/>
  <c r="GN42"/>
  <c r="GM42"/>
  <c r="GL42"/>
  <c r="GK42"/>
  <c r="GJ42"/>
  <c r="GI42"/>
  <c r="GH42"/>
  <c r="GG42"/>
  <c r="GF42"/>
  <c r="GE42"/>
  <c r="GD42"/>
  <c r="GC42"/>
  <c r="GB42"/>
  <c r="GA42"/>
  <c r="FZ42"/>
  <c r="FY42"/>
  <c r="FX42"/>
  <c r="FW42"/>
  <c r="FV42"/>
  <c r="FU42"/>
  <c r="FT42"/>
  <c r="FS42"/>
  <c r="FR42"/>
  <c r="FQ42"/>
  <c r="FP42"/>
  <c r="FO42"/>
  <c r="FN42"/>
  <c r="FM42"/>
  <c r="FL42"/>
  <c r="FK42"/>
  <c r="FJ42"/>
  <c r="FI42"/>
  <c r="FH42"/>
  <c r="FG42"/>
  <c r="FF42"/>
  <c r="FE42"/>
  <c r="FD42"/>
  <c r="FC42"/>
  <c r="FB42"/>
  <c r="FA42"/>
  <c r="EZ42"/>
  <c r="EY42"/>
  <c r="EX42"/>
  <c r="EW42"/>
  <c r="EV42"/>
  <c r="EU42"/>
  <c r="ET42"/>
  <c r="ES42"/>
  <c r="ER42"/>
  <c r="EQ42"/>
  <c r="EP42"/>
  <c r="EO42"/>
  <c r="EN42"/>
  <c r="EM42"/>
  <c r="EL42"/>
  <c r="EK42"/>
  <c r="EJ42"/>
  <c r="EI42"/>
  <c r="EH42"/>
  <c r="EG42"/>
  <c r="EF42"/>
  <c r="EE42"/>
  <c r="ED42"/>
  <c r="EC42"/>
  <c r="EB42"/>
  <c r="EA42"/>
  <c r="DZ42"/>
  <c r="DY42"/>
  <c r="DX42"/>
  <c r="DW42"/>
  <c r="DV42"/>
  <c r="DU42"/>
  <c r="DT42"/>
  <c r="DS42"/>
  <c r="DR42"/>
  <c r="DQ42"/>
  <c r="DP42"/>
  <c r="DO42"/>
  <c r="DN42"/>
  <c r="DM42"/>
  <c r="DL42"/>
  <c r="DK42"/>
  <c r="DJ42"/>
  <c r="DI42"/>
  <c r="DH42"/>
  <c r="DG42"/>
  <c r="DF42"/>
  <c r="DE42"/>
  <c r="DD42"/>
  <c r="DC42"/>
  <c r="DB42"/>
  <c r="DA42"/>
  <c r="CZ42"/>
  <c r="CY42"/>
  <c r="CX42"/>
  <c r="CW42"/>
  <c r="CV42"/>
  <c r="CU42"/>
  <c r="CT42"/>
  <c r="CS42"/>
  <c r="CR42"/>
  <c r="CQ42"/>
  <c r="CP42"/>
  <c r="CO42"/>
  <c r="CN42"/>
  <c r="CM42"/>
  <c r="CL42"/>
  <c r="CK42"/>
  <c r="CJ42"/>
  <c r="CI42"/>
  <c r="CH42"/>
  <c r="CG42"/>
  <c r="CF42"/>
  <c r="CE42"/>
  <c r="CD42"/>
  <c r="CC42"/>
  <c r="CB42"/>
  <c r="CA42"/>
  <c r="BZ42"/>
  <c r="BY42"/>
  <c r="BX42"/>
  <c r="BW42"/>
  <c r="BV42"/>
  <c r="BU42"/>
  <c r="BT42"/>
  <c r="BS42"/>
  <c r="BR42"/>
  <c r="BQ42"/>
  <c r="BP42"/>
  <c r="BO42"/>
  <c r="BN42"/>
  <c r="BM42"/>
  <c r="BL42"/>
  <c r="BK42"/>
  <c r="BJ42"/>
  <c r="BI42"/>
  <c r="BH42"/>
  <c r="BG42"/>
  <c r="BF42"/>
  <c r="BE42"/>
  <c r="BD42"/>
  <c r="BC42"/>
  <c r="BB42"/>
  <c r="BA42"/>
  <c r="AZ42"/>
  <c r="AY42"/>
  <c r="AX42"/>
  <c r="AW42"/>
  <c r="AV42"/>
  <c r="AU42"/>
  <c r="AT42"/>
  <c r="AS42"/>
  <c r="AR42"/>
  <c r="AQ42"/>
  <c r="AP42"/>
  <c r="AO42"/>
  <c r="AN42"/>
  <c r="AM42"/>
  <c r="AL42"/>
  <c r="AK42"/>
  <c r="AJ42"/>
  <c r="AI42"/>
  <c r="AH42"/>
  <c r="AG42"/>
  <c r="AF42"/>
  <c r="AE42"/>
  <c r="AD42"/>
  <c r="AC42"/>
  <c r="AB42"/>
  <c r="AA42"/>
  <c r="Z42"/>
  <c r="Y42"/>
  <c r="X42"/>
  <c r="W42"/>
  <c r="V42"/>
  <c r="Q42"/>
  <c r="P42"/>
  <c r="K42"/>
  <c r="L42" s="1"/>
  <c r="A42"/>
  <c r="HM41"/>
  <c r="HL41"/>
  <c r="HK41"/>
  <c r="HJ41"/>
  <c r="HI41"/>
  <c r="HH41"/>
  <c r="HG41"/>
  <c r="HF41"/>
  <c r="HE41"/>
  <c r="HD41"/>
  <c r="HC41"/>
  <c r="HB41"/>
  <c r="HA41"/>
  <c r="GZ41"/>
  <c r="GY41"/>
  <c r="GX41"/>
  <c r="GW41"/>
  <c r="GV41"/>
  <c r="GU41"/>
  <c r="GT41"/>
  <c r="GS41"/>
  <c r="GR41"/>
  <c r="GQ41"/>
  <c r="GP41"/>
  <c r="GO41"/>
  <c r="GN41"/>
  <c r="GM41"/>
  <c r="GL41"/>
  <c r="GK41"/>
  <c r="GJ41"/>
  <c r="GI41"/>
  <c r="GH41"/>
  <c r="GG41"/>
  <c r="GF41"/>
  <c r="GE41"/>
  <c r="GD41"/>
  <c r="GC41"/>
  <c r="GB41"/>
  <c r="GA41"/>
  <c r="FZ41"/>
  <c r="FY41"/>
  <c r="FX41"/>
  <c r="FW41"/>
  <c r="FV41"/>
  <c r="FU41"/>
  <c r="FT41"/>
  <c r="FS41"/>
  <c r="FR41"/>
  <c r="FQ41"/>
  <c r="FP41"/>
  <c r="FO41"/>
  <c r="FN41"/>
  <c r="FM41"/>
  <c r="FL41"/>
  <c r="FK41"/>
  <c r="FJ41"/>
  <c r="FI41"/>
  <c r="FH41"/>
  <c r="FG41"/>
  <c r="FF41"/>
  <c r="FE41"/>
  <c r="FD41"/>
  <c r="FC41"/>
  <c r="FB41"/>
  <c r="FA41"/>
  <c r="EZ41"/>
  <c r="EY41"/>
  <c r="EX41"/>
  <c r="EW41"/>
  <c r="EV41"/>
  <c r="EU41"/>
  <c r="ET41"/>
  <c r="ES41"/>
  <c r="ER41"/>
  <c r="EQ41"/>
  <c r="EP41"/>
  <c r="EO41"/>
  <c r="EN41"/>
  <c r="EM41"/>
  <c r="EL41"/>
  <c r="EK41"/>
  <c r="EJ41"/>
  <c r="EI41"/>
  <c r="EH41"/>
  <c r="EG41"/>
  <c r="EF41"/>
  <c r="EE41"/>
  <c r="ED41"/>
  <c r="EC41"/>
  <c r="EB41"/>
  <c r="EA41"/>
  <c r="DZ41"/>
  <c r="DY41"/>
  <c r="DX41"/>
  <c r="DW41"/>
  <c r="DV41"/>
  <c r="DU41"/>
  <c r="DT41"/>
  <c r="DS41"/>
  <c r="DR41"/>
  <c r="DQ41"/>
  <c r="DP41"/>
  <c r="DO41"/>
  <c r="DN41"/>
  <c r="DM41"/>
  <c r="DL41"/>
  <c r="DK41"/>
  <c r="DJ41"/>
  <c r="DI41"/>
  <c r="DH41"/>
  <c r="DG41"/>
  <c r="DF41"/>
  <c r="DE41"/>
  <c r="DD41"/>
  <c r="DC41"/>
  <c r="DB41"/>
  <c r="DA41"/>
  <c r="CZ41"/>
  <c r="CY41"/>
  <c r="CX41"/>
  <c r="CW41"/>
  <c r="CV41"/>
  <c r="CU41"/>
  <c r="CT41"/>
  <c r="CS41"/>
  <c r="CR41"/>
  <c r="CQ41"/>
  <c r="CP41"/>
  <c r="CO41"/>
  <c r="CN41"/>
  <c r="CM41"/>
  <c r="CL41"/>
  <c r="CK41"/>
  <c r="CJ41"/>
  <c r="CI41"/>
  <c r="CH41"/>
  <c r="CG41"/>
  <c r="CF41"/>
  <c r="CE41"/>
  <c r="CD41"/>
  <c r="CC41"/>
  <c r="CB41"/>
  <c r="CA41"/>
  <c r="BZ41"/>
  <c r="BY41"/>
  <c r="BX41"/>
  <c r="BW41"/>
  <c r="BV41"/>
  <c r="BU41"/>
  <c r="BT41"/>
  <c r="BS41"/>
  <c r="BR41"/>
  <c r="BQ41"/>
  <c r="BP41"/>
  <c r="BO41"/>
  <c r="BN41"/>
  <c r="BM41"/>
  <c r="BL41"/>
  <c r="BK41"/>
  <c r="BJ41"/>
  <c r="BI41"/>
  <c r="BH41"/>
  <c r="BG41"/>
  <c r="BF41"/>
  <c r="BE41"/>
  <c r="BD41"/>
  <c r="BC41"/>
  <c r="BB41"/>
  <c r="BA41"/>
  <c r="AZ41"/>
  <c r="AY41"/>
  <c r="AX41"/>
  <c r="AW41"/>
  <c r="AV41"/>
  <c r="AU41"/>
  <c r="AT41"/>
  <c r="AS41"/>
  <c r="AR41"/>
  <c r="AQ41"/>
  <c r="AP41"/>
  <c r="AO41"/>
  <c r="AN41"/>
  <c r="AM41"/>
  <c r="AL41"/>
  <c r="AK41"/>
  <c r="AJ41"/>
  <c r="AI41"/>
  <c r="AH41"/>
  <c r="AG41"/>
  <c r="AF41"/>
  <c r="AE41"/>
  <c r="AD41"/>
  <c r="AC41"/>
  <c r="AB41"/>
  <c r="AA41"/>
  <c r="Z41"/>
  <c r="Y41"/>
  <c r="X41"/>
  <c r="W41"/>
  <c r="V41"/>
  <c r="Q41"/>
  <c r="P41"/>
  <c r="K41"/>
  <c r="L41" s="1"/>
  <c r="A41"/>
  <c r="HM40"/>
  <c r="HL40"/>
  <c r="HK40"/>
  <c r="HJ40"/>
  <c r="HI40"/>
  <c r="HH40"/>
  <c r="HG40"/>
  <c r="HF40"/>
  <c r="HE40"/>
  <c r="HD40"/>
  <c r="HC40"/>
  <c r="HB40"/>
  <c r="HA40"/>
  <c r="GZ40"/>
  <c r="GY40"/>
  <c r="GX40"/>
  <c r="GW40"/>
  <c r="GV40"/>
  <c r="GU40"/>
  <c r="GT40"/>
  <c r="GS40"/>
  <c r="GR40"/>
  <c r="GQ40"/>
  <c r="GP40"/>
  <c r="GO40"/>
  <c r="GN40"/>
  <c r="GM40"/>
  <c r="GL40"/>
  <c r="GK40"/>
  <c r="GJ40"/>
  <c r="GI40"/>
  <c r="GH40"/>
  <c r="GG40"/>
  <c r="GF40"/>
  <c r="GE40"/>
  <c r="GD40"/>
  <c r="GC40"/>
  <c r="GB40"/>
  <c r="GA40"/>
  <c r="FZ40"/>
  <c r="FY40"/>
  <c r="FX40"/>
  <c r="FW40"/>
  <c r="FV40"/>
  <c r="FU40"/>
  <c r="FT40"/>
  <c r="FS40"/>
  <c r="FR40"/>
  <c r="FQ40"/>
  <c r="FP40"/>
  <c r="FO40"/>
  <c r="FN40"/>
  <c r="FM40"/>
  <c r="FL40"/>
  <c r="FK40"/>
  <c r="FJ40"/>
  <c r="FI40"/>
  <c r="FH40"/>
  <c r="FG40"/>
  <c r="FF40"/>
  <c r="FE40"/>
  <c r="FD40"/>
  <c r="FC40"/>
  <c r="FB40"/>
  <c r="FA40"/>
  <c r="EZ40"/>
  <c r="EY40"/>
  <c r="EX40"/>
  <c r="EW40"/>
  <c r="EV40"/>
  <c r="EU40"/>
  <c r="ET40"/>
  <c r="ES40"/>
  <c r="ER40"/>
  <c r="EQ40"/>
  <c r="EP40"/>
  <c r="EO40"/>
  <c r="EN40"/>
  <c r="EM40"/>
  <c r="EL40"/>
  <c r="EK40"/>
  <c r="EJ40"/>
  <c r="EI40"/>
  <c r="EH40"/>
  <c r="EG40"/>
  <c r="EF40"/>
  <c r="EE40"/>
  <c r="ED40"/>
  <c r="EC40"/>
  <c r="EB40"/>
  <c r="EA40"/>
  <c r="DZ40"/>
  <c r="DY40"/>
  <c r="DX40"/>
  <c r="DW40"/>
  <c r="DV40"/>
  <c r="DU40"/>
  <c r="DT40"/>
  <c r="DS40"/>
  <c r="DR40"/>
  <c r="DQ40"/>
  <c r="DP40"/>
  <c r="DO40"/>
  <c r="DN40"/>
  <c r="DM40"/>
  <c r="DL40"/>
  <c r="DK40"/>
  <c r="DJ40"/>
  <c r="DI40"/>
  <c r="DH40"/>
  <c r="DG40"/>
  <c r="DF40"/>
  <c r="DE40"/>
  <c r="DD40"/>
  <c r="DC40"/>
  <c r="DB40"/>
  <c r="DA40"/>
  <c r="CZ40"/>
  <c r="CY40"/>
  <c r="CX40"/>
  <c r="CW40"/>
  <c r="CV40"/>
  <c r="CU40"/>
  <c r="CT40"/>
  <c r="CS40"/>
  <c r="CR40"/>
  <c r="CQ40"/>
  <c r="CP40"/>
  <c r="CO40"/>
  <c r="CN40"/>
  <c r="CM40"/>
  <c r="CL40"/>
  <c r="CK40"/>
  <c r="CJ40"/>
  <c r="CI40"/>
  <c r="CH40"/>
  <c r="CG40"/>
  <c r="CF40"/>
  <c r="CE40"/>
  <c r="CD40"/>
  <c r="CC40"/>
  <c r="CB40"/>
  <c r="CA40"/>
  <c r="BZ40"/>
  <c r="BY40"/>
  <c r="BX40"/>
  <c r="BW40"/>
  <c r="BV40"/>
  <c r="BU40"/>
  <c r="BT40"/>
  <c r="BS40"/>
  <c r="BR40"/>
  <c r="BQ40"/>
  <c r="BP40"/>
  <c r="BO40"/>
  <c r="BN40"/>
  <c r="BM40"/>
  <c r="BL40"/>
  <c r="BK40"/>
  <c r="BJ40"/>
  <c r="BI40"/>
  <c r="BH40"/>
  <c r="BG40"/>
  <c r="BF40"/>
  <c r="BE40"/>
  <c r="BD40"/>
  <c r="BC40"/>
  <c r="BB40"/>
  <c r="BA40"/>
  <c r="AZ40"/>
  <c r="AY40"/>
  <c r="AX40"/>
  <c r="AW40"/>
  <c r="AV40"/>
  <c r="AU40"/>
  <c r="AT40"/>
  <c r="AS40"/>
  <c r="AR40"/>
  <c r="AQ40"/>
  <c r="AP40"/>
  <c r="AO40"/>
  <c r="AN40"/>
  <c r="AM40"/>
  <c r="AL40"/>
  <c r="AK40"/>
  <c r="AJ40"/>
  <c r="AI40"/>
  <c r="AH40"/>
  <c r="AG40"/>
  <c r="AF40"/>
  <c r="AE40"/>
  <c r="AD40"/>
  <c r="AC40"/>
  <c r="AB40"/>
  <c r="AA40"/>
  <c r="Z40"/>
  <c r="Y40"/>
  <c r="X40"/>
  <c r="W40"/>
  <c r="V40"/>
  <c r="Q40"/>
  <c r="P40"/>
  <c r="K40"/>
  <c r="L40" s="1"/>
  <c r="A40"/>
  <c r="HM39"/>
  <c r="HL39"/>
  <c r="HK39"/>
  <c r="HJ39"/>
  <c r="HI39"/>
  <c r="HH39"/>
  <c r="HG39"/>
  <c r="HF39"/>
  <c r="HE39"/>
  <c r="HD39"/>
  <c r="HC39"/>
  <c r="HB39"/>
  <c r="HA39"/>
  <c r="GZ39"/>
  <c r="GY39"/>
  <c r="GX39"/>
  <c r="GW39"/>
  <c r="GV39"/>
  <c r="GU39"/>
  <c r="GT39"/>
  <c r="GS39"/>
  <c r="GR39"/>
  <c r="GQ39"/>
  <c r="GP39"/>
  <c r="GO39"/>
  <c r="GN39"/>
  <c r="GM39"/>
  <c r="GL39"/>
  <c r="GK39"/>
  <c r="GJ39"/>
  <c r="GI39"/>
  <c r="GH39"/>
  <c r="GG39"/>
  <c r="GF39"/>
  <c r="GE39"/>
  <c r="GD39"/>
  <c r="GC39"/>
  <c r="GB39"/>
  <c r="GA39"/>
  <c r="FZ39"/>
  <c r="FY39"/>
  <c r="FX39"/>
  <c r="FW39"/>
  <c r="FV39"/>
  <c r="FU39"/>
  <c r="FT39"/>
  <c r="FS39"/>
  <c r="FR39"/>
  <c r="FQ39"/>
  <c r="FP39"/>
  <c r="FO39"/>
  <c r="FN39"/>
  <c r="FM39"/>
  <c r="FL39"/>
  <c r="FK39"/>
  <c r="FJ39"/>
  <c r="FI39"/>
  <c r="FH39"/>
  <c r="FG39"/>
  <c r="FF39"/>
  <c r="FE39"/>
  <c r="FD39"/>
  <c r="FC39"/>
  <c r="FB39"/>
  <c r="FA39"/>
  <c r="EZ39"/>
  <c r="EY39"/>
  <c r="EX39"/>
  <c r="EW39"/>
  <c r="EV39"/>
  <c r="EU39"/>
  <c r="ET39"/>
  <c r="ES39"/>
  <c r="ER39"/>
  <c r="EQ39"/>
  <c r="EP39"/>
  <c r="EO39"/>
  <c r="EN39"/>
  <c r="EM39"/>
  <c r="EL39"/>
  <c r="EK39"/>
  <c r="EJ39"/>
  <c r="EI39"/>
  <c r="EH39"/>
  <c r="EG39"/>
  <c r="EF39"/>
  <c r="EE39"/>
  <c r="ED39"/>
  <c r="EC39"/>
  <c r="EB39"/>
  <c r="EA39"/>
  <c r="DZ39"/>
  <c r="DY39"/>
  <c r="DX39"/>
  <c r="DW39"/>
  <c r="DV39"/>
  <c r="DU39"/>
  <c r="DT39"/>
  <c r="DS39"/>
  <c r="DR39"/>
  <c r="DQ39"/>
  <c r="DP39"/>
  <c r="DO39"/>
  <c r="DN39"/>
  <c r="DM39"/>
  <c r="DL39"/>
  <c r="DK39"/>
  <c r="DJ39"/>
  <c r="DI39"/>
  <c r="DH39"/>
  <c r="DG39"/>
  <c r="DF39"/>
  <c r="DE39"/>
  <c r="DD39"/>
  <c r="DC39"/>
  <c r="DB39"/>
  <c r="DA39"/>
  <c r="CZ39"/>
  <c r="CY39"/>
  <c r="CX39"/>
  <c r="CW39"/>
  <c r="CV39"/>
  <c r="CU39"/>
  <c r="CT39"/>
  <c r="CS39"/>
  <c r="CR39"/>
  <c r="CQ39"/>
  <c r="CP39"/>
  <c r="CO39"/>
  <c r="CN39"/>
  <c r="CM39"/>
  <c r="CL39"/>
  <c r="CK39"/>
  <c r="CJ39"/>
  <c r="CI39"/>
  <c r="CH39"/>
  <c r="CG39"/>
  <c r="CF39"/>
  <c r="CE39"/>
  <c r="CD39"/>
  <c r="CC39"/>
  <c r="CB39"/>
  <c r="CA39"/>
  <c r="BZ39"/>
  <c r="BY39"/>
  <c r="BX39"/>
  <c r="BW39"/>
  <c r="BV39"/>
  <c r="BU39"/>
  <c r="BT39"/>
  <c r="BS39"/>
  <c r="BR39"/>
  <c r="BQ39"/>
  <c r="BP39"/>
  <c r="BO39"/>
  <c r="BN39"/>
  <c r="BM39"/>
  <c r="BL39"/>
  <c r="BK39"/>
  <c r="BJ39"/>
  <c r="BI39"/>
  <c r="BH39"/>
  <c r="BG39"/>
  <c r="BF39"/>
  <c r="BE39"/>
  <c r="BD39"/>
  <c r="BC39"/>
  <c r="BB39"/>
  <c r="BA39"/>
  <c r="AZ39"/>
  <c r="AY39"/>
  <c r="AX39"/>
  <c r="AW39"/>
  <c r="AV39"/>
  <c r="AU39"/>
  <c r="AT39"/>
  <c r="AS39"/>
  <c r="AR39"/>
  <c r="AQ39"/>
  <c r="AP39"/>
  <c r="AO39"/>
  <c r="AN39"/>
  <c r="AM39"/>
  <c r="AL39"/>
  <c r="AK39"/>
  <c r="AJ39"/>
  <c r="AI39"/>
  <c r="AH39"/>
  <c r="AG39"/>
  <c r="AF39"/>
  <c r="AE39"/>
  <c r="AD39"/>
  <c r="AC39"/>
  <c r="AB39"/>
  <c r="AA39"/>
  <c r="Z39"/>
  <c r="Y39"/>
  <c r="X39"/>
  <c r="W39"/>
  <c r="V39"/>
  <c r="Q39"/>
  <c r="P39"/>
  <c r="K39"/>
  <c r="L39" s="1"/>
  <c r="A39"/>
  <c r="HM38"/>
  <c r="HL38"/>
  <c r="HK38"/>
  <c r="HJ38"/>
  <c r="HI38"/>
  <c r="HH38"/>
  <c r="HG38"/>
  <c r="HF38"/>
  <c r="HE38"/>
  <c r="HD38"/>
  <c r="HC38"/>
  <c r="HB38"/>
  <c r="HA38"/>
  <c r="GZ38"/>
  <c r="GY38"/>
  <c r="GX38"/>
  <c r="GW38"/>
  <c r="GV38"/>
  <c r="GU38"/>
  <c r="GT38"/>
  <c r="GS38"/>
  <c r="GR38"/>
  <c r="GQ38"/>
  <c r="GP38"/>
  <c r="GO38"/>
  <c r="GN38"/>
  <c r="GM38"/>
  <c r="GL38"/>
  <c r="GK38"/>
  <c r="GJ38"/>
  <c r="GI38"/>
  <c r="GH38"/>
  <c r="GG38"/>
  <c r="GF38"/>
  <c r="GE38"/>
  <c r="GD38"/>
  <c r="GC38"/>
  <c r="GB38"/>
  <c r="GA38"/>
  <c r="FZ38"/>
  <c r="FY38"/>
  <c r="FX38"/>
  <c r="FW38"/>
  <c r="FV38"/>
  <c r="FU38"/>
  <c r="FT38"/>
  <c r="FS38"/>
  <c r="FR38"/>
  <c r="FQ38"/>
  <c r="FP38"/>
  <c r="FO38"/>
  <c r="FN38"/>
  <c r="FM38"/>
  <c r="FL38"/>
  <c r="FK38"/>
  <c r="FJ38"/>
  <c r="FI38"/>
  <c r="FH38"/>
  <c r="FG38"/>
  <c r="FF38"/>
  <c r="FE38"/>
  <c r="FD38"/>
  <c r="FC38"/>
  <c r="FB38"/>
  <c r="FA38"/>
  <c r="EZ38"/>
  <c r="EY38"/>
  <c r="EX38"/>
  <c r="EW38"/>
  <c r="EV38"/>
  <c r="EU38"/>
  <c r="ET38"/>
  <c r="ES38"/>
  <c r="ER38"/>
  <c r="EQ38"/>
  <c r="EP38"/>
  <c r="EO38"/>
  <c r="EN38"/>
  <c r="EM38"/>
  <c r="EL38"/>
  <c r="EK38"/>
  <c r="EJ38"/>
  <c r="EI38"/>
  <c r="EH38"/>
  <c r="EG38"/>
  <c r="EF38"/>
  <c r="EE38"/>
  <c r="ED38"/>
  <c r="EC38"/>
  <c r="EB38"/>
  <c r="EA38"/>
  <c r="DZ38"/>
  <c r="DY38"/>
  <c r="DX38"/>
  <c r="DW38"/>
  <c r="DV38"/>
  <c r="DU38"/>
  <c r="DT38"/>
  <c r="DS38"/>
  <c r="DR38"/>
  <c r="DQ38"/>
  <c r="DP38"/>
  <c r="DO38"/>
  <c r="DN38"/>
  <c r="DM38"/>
  <c r="DL38"/>
  <c r="DK38"/>
  <c r="DJ38"/>
  <c r="DI38"/>
  <c r="DH38"/>
  <c r="DG38"/>
  <c r="DF38"/>
  <c r="DE38"/>
  <c r="DD38"/>
  <c r="DC38"/>
  <c r="DB38"/>
  <c r="DA38"/>
  <c r="CZ38"/>
  <c r="CY38"/>
  <c r="CX38"/>
  <c r="CW38"/>
  <c r="CV38"/>
  <c r="CU38"/>
  <c r="CT38"/>
  <c r="CS38"/>
  <c r="CR38"/>
  <c r="CQ38"/>
  <c r="CP38"/>
  <c r="CO38"/>
  <c r="CN38"/>
  <c r="CM38"/>
  <c r="CL38"/>
  <c r="CK38"/>
  <c r="CJ38"/>
  <c r="CI38"/>
  <c r="CH38"/>
  <c r="CG38"/>
  <c r="CF38"/>
  <c r="CE38"/>
  <c r="CD38"/>
  <c r="CC38"/>
  <c r="CB38"/>
  <c r="CA38"/>
  <c r="BZ38"/>
  <c r="BY38"/>
  <c r="BX38"/>
  <c r="BW38"/>
  <c r="BV38"/>
  <c r="BU38"/>
  <c r="BT38"/>
  <c r="BS38"/>
  <c r="BR38"/>
  <c r="BQ38"/>
  <c r="BP38"/>
  <c r="BO38"/>
  <c r="BN38"/>
  <c r="BM38"/>
  <c r="BL38"/>
  <c r="BK38"/>
  <c r="BJ38"/>
  <c r="BI38"/>
  <c r="BH38"/>
  <c r="BG38"/>
  <c r="BF38"/>
  <c r="BE38"/>
  <c r="BD38"/>
  <c r="BC38"/>
  <c r="BB38"/>
  <c r="BA38"/>
  <c r="AZ38"/>
  <c r="AY38"/>
  <c r="AX38"/>
  <c r="AW38"/>
  <c r="AV38"/>
  <c r="AU38"/>
  <c r="AT38"/>
  <c r="AS38"/>
  <c r="AR38"/>
  <c r="AQ38"/>
  <c r="AP38"/>
  <c r="AO38"/>
  <c r="AN38"/>
  <c r="AM38"/>
  <c r="AL38"/>
  <c r="AK38"/>
  <c r="AJ38"/>
  <c r="AI38"/>
  <c r="AH38"/>
  <c r="AG38"/>
  <c r="AF38"/>
  <c r="AE38"/>
  <c r="AD38"/>
  <c r="AC38"/>
  <c r="AB38"/>
  <c r="AA38"/>
  <c r="Z38"/>
  <c r="Y38"/>
  <c r="X38"/>
  <c r="W38"/>
  <c r="V38"/>
  <c r="Q38"/>
  <c r="P38"/>
  <c r="K38"/>
  <c r="L38" s="1"/>
  <c r="A38"/>
  <c r="HM37"/>
  <c r="HL37"/>
  <c r="HK37"/>
  <c r="HJ37"/>
  <c r="HI37"/>
  <c r="HH37"/>
  <c r="HG37"/>
  <c r="HF37"/>
  <c r="HE37"/>
  <c r="HD37"/>
  <c r="HC37"/>
  <c r="HB37"/>
  <c r="HA37"/>
  <c r="GZ37"/>
  <c r="GY37"/>
  <c r="GX37"/>
  <c r="GW37"/>
  <c r="GV37"/>
  <c r="GU37"/>
  <c r="GT37"/>
  <c r="GS37"/>
  <c r="GR37"/>
  <c r="GQ37"/>
  <c r="GP37"/>
  <c r="GO37"/>
  <c r="GN37"/>
  <c r="GM37"/>
  <c r="GL37"/>
  <c r="GK37"/>
  <c r="GJ37"/>
  <c r="GI37"/>
  <c r="GH37"/>
  <c r="GG37"/>
  <c r="GF37"/>
  <c r="GE37"/>
  <c r="GD37"/>
  <c r="GC37"/>
  <c r="GB37"/>
  <c r="GA37"/>
  <c r="FZ37"/>
  <c r="FY37"/>
  <c r="FX37"/>
  <c r="FW37"/>
  <c r="FV37"/>
  <c r="FU37"/>
  <c r="FT37"/>
  <c r="FS37"/>
  <c r="FR37"/>
  <c r="FQ37"/>
  <c r="FP37"/>
  <c r="FO37"/>
  <c r="FN37"/>
  <c r="FM37"/>
  <c r="FL37"/>
  <c r="FK37"/>
  <c r="FJ37"/>
  <c r="FI37"/>
  <c r="FH37"/>
  <c r="FG37"/>
  <c r="FF37"/>
  <c r="FE37"/>
  <c r="FD37"/>
  <c r="FC37"/>
  <c r="FB37"/>
  <c r="FA37"/>
  <c r="EZ37"/>
  <c r="EY37"/>
  <c r="EX37"/>
  <c r="EW37"/>
  <c r="EV37"/>
  <c r="EU37"/>
  <c r="ET37"/>
  <c r="ES37"/>
  <c r="ER37"/>
  <c r="EQ37"/>
  <c r="EP37"/>
  <c r="EO37"/>
  <c r="EN37"/>
  <c r="EM37"/>
  <c r="EL37"/>
  <c r="EK37"/>
  <c r="EJ37"/>
  <c r="EI37"/>
  <c r="EH37"/>
  <c r="EG37"/>
  <c r="EF37"/>
  <c r="EE37"/>
  <c r="ED37"/>
  <c r="EC37"/>
  <c r="EB37"/>
  <c r="EA37"/>
  <c r="DZ37"/>
  <c r="DY37"/>
  <c r="DX37"/>
  <c r="DW37"/>
  <c r="DV37"/>
  <c r="DU37"/>
  <c r="DT37"/>
  <c r="DS37"/>
  <c r="DR37"/>
  <c r="DQ37"/>
  <c r="DP37"/>
  <c r="DO37"/>
  <c r="DN37"/>
  <c r="DM37"/>
  <c r="DL37"/>
  <c r="DK37"/>
  <c r="DJ37"/>
  <c r="DI37"/>
  <c r="DH37"/>
  <c r="DG37"/>
  <c r="DF37"/>
  <c r="DE37"/>
  <c r="DD37"/>
  <c r="DC37"/>
  <c r="DB37"/>
  <c r="DA37"/>
  <c r="CZ37"/>
  <c r="CY37"/>
  <c r="CX37"/>
  <c r="CW37"/>
  <c r="CV37"/>
  <c r="CU37"/>
  <c r="CT37"/>
  <c r="CS37"/>
  <c r="CR37"/>
  <c r="CQ37"/>
  <c r="CP37"/>
  <c r="CO37"/>
  <c r="CN37"/>
  <c r="CM37"/>
  <c r="CL37"/>
  <c r="CK37"/>
  <c r="CJ37"/>
  <c r="CI37"/>
  <c r="CH37"/>
  <c r="CG37"/>
  <c r="CF37"/>
  <c r="CE37"/>
  <c r="CD37"/>
  <c r="CC37"/>
  <c r="CB37"/>
  <c r="CA37"/>
  <c r="BZ37"/>
  <c r="BY37"/>
  <c r="BX37"/>
  <c r="BW37"/>
  <c r="BV37"/>
  <c r="BU37"/>
  <c r="BT37"/>
  <c r="BS37"/>
  <c r="BR37"/>
  <c r="BQ37"/>
  <c r="BP37"/>
  <c r="BO37"/>
  <c r="BN37"/>
  <c r="BM37"/>
  <c r="BL37"/>
  <c r="BK37"/>
  <c r="BJ37"/>
  <c r="BI37"/>
  <c r="BH37"/>
  <c r="BG37"/>
  <c r="BF37"/>
  <c r="BE37"/>
  <c r="BD37"/>
  <c r="BC37"/>
  <c r="BB37"/>
  <c r="BA37"/>
  <c r="AZ37"/>
  <c r="AY37"/>
  <c r="AX37"/>
  <c r="AW37"/>
  <c r="AV37"/>
  <c r="AU37"/>
  <c r="AT37"/>
  <c r="AS37"/>
  <c r="AR37"/>
  <c r="AQ37"/>
  <c r="AP37"/>
  <c r="AO37"/>
  <c r="AN37"/>
  <c r="AM37"/>
  <c r="AL37"/>
  <c r="AK37"/>
  <c r="AJ37"/>
  <c r="AI37"/>
  <c r="AH37"/>
  <c r="AG37"/>
  <c r="AF37"/>
  <c r="AE37"/>
  <c r="AD37"/>
  <c r="AC37"/>
  <c r="AB37"/>
  <c r="AA37"/>
  <c r="Z37"/>
  <c r="Y37"/>
  <c r="X37"/>
  <c r="W37"/>
  <c r="V37"/>
  <c r="Q37"/>
  <c r="P37"/>
  <c r="L37"/>
  <c r="K37"/>
  <c r="A37"/>
  <c r="HM36"/>
  <c r="HL36"/>
  <c r="HK36"/>
  <c r="HJ36"/>
  <c r="HI36"/>
  <c r="HH36"/>
  <c r="HG36"/>
  <c r="HF36"/>
  <c r="HE36"/>
  <c r="HD36"/>
  <c r="HC36"/>
  <c r="HB36"/>
  <c r="HA36"/>
  <c r="GZ36"/>
  <c r="GY36"/>
  <c r="GX36"/>
  <c r="GW36"/>
  <c r="GV36"/>
  <c r="GU36"/>
  <c r="GT36"/>
  <c r="GS36"/>
  <c r="GR36"/>
  <c r="GQ36"/>
  <c r="GP36"/>
  <c r="GO36"/>
  <c r="GN36"/>
  <c r="GM36"/>
  <c r="GL36"/>
  <c r="GK36"/>
  <c r="GJ36"/>
  <c r="GI36"/>
  <c r="GH36"/>
  <c r="GG36"/>
  <c r="GF36"/>
  <c r="GE36"/>
  <c r="GD36"/>
  <c r="GC36"/>
  <c r="GB36"/>
  <c r="GA36"/>
  <c r="FZ36"/>
  <c r="FY36"/>
  <c r="FX36"/>
  <c r="FW36"/>
  <c r="FV36"/>
  <c r="FU36"/>
  <c r="FT36"/>
  <c r="FS36"/>
  <c r="FR36"/>
  <c r="FQ36"/>
  <c r="FP36"/>
  <c r="FO36"/>
  <c r="FN36"/>
  <c r="FM36"/>
  <c r="FL36"/>
  <c r="FK36"/>
  <c r="FJ36"/>
  <c r="FI36"/>
  <c r="FH36"/>
  <c r="FG36"/>
  <c r="FF36"/>
  <c r="FE36"/>
  <c r="FD36"/>
  <c r="FC36"/>
  <c r="FB36"/>
  <c r="FA36"/>
  <c r="EZ36"/>
  <c r="EY36"/>
  <c r="EX36"/>
  <c r="EW36"/>
  <c r="EV36"/>
  <c r="EU36"/>
  <c r="ET36"/>
  <c r="ES36"/>
  <c r="ER36"/>
  <c r="EQ36"/>
  <c r="EP36"/>
  <c r="EO36"/>
  <c r="EN36"/>
  <c r="EM36"/>
  <c r="EL36"/>
  <c r="EK36"/>
  <c r="EJ36"/>
  <c r="EI36"/>
  <c r="EH36"/>
  <c r="EG36"/>
  <c r="EF36"/>
  <c r="EE36"/>
  <c r="ED36"/>
  <c r="EC36"/>
  <c r="EB36"/>
  <c r="EA36"/>
  <c r="DZ36"/>
  <c r="DY36"/>
  <c r="DX36"/>
  <c r="DW36"/>
  <c r="DV36"/>
  <c r="DU36"/>
  <c r="DT36"/>
  <c r="DS36"/>
  <c r="DR36"/>
  <c r="DQ36"/>
  <c r="DP36"/>
  <c r="DO36"/>
  <c r="DN36"/>
  <c r="DM36"/>
  <c r="DL36"/>
  <c r="DK36"/>
  <c r="DJ36"/>
  <c r="DI36"/>
  <c r="DH36"/>
  <c r="DG36"/>
  <c r="DF36"/>
  <c r="DE36"/>
  <c r="DD36"/>
  <c r="DC36"/>
  <c r="DB36"/>
  <c r="DA36"/>
  <c r="CZ36"/>
  <c r="CY36"/>
  <c r="CX36"/>
  <c r="CW36"/>
  <c r="CV36"/>
  <c r="CU36"/>
  <c r="CT36"/>
  <c r="CS36"/>
  <c r="CR36"/>
  <c r="CQ36"/>
  <c r="CP36"/>
  <c r="CO36"/>
  <c r="CN36"/>
  <c r="CM36"/>
  <c r="CL36"/>
  <c r="CK36"/>
  <c r="CJ36"/>
  <c r="CI36"/>
  <c r="CH36"/>
  <c r="CG36"/>
  <c r="CF36"/>
  <c r="CE36"/>
  <c r="CD36"/>
  <c r="CC36"/>
  <c r="CB36"/>
  <c r="CA36"/>
  <c r="BZ36"/>
  <c r="BY36"/>
  <c r="BX36"/>
  <c r="BW36"/>
  <c r="BV36"/>
  <c r="BU36"/>
  <c r="BT36"/>
  <c r="BS36"/>
  <c r="BR36"/>
  <c r="BQ36"/>
  <c r="BP36"/>
  <c r="BO36"/>
  <c r="BN36"/>
  <c r="BM36"/>
  <c r="BL36"/>
  <c r="BK36"/>
  <c r="BJ36"/>
  <c r="BI36"/>
  <c r="BH36"/>
  <c r="BG36"/>
  <c r="BF36"/>
  <c r="BE36"/>
  <c r="BD36"/>
  <c r="BC36"/>
  <c r="BB36"/>
  <c r="BA36"/>
  <c r="AZ36"/>
  <c r="AY36"/>
  <c r="AX36"/>
  <c r="AW36"/>
  <c r="AV36"/>
  <c r="AU36"/>
  <c r="AT36"/>
  <c r="AS36"/>
  <c r="AR36"/>
  <c r="AQ36"/>
  <c r="AP36"/>
  <c r="AO36"/>
  <c r="AN36"/>
  <c r="AM36"/>
  <c r="AL36"/>
  <c r="AK36"/>
  <c r="AJ36"/>
  <c r="AI36"/>
  <c r="AH36"/>
  <c r="AG36"/>
  <c r="AF36"/>
  <c r="AE36"/>
  <c r="AD36"/>
  <c r="AC36"/>
  <c r="AB36"/>
  <c r="AA36"/>
  <c r="Z36"/>
  <c r="Y36"/>
  <c r="X36"/>
  <c r="W36"/>
  <c r="V36"/>
  <c r="Q36"/>
  <c r="P36"/>
  <c r="K36"/>
  <c r="L36" s="1"/>
  <c r="A36"/>
  <c r="HM35"/>
  <c r="HL35"/>
  <c r="HK35"/>
  <c r="HJ35"/>
  <c r="HI35"/>
  <c r="HH35"/>
  <c r="HG35"/>
  <c r="HF35"/>
  <c r="HE35"/>
  <c r="HD35"/>
  <c r="HC35"/>
  <c r="HB35"/>
  <c r="HA35"/>
  <c r="GZ35"/>
  <c r="GY35"/>
  <c r="GX35"/>
  <c r="GW35"/>
  <c r="GV35"/>
  <c r="GU35"/>
  <c r="GT35"/>
  <c r="GS35"/>
  <c r="GR35"/>
  <c r="GQ35"/>
  <c r="GP35"/>
  <c r="GO35"/>
  <c r="GN35"/>
  <c r="GM35"/>
  <c r="GL35"/>
  <c r="GK35"/>
  <c r="GJ35"/>
  <c r="GI35"/>
  <c r="GH35"/>
  <c r="GG35"/>
  <c r="GF35"/>
  <c r="GE35"/>
  <c r="GD35"/>
  <c r="GC35"/>
  <c r="GB35"/>
  <c r="GA35"/>
  <c r="FZ35"/>
  <c r="FY35"/>
  <c r="FX35"/>
  <c r="FW35"/>
  <c r="FV35"/>
  <c r="FU35"/>
  <c r="FT35"/>
  <c r="FS35"/>
  <c r="FR35"/>
  <c r="FQ35"/>
  <c r="FP35"/>
  <c r="FO35"/>
  <c r="FN35"/>
  <c r="FM35"/>
  <c r="FL35"/>
  <c r="FK35"/>
  <c r="FJ35"/>
  <c r="FI35"/>
  <c r="FH35"/>
  <c r="FG35"/>
  <c r="FF35"/>
  <c r="FE35"/>
  <c r="FD35"/>
  <c r="FC35"/>
  <c r="FB35"/>
  <c r="FA35"/>
  <c r="EZ35"/>
  <c r="EY35"/>
  <c r="EX35"/>
  <c r="EW35"/>
  <c r="EV35"/>
  <c r="EU35"/>
  <c r="ET35"/>
  <c r="ES35"/>
  <c r="ER35"/>
  <c r="EQ35"/>
  <c r="EP35"/>
  <c r="EO35"/>
  <c r="EN35"/>
  <c r="EM35"/>
  <c r="EL35"/>
  <c r="EK35"/>
  <c r="EJ35"/>
  <c r="EI35"/>
  <c r="EH35"/>
  <c r="EG35"/>
  <c r="EF35"/>
  <c r="EE35"/>
  <c r="ED35"/>
  <c r="EC35"/>
  <c r="EB35"/>
  <c r="EA35"/>
  <c r="DZ35"/>
  <c r="DY35"/>
  <c r="DX35"/>
  <c r="DW35"/>
  <c r="DV35"/>
  <c r="DU35"/>
  <c r="DT35"/>
  <c r="DS35"/>
  <c r="DR35"/>
  <c r="DQ35"/>
  <c r="DP35"/>
  <c r="DO35"/>
  <c r="DN35"/>
  <c r="DM35"/>
  <c r="DL35"/>
  <c r="DK35"/>
  <c r="DJ35"/>
  <c r="DI35"/>
  <c r="DH35"/>
  <c r="DG35"/>
  <c r="DF35"/>
  <c r="DE35"/>
  <c r="DD35"/>
  <c r="DC35"/>
  <c r="DB35"/>
  <c r="DA35"/>
  <c r="CZ35"/>
  <c r="CY35"/>
  <c r="CX35"/>
  <c r="CW35"/>
  <c r="CV35"/>
  <c r="CU35"/>
  <c r="CT35"/>
  <c r="CS35"/>
  <c r="CR35"/>
  <c r="CQ35"/>
  <c r="CP35"/>
  <c r="CO35"/>
  <c r="CN35"/>
  <c r="CM35"/>
  <c r="CL35"/>
  <c r="CK35"/>
  <c r="CJ35"/>
  <c r="CI35"/>
  <c r="CH35"/>
  <c r="CG35"/>
  <c r="CF35"/>
  <c r="CE35"/>
  <c r="CD35"/>
  <c r="CC35"/>
  <c r="CB35"/>
  <c r="CA35"/>
  <c r="BZ35"/>
  <c r="BY35"/>
  <c r="BX35"/>
  <c r="BW35"/>
  <c r="BV35"/>
  <c r="BU35"/>
  <c r="BT35"/>
  <c r="BS35"/>
  <c r="BR35"/>
  <c r="BQ35"/>
  <c r="BP35"/>
  <c r="BO35"/>
  <c r="BN35"/>
  <c r="BM35"/>
  <c r="BL35"/>
  <c r="BK35"/>
  <c r="BJ35"/>
  <c r="BI35"/>
  <c r="BH35"/>
  <c r="BG35"/>
  <c r="BF35"/>
  <c r="BE35"/>
  <c r="BD35"/>
  <c r="BC35"/>
  <c r="BB35"/>
  <c r="BA35"/>
  <c r="AZ35"/>
  <c r="AY35"/>
  <c r="AX35"/>
  <c r="AW35"/>
  <c r="AV35"/>
  <c r="AU35"/>
  <c r="AT35"/>
  <c r="AS35"/>
  <c r="AR35"/>
  <c r="AQ35"/>
  <c r="AP35"/>
  <c r="AO35"/>
  <c r="AN35"/>
  <c r="AM35"/>
  <c r="AL35"/>
  <c r="AK35"/>
  <c r="AJ35"/>
  <c r="AI35"/>
  <c r="AH35"/>
  <c r="AG35"/>
  <c r="AF35"/>
  <c r="AE35"/>
  <c r="AD35"/>
  <c r="AC35"/>
  <c r="AB35"/>
  <c r="AA35"/>
  <c r="Z35"/>
  <c r="Y35"/>
  <c r="X35"/>
  <c r="W35"/>
  <c r="V35"/>
  <c r="Q35"/>
  <c r="P35"/>
  <c r="L35"/>
  <c r="K35"/>
  <c r="A35"/>
  <c r="HM34"/>
  <c r="HL34"/>
  <c r="HK34"/>
  <c r="HJ34"/>
  <c r="HI34"/>
  <c r="HH34"/>
  <c r="HG34"/>
  <c r="HF34"/>
  <c r="HE34"/>
  <c r="HD34"/>
  <c r="HC34"/>
  <c r="HB34"/>
  <c r="HA34"/>
  <c r="GZ34"/>
  <c r="GY34"/>
  <c r="GX34"/>
  <c r="GW34"/>
  <c r="GV34"/>
  <c r="GU34"/>
  <c r="GT34"/>
  <c r="GS34"/>
  <c r="GR34"/>
  <c r="GQ34"/>
  <c r="GP34"/>
  <c r="GO34"/>
  <c r="GN34"/>
  <c r="GM34"/>
  <c r="GL34"/>
  <c r="GK34"/>
  <c r="GJ34"/>
  <c r="GI34"/>
  <c r="GH34"/>
  <c r="GG34"/>
  <c r="GF34"/>
  <c r="GE34"/>
  <c r="GD34"/>
  <c r="GC34"/>
  <c r="GB34"/>
  <c r="GA34"/>
  <c r="FZ34"/>
  <c r="FY34"/>
  <c r="FX34"/>
  <c r="FW34"/>
  <c r="FV34"/>
  <c r="FU34"/>
  <c r="FT34"/>
  <c r="FS34"/>
  <c r="FR34"/>
  <c r="FQ34"/>
  <c r="FP34"/>
  <c r="FO34"/>
  <c r="FN34"/>
  <c r="FM34"/>
  <c r="FL34"/>
  <c r="FK34"/>
  <c r="FJ34"/>
  <c r="FI34"/>
  <c r="FH34"/>
  <c r="FG34"/>
  <c r="FF34"/>
  <c r="FE34"/>
  <c r="FD34"/>
  <c r="FC34"/>
  <c r="FB34"/>
  <c r="FA34"/>
  <c r="EZ34"/>
  <c r="EY34"/>
  <c r="EX34"/>
  <c r="EW34"/>
  <c r="EV34"/>
  <c r="EU34"/>
  <c r="ET34"/>
  <c r="ES34"/>
  <c r="ER34"/>
  <c r="EQ34"/>
  <c r="EP34"/>
  <c r="EO34"/>
  <c r="EN34"/>
  <c r="EM34"/>
  <c r="EL34"/>
  <c r="EK34"/>
  <c r="EJ34"/>
  <c r="EI34"/>
  <c r="EH34"/>
  <c r="EG34"/>
  <c r="EF34"/>
  <c r="EE34"/>
  <c r="ED34"/>
  <c r="EC34"/>
  <c r="EB34"/>
  <c r="EA34"/>
  <c r="DZ34"/>
  <c r="DY34"/>
  <c r="DX34"/>
  <c r="DW34"/>
  <c r="DV34"/>
  <c r="DU34"/>
  <c r="DT34"/>
  <c r="DS34"/>
  <c r="DR34"/>
  <c r="DQ34"/>
  <c r="DP34"/>
  <c r="DO34"/>
  <c r="DN34"/>
  <c r="DM34"/>
  <c r="DL34"/>
  <c r="DK34"/>
  <c r="DJ34"/>
  <c r="DI34"/>
  <c r="DH34"/>
  <c r="DG34"/>
  <c r="DF34"/>
  <c r="DE34"/>
  <c r="DD34"/>
  <c r="DC34"/>
  <c r="DB34"/>
  <c r="DA34"/>
  <c r="CZ34"/>
  <c r="CY34"/>
  <c r="CX34"/>
  <c r="CW34"/>
  <c r="CV34"/>
  <c r="CU34"/>
  <c r="CT34"/>
  <c r="CS34"/>
  <c r="CR34"/>
  <c r="CQ34"/>
  <c r="CP34"/>
  <c r="CO34"/>
  <c r="CN34"/>
  <c r="CM34"/>
  <c r="CL34"/>
  <c r="CK34"/>
  <c r="CJ34"/>
  <c r="CI34"/>
  <c r="CH34"/>
  <c r="CG34"/>
  <c r="CF34"/>
  <c r="CE34"/>
  <c r="CD34"/>
  <c r="CC34"/>
  <c r="CB34"/>
  <c r="CA34"/>
  <c r="BZ34"/>
  <c r="BY34"/>
  <c r="BX34"/>
  <c r="BW34"/>
  <c r="BV34"/>
  <c r="BU34"/>
  <c r="BT34"/>
  <c r="BS34"/>
  <c r="BR34"/>
  <c r="BQ34"/>
  <c r="BP34"/>
  <c r="BO34"/>
  <c r="BN34"/>
  <c r="BM34"/>
  <c r="BL34"/>
  <c r="BK34"/>
  <c r="BJ34"/>
  <c r="BI34"/>
  <c r="BH34"/>
  <c r="BG34"/>
  <c r="BF34"/>
  <c r="BE34"/>
  <c r="BD34"/>
  <c r="BC34"/>
  <c r="BB34"/>
  <c r="BA34"/>
  <c r="AZ34"/>
  <c r="AY34"/>
  <c r="AX34"/>
  <c r="AW34"/>
  <c r="AV34"/>
  <c r="AU34"/>
  <c r="AT34"/>
  <c r="AS34"/>
  <c r="AR34"/>
  <c r="AQ34"/>
  <c r="AP34"/>
  <c r="AO34"/>
  <c r="AN34"/>
  <c r="AM34"/>
  <c r="AL34"/>
  <c r="AK34"/>
  <c r="AJ34"/>
  <c r="AI34"/>
  <c r="AH34"/>
  <c r="AG34"/>
  <c r="AF34"/>
  <c r="AE34"/>
  <c r="AD34"/>
  <c r="AC34"/>
  <c r="AB34"/>
  <c r="AA34"/>
  <c r="Z34"/>
  <c r="Y34"/>
  <c r="X34"/>
  <c r="W34"/>
  <c r="V34"/>
  <c r="Q34"/>
  <c r="P34"/>
  <c r="K34"/>
  <c r="L34" s="1"/>
  <c r="A34"/>
  <c r="HM33"/>
  <c r="HL33"/>
  <c r="HK33"/>
  <c r="HJ33"/>
  <c r="HI33"/>
  <c r="HH33"/>
  <c r="HG33"/>
  <c r="HF33"/>
  <c r="HE33"/>
  <c r="HD33"/>
  <c r="HC33"/>
  <c r="HB33"/>
  <c r="HA33"/>
  <c r="GZ33"/>
  <c r="GY33"/>
  <c r="GX33"/>
  <c r="GW33"/>
  <c r="GV33"/>
  <c r="GU33"/>
  <c r="GT33"/>
  <c r="GS33"/>
  <c r="GR33"/>
  <c r="GQ33"/>
  <c r="GP33"/>
  <c r="GO33"/>
  <c r="GN33"/>
  <c r="GM33"/>
  <c r="GL33"/>
  <c r="GK33"/>
  <c r="GJ33"/>
  <c r="GI33"/>
  <c r="GH33"/>
  <c r="GG33"/>
  <c r="GF33"/>
  <c r="GE33"/>
  <c r="GD33"/>
  <c r="GC33"/>
  <c r="GB33"/>
  <c r="GA33"/>
  <c r="FZ33"/>
  <c r="FY33"/>
  <c r="FX33"/>
  <c r="FW33"/>
  <c r="FV33"/>
  <c r="FU33"/>
  <c r="FT33"/>
  <c r="FS33"/>
  <c r="FR33"/>
  <c r="FQ33"/>
  <c r="FP33"/>
  <c r="FO33"/>
  <c r="FN33"/>
  <c r="FM33"/>
  <c r="FL33"/>
  <c r="FK33"/>
  <c r="FJ33"/>
  <c r="FI33"/>
  <c r="FH33"/>
  <c r="FG33"/>
  <c r="FF33"/>
  <c r="FE33"/>
  <c r="FD33"/>
  <c r="FC33"/>
  <c r="FB33"/>
  <c r="FA33"/>
  <c r="EZ33"/>
  <c r="EY33"/>
  <c r="EX33"/>
  <c r="EW33"/>
  <c r="EV33"/>
  <c r="EU33"/>
  <c r="ET33"/>
  <c r="ES33"/>
  <c r="ER33"/>
  <c r="EQ33"/>
  <c r="EP33"/>
  <c r="EO33"/>
  <c r="EN33"/>
  <c r="EM33"/>
  <c r="EL33"/>
  <c r="EK33"/>
  <c r="EJ33"/>
  <c r="EI33"/>
  <c r="EH33"/>
  <c r="EG33"/>
  <c r="EF33"/>
  <c r="EE33"/>
  <c r="ED33"/>
  <c r="EC33"/>
  <c r="EB33"/>
  <c r="EA33"/>
  <c r="DZ33"/>
  <c r="DY33"/>
  <c r="DX33"/>
  <c r="DW33"/>
  <c r="DV33"/>
  <c r="DU33"/>
  <c r="DT33"/>
  <c r="DS33"/>
  <c r="DR33"/>
  <c r="DQ33"/>
  <c r="DP33"/>
  <c r="DO33"/>
  <c r="DN33"/>
  <c r="DM33"/>
  <c r="DL33"/>
  <c r="DK33"/>
  <c r="DJ33"/>
  <c r="DI33"/>
  <c r="DH33"/>
  <c r="DG33"/>
  <c r="DF33"/>
  <c r="DE33"/>
  <c r="DD33"/>
  <c r="DC33"/>
  <c r="DB33"/>
  <c r="DA33"/>
  <c r="CZ33"/>
  <c r="CY33"/>
  <c r="CX33"/>
  <c r="CW33"/>
  <c r="CV33"/>
  <c r="CU33"/>
  <c r="CT33"/>
  <c r="CS33"/>
  <c r="CR33"/>
  <c r="CQ33"/>
  <c r="CP33"/>
  <c r="CO33"/>
  <c r="CN33"/>
  <c r="CM33"/>
  <c r="CL33"/>
  <c r="CK33"/>
  <c r="CJ33"/>
  <c r="CI33"/>
  <c r="CH33"/>
  <c r="CG33"/>
  <c r="CF33"/>
  <c r="CE33"/>
  <c r="CD33"/>
  <c r="CC33"/>
  <c r="CB33"/>
  <c r="CA33"/>
  <c r="BZ33"/>
  <c r="BY33"/>
  <c r="BX33"/>
  <c r="BW33"/>
  <c r="BV33"/>
  <c r="BU33"/>
  <c r="BT33"/>
  <c r="BS33"/>
  <c r="BR33"/>
  <c r="BQ33"/>
  <c r="BP33"/>
  <c r="BO33"/>
  <c r="BN33"/>
  <c r="BM33"/>
  <c r="BL33"/>
  <c r="BK33"/>
  <c r="BJ33"/>
  <c r="BI33"/>
  <c r="BH33"/>
  <c r="BG33"/>
  <c r="BF33"/>
  <c r="BE33"/>
  <c r="BD33"/>
  <c r="BC33"/>
  <c r="BB33"/>
  <c r="BA33"/>
  <c r="AZ33"/>
  <c r="AY33"/>
  <c r="AX33"/>
  <c r="AW33"/>
  <c r="AV33"/>
  <c r="AU33"/>
  <c r="AT33"/>
  <c r="AS33"/>
  <c r="AR33"/>
  <c r="AQ33"/>
  <c r="AP33"/>
  <c r="AO33"/>
  <c r="AN33"/>
  <c r="AM33"/>
  <c r="AL33"/>
  <c r="AK33"/>
  <c r="AJ33"/>
  <c r="AI33"/>
  <c r="AH33"/>
  <c r="AG33"/>
  <c r="AF33"/>
  <c r="AE33"/>
  <c r="AD33"/>
  <c r="AC33"/>
  <c r="AB33"/>
  <c r="AA33"/>
  <c r="Z33"/>
  <c r="Y33"/>
  <c r="X33"/>
  <c r="W33"/>
  <c r="V33"/>
  <c r="Q33"/>
  <c r="P33"/>
  <c r="K33"/>
  <c r="L33" s="1"/>
  <c r="A33"/>
  <c r="HM32"/>
  <c r="HL32"/>
  <c r="HK32"/>
  <c r="HJ32"/>
  <c r="HI32"/>
  <c r="HH32"/>
  <c r="HG32"/>
  <c r="HF32"/>
  <c r="HE32"/>
  <c r="HD32"/>
  <c r="HC32"/>
  <c r="HB32"/>
  <c r="HA32"/>
  <c r="GZ32"/>
  <c r="GY32"/>
  <c r="GX32"/>
  <c r="GW32"/>
  <c r="GV32"/>
  <c r="GU32"/>
  <c r="GT32"/>
  <c r="GS32"/>
  <c r="GR32"/>
  <c r="GQ32"/>
  <c r="GP32"/>
  <c r="GO32"/>
  <c r="GN32"/>
  <c r="GM32"/>
  <c r="GL32"/>
  <c r="GK32"/>
  <c r="GJ32"/>
  <c r="GI32"/>
  <c r="GH32"/>
  <c r="GG32"/>
  <c r="GF32"/>
  <c r="GE32"/>
  <c r="GD32"/>
  <c r="GC32"/>
  <c r="GB32"/>
  <c r="GA32"/>
  <c r="FZ32"/>
  <c r="FY32"/>
  <c r="FX32"/>
  <c r="FW32"/>
  <c r="FV32"/>
  <c r="FU32"/>
  <c r="FT32"/>
  <c r="FS32"/>
  <c r="FR32"/>
  <c r="FQ32"/>
  <c r="FP32"/>
  <c r="FO32"/>
  <c r="FN32"/>
  <c r="FM32"/>
  <c r="FL32"/>
  <c r="FK32"/>
  <c r="FJ32"/>
  <c r="FI32"/>
  <c r="FH32"/>
  <c r="FG32"/>
  <c r="FF32"/>
  <c r="FE32"/>
  <c r="FD32"/>
  <c r="FC32"/>
  <c r="FB32"/>
  <c r="FA32"/>
  <c r="EZ32"/>
  <c r="EY32"/>
  <c r="EX32"/>
  <c r="EW32"/>
  <c r="EV32"/>
  <c r="EU32"/>
  <c r="ET32"/>
  <c r="ES32"/>
  <c r="ER32"/>
  <c r="EQ32"/>
  <c r="EP32"/>
  <c r="EO32"/>
  <c r="EN32"/>
  <c r="EM32"/>
  <c r="EL32"/>
  <c r="EK32"/>
  <c r="EJ32"/>
  <c r="EI32"/>
  <c r="EH32"/>
  <c r="EG32"/>
  <c r="EF32"/>
  <c r="EE32"/>
  <c r="ED32"/>
  <c r="EC32"/>
  <c r="EB32"/>
  <c r="EA32"/>
  <c r="DZ32"/>
  <c r="DY32"/>
  <c r="DX32"/>
  <c r="DW32"/>
  <c r="DV32"/>
  <c r="DU32"/>
  <c r="DT32"/>
  <c r="DS32"/>
  <c r="DR32"/>
  <c r="DQ32"/>
  <c r="DP32"/>
  <c r="DO32"/>
  <c r="DN32"/>
  <c r="DM32"/>
  <c r="DL32"/>
  <c r="DK32"/>
  <c r="DJ32"/>
  <c r="DI32"/>
  <c r="DH32"/>
  <c r="DG32"/>
  <c r="DF32"/>
  <c r="DE32"/>
  <c r="DD32"/>
  <c r="DC32"/>
  <c r="DB32"/>
  <c r="DA32"/>
  <c r="CZ32"/>
  <c r="CY32"/>
  <c r="CX32"/>
  <c r="CW32"/>
  <c r="CV32"/>
  <c r="CU32"/>
  <c r="CT32"/>
  <c r="CS32"/>
  <c r="CR32"/>
  <c r="CQ32"/>
  <c r="CP32"/>
  <c r="CO32"/>
  <c r="CN32"/>
  <c r="CM32"/>
  <c r="CL32"/>
  <c r="CK32"/>
  <c r="CJ32"/>
  <c r="CI32"/>
  <c r="CH32"/>
  <c r="CG32"/>
  <c r="CF32"/>
  <c r="CE32"/>
  <c r="CD32"/>
  <c r="CC32"/>
  <c r="CB32"/>
  <c r="CA32"/>
  <c r="BZ32"/>
  <c r="BY32"/>
  <c r="BX32"/>
  <c r="BW32"/>
  <c r="BV32"/>
  <c r="BU32"/>
  <c r="BT32"/>
  <c r="BS32"/>
  <c r="BR32"/>
  <c r="BQ32"/>
  <c r="BP32"/>
  <c r="BO32"/>
  <c r="BN32"/>
  <c r="BM32"/>
  <c r="BL32"/>
  <c r="BK32"/>
  <c r="BJ32"/>
  <c r="BI32"/>
  <c r="BH32"/>
  <c r="BG32"/>
  <c r="BF32"/>
  <c r="BE32"/>
  <c r="BD32"/>
  <c r="BC32"/>
  <c r="BB32"/>
  <c r="BA32"/>
  <c r="AZ32"/>
  <c r="AY32"/>
  <c r="AX32"/>
  <c r="AW32"/>
  <c r="AV32"/>
  <c r="AU32"/>
  <c r="AT32"/>
  <c r="AS32"/>
  <c r="AR32"/>
  <c r="AQ32"/>
  <c r="AP32"/>
  <c r="AO32"/>
  <c r="AN32"/>
  <c r="AM32"/>
  <c r="AL32"/>
  <c r="AK32"/>
  <c r="AJ32"/>
  <c r="AI32"/>
  <c r="AH32"/>
  <c r="AG32"/>
  <c r="AF32"/>
  <c r="AE32"/>
  <c r="AD32"/>
  <c r="AC32"/>
  <c r="AB32"/>
  <c r="AA32"/>
  <c r="Z32"/>
  <c r="Y32"/>
  <c r="X32"/>
  <c r="W32"/>
  <c r="V32"/>
  <c r="Q32"/>
  <c r="P32"/>
  <c r="K32"/>
  <c r="L32" s="1"/>
  <c r="A32"/>
  <c r="HM31"/>
  <c r="HL31"/>
  <c r="HK31"/>
  <c r="HJ31"/>
  <c r="HI31"/>
  <c r="HH31"/>
  <c r="HG31"/>
  <c r="HF31"/>
  <c r="HE31"/>
  <c r="HD31"/>
  <c r="HC31"/>
  <c r="HB31"/>
  <c r="HA31"/>
  <c r="GZ31"/>
  <c r="GY31"/>
  <c r="GX31"/>
  <c r="GW31"/>
  <c r="GV31"/>
  <c r="GU31"/>
  <c r="GT31"/>
  <c r="GS31"/>
  <c r="GR31"/>
  <c r="GQ31"/>
  <c r="GP31"/>
  <c r="GO31"/>
  <c r="GN31"/>
  <c r="GM31"/>
  <c r="GL31"/>
  <c r="GK31"/>
  <c r="GJ31"/>
  <c r="GI31"/>
  <c r="GH31"/>
  <c r="GG31"/>
  <c r="GF31"/>
  <c r="GE31"/>
  <c r="GD31"/>
  <c r="GC31"/>
  <c r="GB31"/>
  <c r="GA31"/>
  <c r="FZ31"/>
  <c r="FY31"/>
  <c r="FX31"/>
  <c r="FW31"/>
  <c r="FV31"/>
  <c r="FU31"/>
  <c r="FT31"/>
  <c r="FS31"/>
  <c r="FR31"/>
  <c r="FQ31"/>
  <c r="FP31"/>
  <c r="FO31"/>
  <c r="FN31"/>
  <c r="FM31"/>
  <c r="FL31"/>
  <c r="FK31"/>
  <c r="FJ31"/>
  <c r="FI31"/>
  <c r="FH31"/>
  <c r="FG31"/>
  <c r="FF31"/>
  <c r="FE31"/>
  <c r="FD31"/>
  <c r="FC31"/>
  <c r="FB31"/>
  <c r="FA31"/>
  <c r="EZ31"/>
  <c r="EY31"/>
  <c r="EX31"/>
  <c r="EW31"/>
  <c r="EV31"/>
  <c r="EU31"/>
  <c r="ET31"/>
  <c r="ES31"/>
  <c r="ER31"/>
  <c r="EQ31"/>
  <c r="EP31"/>
  <c r="EO31"/>
  <c r="EN31"/>
  <c r="EM31"/>
  <c r="EL31"/>
  <c r="EK31"/>
  <c r="EJ31"/>
  <c r="EI31"/>
  <c r="EH31"/>
  <c r="EG31"/>
  <c r="EF31"/>
  <c r="EE31"/>
  <c r="ED31"/>
  <c r="EC31"/>
  <c r="EB31"/>
  <c r="EA31"/>
  <c r="DZ31"/>
  <c r="DY31"/>
  <c r="DX31"/>
  <c r="DW31"/>
  <c r="DV31"/>
  <c r="DU31"/>
  <c r="DT31"/>
  <c r="DS31"/>
  <c r="DR31"/>
  <c r="DQ31"/>
  <c r="DP31"/>
  <c r="DO31"/>
  <c r="DN31"/>
  <c r="DM31"/>
  <c r="DL31"/>
  <c r="DK31"/>
  <c r="DJ31"/>
  <c r="DI31"/>
  <c r="DH31"/>
  <c r="DG31"/>
  <c r="DF31"/>
  <c r="DE31"/>
  <c r="DD31"/>
  <c r="DC31"/>
  <c r="DB31"/>
  <c r="DA31"/>
  <c r="CZ31"/>
  <c r="CY31"/>
  <c r="CX31"/>
  <c r="CW31"/>
  <c r="CV31"/>
  <c r="CU31"/>
  <c r="CT31"/>
  <c r="CS31"/>
  <c r="CR31"/>
  <c r="CQ31"/>
  <c r="CP31"/>
  <c r="CO31"/>
  <c r="CN31"/>
  <c r="CM31"/>
  <c r="CL31"/>
  <c r="CK31"/>
  <c r="CJ31"/>
  <c r="CI31"/>
  <c r="CH31"/>
  <c r="CG31"/>
  <c r="CF31"/>
  <c r="CE31"/>
  <c r="CD31"/>
  <c r="CC31"/>
  <c r="CB31"/>
  <c r="CA31"/>
  <c r="BZ31"/>
  <c r="BY31"/>
  <c r="BX31"/>
  <c r="BW31"/>
  <c r="BV31"/>
  <c r="BU31"/>
  <c r="BT31"/>
  <c r="BS31"/>
  <c r="BR31"/>
  <c r="BQ31"/>
  <c r="BP31"/>
  <c r="BO31"/>
  <c r="BN31"/>
  <c r="BM31"/>
  <c r="BL31"/>
  <c r="BK31"/>
  <c r="BJ31"/>
  <c r="BI31"/>
  <c r="BH31"/>
  <c r="BG31"/>
  <c r="BF31"/>
  <c r="BE31"/>
  <c r="BD31"/>
  <c r="BC31"/>
  <c r="BB31"/>
  <c r="BA31"/>
  <c r="AZ31"/>
  <c r="AY31"/>
  <c r="AX31"/>
  <c r="AW31"/>
  <c r="AV31"/>
  <c r="AU31"/>
  <c r="AT31"/>
  <c r="AS31"/>
  <c r="AR31"/>
  <c r="AQ31"/>
  <c r="AP31"/>
  <c r="AO31"/>
  <c r="AN31"/>
  <c r="AM31"/>
  <c r="AL31"/>
  <c r="AK31"/>
  <c r="AJ31"/>
  <c r="AI31"/>
  <c r="AH31"/>
  <c r="AG31"/>
  <c r="AF31"/>
  <c r="AE31"/>
  <c r="AD31"/>
  <c r="AC31"/>
  <c r="AB31"/>
  <c r="AA31"/>
  <c r="Z31"/>
  <c r="Y31"/>
  <c r="X31"/>
  <c r="W31"/>
  <c r="V31"/>
  <c r="Q31"/>
  <c r="P31"/>
  <c r="K31"/>
  <c r="L31" s="1"/>
  <c r="A31"/>
  <c r="HM30"/>
  <c r="HL30"/>
  <c r="HK30"/>
  <c r="HJ30"/>
  <c r="HI30"/>
  <c r="HH30"/>
  <c r="HG30"/>
  <c r="HF30"/>
  <c r="HE30"/>
  <c r="HD30"/>
  <c r="HC30"/>
  <c r="HB30"/>
  <c r="HA30"/>
  <c r="GZ30"/>
  <c r="GY30"/>
  <c r="GX30"/>
  <c r="GW30"/>
  <c r="GV30"/>
  <c r="GU30"/>
  <c r="GT30"/>
  <c r="GS30"/>
  <c r="GR30"/>
  <c r="GQ30"/>
  <c r="GP30"/>
  <c r="GO30"/>
  <c r="GN30"/>
  <c r="GM30"/>
  <c r="GL30"/>
  <c r="GK30"/>
  <c r="GJ30"/>
  <c r="GI30"/>
  <c r="GH30"/>
  <c r="GG30"/>
  <c r="GF30"/>
  <c r="GE30"/>
  <c r="GD30"/>
  <c r="GC30"/>
  <c r="GB30"/>
  <c r="GA30"/>
  <c r="FZ30"/>
  <c r="FY30"/>
  <c r="FX30"/>
  <c r="FW30"/>
  <c r="FV30"/>
  <c r="FU30"/>
  <c r="FT30"/>
  <c r="FS30"/>
  <c r="FR30"/>
  <c r="FQ30"/>
  <c r="FP30"/>
  <c r="FO30"/>
  <c r="FN30"/>
  <c r="FM30"/>
  <c r="FL30"/>
  <c r="FK30"/>
  <c r="FJ30"/>
  <c r="FI30"/>
  <c r="FH30"/>
  <c r="FG30"/>
  <c r="FF30"/>
  <c r="FE30"/>
  <c r="FD30"/>
  <c r="FC30"/>
  <c r="FB30"/>
  <c r="FA30"/>
  <c r="EZ30"/>
  <c r="EY30"/>
  <c r="EX30"/>
  <c r="EW30"/>
  <c r="EV30"/>
  <c r="EU30"/>
  <c r="ET30"/>
  <c r="ES30"/>
  <c r="ER30"/>
  <c r="EQ30"/>
  <c r="EP30"/>
  <c r="EO30"/>
  <c r="EN30"/>
  <c r="EM30"/>
  <c r="EL30"/>
  <c r="EK30"/>
  <c r="EJ30"/>
  <c r="EI30"/>
  <c r="EH30"/>
  <c r="EG30"/>
  <c r="EF30"/>
  <c r="EE30"/>
  <c r="ED30"/>
  <c r="EC30"/>
  <c r="EB30"/>
  <c r="EA30"/>
  <c r="DZ30"/>
  <c r="DY30"/>
  <c r="DX30"/>
  <c r="DW30"/>
  <c r="DV30"/>
  <c r="DU30"/>
  <c r="DT30"/>
  <c r="DS30"/>
  <c r="DR30"/>
  <c r="DQ30"/>
  <c r="DP30"/>
  <c r="DO30"/>
  <c r="DN30"/>
  <c r="DM30"/>
  <c r="DL30"/>
  <c r="DK30"/>
  <c r="DJ30"/>
  <c r="DI30"/>
  <c r="DH30"/>
  <c r="DG30"/>
  <c r="DF30"/>
  <c r="DE30"/>
  <c r="DD30"/>
  <c r="DC30"/>
  <c r="DB30"/>
  <c r="DA30"/>
  <c r="CZ30"/>
  <c r="CY30"/>
  <c r="CX30"/>
  <c r="CW30"/>
  <c r="CV30"/>
  <c r="CU30"/>
  <c r="CT30"/>
  <c r="CS30"/>
  <c r="CR30"/>
  <c r="CQ30"/>
  <c r="CP30"/>
  <c r="CO30"/>
  <c r="CN30"/>
  <c r="CM30"/>
  <c r="CL30"/>
  <c r="CK30"/>
  <c r="CJ30"/>
  <c r="CI30"/>
  <c r="CH30"/>
  <c r="CG30"/>
  <c r="CF30"/>
  <c r="CE30"/>
  <c r="CD30"/>
  <c r="CC30"/>
  <c r="CB30"/>
  <c r="CA30"/>
  <c r="BZ30"/>
  <c r="BY30"/>
  <c r="BX30"/>
  <c r="BW30"/>
  <c r="BV30"/>
  <c r="BU30"/>
  <c r="BT30"/>
  <c r="BS30"/>
  <c r="BR30"/>
  <c r="BQ30"/>
  <c r="BP30"/>
  <c r="BO30"/>
  <c r="BN30"/>
  <c r="BM30"/>
  <c r="BL30"/>
  <c r="BK30"/>
  <c r="BJ30"/>
  <c r="BI30"/>
  <c r="BH30"/>
  <c r="BG30"/>
  <c r="BF30"/>
  <c r="BE30"/>
  <c r="BD30"/>
  <c r="BC30"/>
  <c r="BB30"/>
  <c r="BA30"/>
  <c r="AZ30"/>
  <c r="AY30"/>
  <c r="AX30"/>
  <c r="AW30"/>
  <c r="AV30"/>
  <c r="AU30"/>
  <c r="AT30"/>
  <c r="AS30"/>
  <c r="AR30"/>
  <c r="AQ30"/>
  <c r="AP30"/>
  <c r="AO30"/>
  <c r="AN30"/>
  <c r="AM30"/>
  <c r="AL30"/>
  <c r="AK30"/>
  <c r="AJ30"/>
  <c r="AI30"/>
  <c r="AH30"/>
  <c r="AG30"/>
  <c r="AF30"/>
  <c r="AE30"/>
  <c r="AD30"/>
  <c r="AC30"/>
  <c r="AB30"/>
  <c r="AA30"/>
  <c r="Z30"/>
  <c r="Y30"/>
  <c r="X30"/>
  <c r="W30"/>
  <c r="V30"/>
  <c r="Q30"/>
  <c r="P30"/>
  <c r="K30"/>
  <c r="L30" s="1"/>
  <c r="A30"/>
  <c r="HM29"/>
  <c r="HL29"/>
  <c r="HK29"/>
  <c r="HJ29"/>
  <c r="HI29"/>
  <c r="HH29"/>
  <c r="HG29"/>
  <c r="HF29"/>
  <c r="HE29"/>
  <c r="HD29"/>
  <c r="HC29"/>
  <c r="HB29"/>
  <c r="HA29"/>
  <c r="GZ29"/>
  <c r="GY29"/>
  <c r="GX29"/>
  <c r="GW29"/>
  <c r="GV29"/>
  <c r="GU29"/>
  <c r="GT29"/>
  <c r="GS29"/>
  <c r="GR29"/>
  <c r="GQ29"/>
  <c r="GP29"/>
  <c r="GO29"/>
  <c r="GN29"/>
  <c r="GM29"/>
  <c r="GL29"/>
  <c r="GK29"/>
  <c r="GJ29"/>
  <c r="GI29"/>
  <c r="GH29"/>
  <c r="GG29"/>
  <c r="GF29"/>
  <c r="GE29"/>
  <c r="GD29"/>
  <c r="GC29"/>
  <c r="GB29"/>
  <c r="GA29"/>
  <c r="FZ29"/>
  <c r="FY29"/>
  <c r="FX29"/>
  <c r="FW29"/>
  <c r="FV29"/>
  <c r="FU29"/>
  <c r="FT29"/>
  <c r="FS29"/>
  <c r="FR29"/>
  <c r="FQ29"/>
  <c r="FP29"/>
  <c r="FO29"/>
  <c r="FN29"/>
  <c r="FM29"/>
  <c r="FL29"/>
  <c r="FK29"/>
  <c r="FJ29"/>
  <c r="FI29"/>
  <c r="FH29"/>
  <c r="FG29"/>
  <c r="FF29"/>
  <c r="FE29"/>
  <c r="FD29"/>
  <c r="FC29"/>
  <c r="FB29"/>
  <c r="FA29"/>
  <c r="EZ29"/>
  <c r="EY29"/>
  <c r="EX29"/>
  <c r="EW29"/>
  <c r="EV29"/>
  <c r="EU29"/>
  <c r="ET29"/>
  <c r="ES29"/>
  <c r="ER29"/>
  <c r="EQ29"/>
  <c r="EP29"/>
  <c r="EO29"/>
  <c r="EN29"/>
  <c r="EM29"/>
  <c r="EL29"/>
  <c r="EK29"/>
  <c r="EJ29"/>
  <c r="EI29"/>
  <c r="EH29"/>
  <c r="EG29"/>
  <c r="EF29"/>
  <c r="EE29"/>
  <c r="ED29"/>
  <c r="EC29"/>
  <c r="EB29"/>
  <c r="EA29"/>
  <c r="DZ29"/>
  <c r="DY29"/>
  <c r="DX29"/>
  <c r="DW29"/>
  <c r="DV29"/>
  <c r="DU29"/>
  <c r="DT29"/>
  <c r="DS29"/>
  <c r="DR29"/>
  <c r="DQ29"/>
  <c r="DP29"/>
  <c r="DO29"/>
  <c r="DN29"/>
  <c r="DM29"/>
  <c r="DL29"/>
  <c r="DK29"/>
  <c r="DJ29"/>
  <c r="DI29"/>
  <c r="DH29"/>
  <c r="DG29"/>
  <c r="DF29"/>
  <c r="DE29"/>
  <c r="DD29"/>
  <c r="DC29"/>
  <c r="DB29"/>
  <c r="DA29"/>
  <c r="CZ29"/>
  <c r="CY29"/>
  <c r="CX29"/>
  <c r="CW29"/>
  <c r="CV29"/>
  <c r="CU29"/>
  <c r="CT29"/>
  <c r="CS29"/>
  <c r="CR29"/>
  <c r="CQ29"/>
  <c r="CP29"/>
  <c r="CO29"/>
  <c r="CN29"/>
  <c r="CM29"/>
  <c r="CL29"/>
  <c r="CK29"/>
  <c r="CJ29"/>
  <c r="CI29"/>
  <c r="CH29"/>
  <c r="CG29"/>
  <c r="CF29"/>
  <c r="CE29"/>
  <c r="CD29"/>
  <c r="CC29"/>
  <c r="CB29"/>
  <c r="CA29"/>
  <c r="BZ29"/>
  <c r="BY29"/>
  <c r="BX29"/>
  <c r="BW29"/>
  <c r="BV29"/>
  <c r="BU29"/>
  <c r="BT29"/>
  <c r="BS29"/>
  <c r="BR29"/>
  <c r="BQ29"/>
  <c r="BP29"/>
  <c r="BO29"/>
  <c r="BN29"/>
  <c r="BM29"/>
  <c r="BL29"/>
  <c r="BK29"/>
  <c r="BJ29"/>
  <c r="BI29"/>
  <c r="BH29"/>
  <c r="BG29"/>
  <c r="BF29"/>
  <c r="BE29"/>
  <c r="BD29"/>
  <c r="BC29"/>
  <c r="BB29"/>
  <c r="BA29"/>
  <c r="AZ29"/>
  <c r="AY29"/>
  <c r="AX29"/>
  <c r="AW29"/>
  <c r="AV29"/>
  <c r="AU29"/>
  <c r="AT29"/>
  <c r="AS29"/>
  <c r="AR29"/>
  <c r="AQ29"/>
  <c r="AP29"/>
  <c r="AO29"/>
  <c r="AN29"/>
  <c r="AM29"/>
  <c r="AL29"/>
  <c r="AK29"/>
  <c r="AJ29"/>
  <c r="AI29"/>
  <c r="AH29"/>
  <c r="AG29"/>
  <c r="AF29"/>
  <c r="AE29"/>
  <c r="AD29"/>
  <c r="AC29"/>
  <c r="AB29"/>
  <c r="AA29"/>
  <c r="Z29"/>
  <c r="Y29"/>
  <c r="X29"/>
  <c r="W29"/>
  <c r="V29"/>
  <c r="Q29"/>
  <c r="P29"/>
  <c r="L29"/>
  <c r="K29"/>
  <c r="A29"/>
  <c r="HM28"/>
  <c r="HL28"/>
  <c r="HK28"/>
  <c r="HJ28"/>
  <c r="HI28"/>
  <c r="HH28"/>
  <c r="HG28"/>
  <c r="HF28"/>
  <c r="HE28"/>
  <c r="HD28"/>
  <c r="HC28"/>
  <c r="HB28"/>
  <c r="HA28"/>
  <c r="GZ28"/>
  <c r="GY28"/>
  <c r="GX28"/>
  <c r="GW28"/>
  <c r="GV28"/>
  <c r="GU28"/>
  <c r="GT28"/>
  <c r="GS28"/>
  <c r="GR28"/>
  <c r="GQ28"/>
  <c r="GP28"/>
  <c r="GO28"/>
  <c r="GN28"/>
  <c r="GM28"/>
  <c r="GL28"/>
  <c r="GK28"/>
  <c r="GJ28"/>
  <c r="GI28"/>
  <c r="GH28"/>
  <c r="GG28"/>
  <c r="GF28"/>
  <c r="GE28"/>
  <c r="GD28"/>
  <c r="GC28"/>
  <c r="GB28"/>
  <c r="GA28"/>
  <c r="FZ28"/>
  <c r="FY28"/>
  <c r="FX28"/>
  <c r="FW28"/>
  <c r="FV28"/>
  <c r="FU28"/>
  <c r="FT28"/>
  <c r="FS28"/>
  <c r="FR28"/>
  <c r="FQ28"/>
  <c r="FP28"/>
  <c r="FO28"/>
  <c r="FN28"/>
  <c r="FM28"/>
  <c r="FL28"/>
  <c r="FK28"/>
  <c r="FJ28"/>
  <c r="FI28"/>
  <c r="FH28"/>
  <c r="FG28"/>
  <c r="FF28"/>
  <c r="FE28"/>
  <c r="FD28"/>
  <c r="FC28"/>
  <c r="FB28"/>
  <c r="FA28"/>
  <c r="EZ28"/>
  <c r="EY28"/>
  <c r="EX28"/>
  <c r="EW28"/>
  <c r="EV28"/>
  <c r="EU28"/>
  <c r="ET28"/>
  <c r="ES28"/>
  <c r="ER28"/>
  <c r="EQ28"/>
  <c r="EP28"/>
  <c r="EO28"/>
  <c r="EN28"/>
  <c r="EM28"/>
  <c r="EL28"/>
  <c r="EK28"/>
  <c r="EJ28"/>
  <c r="EI28"/>
  <c r="EH28"/>
  <c r="EG28"/>
  <c r="EF28"/>
  <c r="EE28"/>
  <c r="ED28"/>
  <c r="EC28"/>
  <c r="EB28"/>
  <c r="EA28"/>
  <c r="DZ28"/>
  <c r="DY28"/>
  <c r="DX28"/>
  <c r="DW28"/>
  <c r="DV28"/>
  <c r="DU28"/>
  <c r="DT28"/>
  <c r="DS28"/>
  <c r="DR28"/>
  <c r="DQ28"/>
  <c r="DP28"/>
  <c r="DO28"/>
  <c r="DN28"/>
  <c r="DM28"/>
  <c r="DL28"/>
  <c r="DK28"/>
  <c r="DJ28"/>
  <c r="DI28"/>
  <c r="DH28"/>
  <c r="DG28"/>
  <c r="DF28"/>
  <c r="DE28"/>
  <c r="DD28"/>
  <c r="DC28"/>
  <c r="DB28"/>
  <c r="DA28"/>
  <c r="CZ28"/>
  <c r="CY28"/>
  <c r="CX28"/>
  <c r="CW28"/>
  <c r="CV28"/>
  <c r="CU28"/>
  <c r="CT28"/>
  <c r="CS28"/>
  <c r="CR28"/>
  <c r="CQ28"/>
  <c r="CP28"/>
  <c r="CO28"/>
  <c r="CN28"/>
  <c r="CM28"/>
  <c r="CL28"/>
  <c r="CK28"/>
  <c r="CJ28"/>
  <c r="CI28"/>
  <c r="CH28"/>
  <c r="CG28"/>
  <c r="CF28"/>
  <c r="CE28"/>
  <c r="CD28"/>
  <c r="CC28"/>
  <c r="CB28"/>
  <c r="CA28"/>
  <c r="BZ28"/>
  <c r="BY28"/>
  <c r="BX28"/>
  <c r="BW28"/>
  <c r="BV28"/>
  <c r="BU28"/>
  <c r="BT28"/>
  <c r="BS28"/>
  <c r="BR28"/>
  <c r="BQ28"/>
  <c r="BP28"/>
  <c r="BO28"/>
  <c r="BN28"/>
  <c r="BM28"/>
  <c r="BL28"/>
  <c r="BK28"/>
  <c r="BJ28"/>
  <c r="BI28"/>
  <c r="BH28"/>
  <c r="BG28"/>
  <c r="BF28"/>
  <c r="BE28"/>
  <c r="BD28"/>
  <c r="BC28"/>
  <c r="BB28"/>
  <c r="BA28"/>
  <c r="AZ28"/>
  <c r="AY28"/>
  <c r="AX28"/>
  <c r="AW28"/>
  <c r="AV28"/>
  <c r="AU28"/>
  <c r="AT28"/>
  <c r="AS28"/>
  <c r="AR28"/>
  <c r="AQ28"/>
  <c r="AP28"/>
  <c r="AO28"/>
  <c r="AN28"/>
  <c r="AM28"/>
  <c r="AL28"/>
  <c r="AK28"/>
  <c r="AJ28"/>
  <c r="AI28"/>
  <c r="AH28"/>
  <c r="AG28"/>
  <c r="AF28"/>
  <c r="AE28"/>
  <c r="AD28"/>
  <c r="AC28"/>
  <c r="AB28"/>
  <c r="AA28"/>
  <c r="Z28"/>
  <c r="Y28"/>
  <c r="X28"/>
  <c r="W28"/>
  <c r="V28"/>
  <c r="Q28"/>
  <c r="P28"/>
  <c r="K28"/>
  <c r="L28" s="1"/>
  <c r="A28"/>
  <c r="HM27"/>
  <c r="HL27"/>
  <c r="HK27"/>
  <c r="HJ27"/>
  <c r="HI27"/>
  <c r="HH27"/>
  <c r="HG27"/>
  <c r="HF27"/>
  <c r="HE27"/>
  <c r="HD27"/>
  <c r="HC27"/>
  <c r="HB27"/>
  <c r="HA27"/>
  <c r="GZ27"/>
  <c r="GY27"/>
  <c r="GX27"/>
  <c r="GW27"/>
  <c r="GV27"/>
  <c r="GU27"/>
  <c r="GT27"/>
  <c r="GS27"/>
  <c r="GR27"/>
  <c r="GQ27"/>
  <c r="GP27"/>
  <c r="GO27"/>
  <c r="GN27"/>
  <c r="GM27"/>
  <c r="GL27"/>
  <c r="GK27"/>
  <c r="GJ27"/>
  <c r="GI27"/>
  <c r="GH27"/>
  <c r="GG27"/>
  <c r="GF27"/>
  <c r="GE27"/>
  <c r="GD27"/>
  <c r="GC27"/>
  <c r="GB27"/>
  <c r="GA27"/>
  <c r="FZ27"/>
  <c r="FY27"/>
  <c r="FX27"/>
  <c r="FW27"/>
  <c r="FV27"/>
  <c r="FU27"/>
  <c r="FT27"/>
  <c r="FS27"/>
  <c r="FR27"/>
  <c r="FQ27"/>
  <c r="FP27"/>
  <c r="FO27"/>
  <c r="FN27"/>
  <c r="FM27"/>
  <c r="FL27"/>
  <c r="FK27"/>
  <c r="FJ27"/>
  <c r="FI27"/>
  <c r="FH27"/>
  <c r="FG27"/>
  <c r="FF27"/>
  <c r="FE27"/>
  <c r="FD27"/>
  <c r="FC27"/>
  <c r="FB27"/>
  <c r="FA27"/>
  <c r="EZ27"/>
  <c r="EY27"/>
  <c r="EX27"/>
  <c r="EW27"/>
  <c r="EV27"/>
  <c r="EU27"/>
  <c r="ET27"/>
  <c r="ES27"/>
  <c r="ER27"/>
  <c r="EQ27"/>
  <c r="EP27"/>
  <c r="EO27"/>
  <c r="EN27"/>
  <c r="EM27"/>
  <c r="EL27"/>
  <c r="EK27"/>
  <c r="EJ27"/>
  <c r="EI27"/>
  <c r="EH27"/>
  <c r="EG27"/>
  <c r="EF27"/>
  <c r="EE27"/>
  <c r="ED27"/>
  <c r="EC27"/>
  <c r="EB27"/>
  <c r="EA27"/>
  <c r="DZ27"/>
  <c r="DY27"/>
  <c r="DX27"/>
  <c r="DW27"/>
  <c r="DV27"/>
  <c r="DU27"/>
  <c r="DT27"/>
  <c r="DS27"/>
  <c r="DR27"/>
  <c r="DQ27"/>
  <c r="DP27"/>
  <c r="DO27"/>
  <c r="DN27"/>
  <c r="DM27"/>
  <c r="DL27"/>
  <c r="DK27"/>
  <c r="DJ27"/>
  <c r="DI27"/>
  <c r="DH27"/>
  <c r="DG27"/>
  <c r="DF27"/>
  <c r="DE27"/>
  <c r="DD27"/>
  <c r="DC27"/>
  <c r="DB27"/>
  <c r="DA27"/>
  <c r="CZ27"/>
  <c r="CY27"/>
  <c r="CX27"/>
  <c r="CW27"/>
  <c r="CV27"/>
  <c r="CU27"/>
  <c r="CT27"/>
  <c r="CS27"/>
  <c r="CR27"/>
  <c r="CQ27"/>
  <c r="CP27"/>
  <c r="CO27"/>
  <c r="CN27"/>
  <c r="CM27"/>
  <c r="CL27"/>
  <c r="CK27"/>
  <c r="CJ27"/>
  <c r="CI27"/>
  <c r="CH27"/>
  <c r="CG27"/>
  <c r="CF27"/>
  <c r="CE27"/>
  <c r="CD27"/>
  <c r="CC27"/>
  <c r="CB27"/>
  <c r="CA27"/>
  <c r="BZ27"/>
  <c r="BY27"/>
  <c r="BX27"/>
  <c r="BW27"/>
  <c r="BV27"/>
  <c r="BU27"/>
  <c r="BT27"/>
  <c r="BS27"/>
  <c r="BR27"/>
  <c r="BQ27"/>
  <c r="BP27"/>
  <c r="BO27"/>
  <c r="BN27"/>
  <c r="BM27"/>
  <c r="BL27"/>
  <c r="BK27"/>
  <c r="BJ27"/>
  <c r="BI27"/>
  <c r="BH27"/>
  <c r="BG27"/>
  <c r="BF27"/>
  <c r="BE27"/>
  <c r="BD27"/>
  <c r="BC27"/>
  <c r="BB27"/>
  <c r="BA27"/>
  <c r="AZ27"/>
  <c r="AY27"/>
  <c r="AX27"/>
  <c r="AW27"/>
  <c r="AV27"/>
  <c r="AU27"/>
  <c r="AT27"/>
  <c r="AS27"/>
  <c r="AR27"/>
  <c r="AQ27"/>
  <c r="AP27"/>
  <c r="AO27"/>
  <c r="AN27"/>
  <c r="AM27"/>
  <c r="AL27"/>
  <c r="AK27"/>
  <c r="AJ27"/>
  <c r="AI27"/>
  <c r="AH27"/>
  <c r="AG27"/>
  <c r="AF27"/>
  <c r="AE27"/>
  <c r="AD27"/>
  <c r="AC27"/>
  <c r="AB27"/>
  <c r="AA27"/>
  <c r="Z27"/>
  <c r="Y27"/>
  <c r="X27"/>
  <c r="W27"/>
  <c r="V27"/>
  <c r="Q27"/>
  <c r="P27"/>
  <c r="K27"/>
  <c r="L27" s="1"/>
  <c r="A27"/>
  <c r="HM26"/>
  <c r="HL26"/>
  <c r="HK26"/>
  <c r="HJ26"/>
  <c r="HI26"/>
  <c r="HH26"/>
  <c r="HG26"/>
  <c r="HF26"/>
  <c r="HE26"/>
  <c r="HD26"/>
  <c r="HC26"/>
  <c r="HB26"/>
  <c r="HA26"/>
  <c r="GZ26"/>
  <c r="GY26"/>
  <c r="GX26"/>
  <c r="GW26"/>
  <c r="GV26"/>
  <c r="GU26"/>
  <c r="GT26"/>
  <c r="GS26"/>
  <c r="GR26"/>
  <c r="GQ26"/>
  <c r="GP26"/>
  <c r="GO26"/>
  <c r="GN26"/>
  <c r="GM26"/>
  <c r="GL26"/>
  <c r="GK26"/>
  <c r="GJ26"/>
  <c r="GI26"/>
  <c r="GH26"/>
  <c r="GG26"/>
  <c r="GF26"/>
  <c r="GE26"/>
  <c r="GD26"/>
  <c r="GC26"/>
  <c r="GB26"/>
  <c r="GA26"/>
  <c r="FZ26"/>
  <c r="FY26"/>
  <c r="FX26"/>
  <c r="FW26"/>
  <c r="FV26"/>
  <c r="FU26"/>
  <c r="FT26"/>
  <c r="FS26"/>
  <c r="FR26"/>
  <c r="FQ26"/>
  <c r="FP26"/>
  <c r="FO26"/>
  <c r="FN26"/>
  <c r="FM26"/>
  <c r="FL26"/>
  <c r="FK26"/>
  <c r="FJ26"/>
  <c r="FI26"/>
  <c r="FH26"/>
  <c r="FG26"/>
  <c r="FF26"/>
  <c r="FE26"/>
  <c r="FD26"/>
  <c r="FC26"/>
  <c r="FB26"/>
  <c r="FA26"/>
  <c r="EZ26"/>
  <c r="EY26"/>
  <c r="EX26"/>
  <c r="EW26"/>
  <c r="EV26"/>
  <c r="EU26"/>
  <c r="ET26"/>
  <c r="ES26"/>
  <c r="ER26"/>
  <c r="EQ26"/>
  <c r="EP26"/>
  <c r="EO26"/>
  <c r="EN26"/>
  <c r="EM26"/>
  <c r="EL26"/>
  <c r="EK26"/>
  <c r="EJ26"/>
  <c r="EI26"/>
  <c r="EH26"/>
  <c r="EG26"/>
  <c r="EF26"/>
  <c r="EE26"/>
  <c r="ED26"/>
  <c r="EC26"/>
  <c r="EB26"/>
  <c r="EA26"/>
  <c r="DZ26"/>
  <c r="DY26"/>
  <c r="DX26"/>
  <c r="DW26"/>
  <c r="DV26"/>
  <c r="DU26"/>
  <c r="DT26"/>
  <c r="DS26"/>
  <c r="DR26"/>
  <c r="DQ26"/>
  <c r="DP26"/>
  <c r="DO26"/>
  <c r="DN26"/>
  <c r="DM26"/>
  <c r="DL26"/>
  <c r="DK26"/>
  <c r="DJ26"/>
  <c r="DI26"/>
  <c r="DH26"/>
  <c r="DG26"/>
  <c r="DF26"/>
  <c r="DE26"/>
  <c r="DD26"/>
  <c r="DC26"/>
  <c r="DB26"/>
  <c r="DA26"/>
  <c r="CZ26"/>
  <c r="CY26"/>
  <c r="CX26"/>
  <c r="CW26"/>
  <c r="CV26"/>
  <c r="CU26"/>
  <c r="CT26"/>
  <c r="CS26"/>
  <c r="CR26"/>
  <c r="CQ26"/>
  <c r="CP26"/>
  <c r="CO26"/>
  <c r="CN26"/>
  <c r="CM26"/>
  <c r="CL26"/>
  <c r="CK26"/>
  <c r="CJ26"/>
  <c r="CI26"/>
  <c r="CH26"/>
  <c r="CG26"/>
  <c r="CF26"/>
  <c r="CE26"/>
  <c r="CD26"/>
  <c r="CC26"/>
  <c r="CB26"/>
  <c r="CA26"/>
  <c r="BZ26"/>
  <c r="BY26"/>
  <c r="BX26"/>
  <c r="BW26"/>
  <c r="BV26"/>
  <c r="BU26"/>
  <c r="BT26"/>
  <c r="BS26"/>
  <c r="BR26"/>
  <c r="BQ26"/>
  <c r="BP26"/>
  <c r="BO26"/>
  <c r="BN26"/>
  <c r="BM26"/>
  <c r="BL26"/>
  <c r="BK26"/>
  <c r="BJ26"/>
  <c r="BI26"/>
  <c r="BH26"/>
  <c r="BG26"/>
  <c r="BF26"/>
  <c r="BE26"/>
  <c r="BD26"/>
  <c r="BC26"/>
  <c r="BB26"/>
  <c r="BA26"/>
  <c r="AZ26"/>
  <c r="AY26"/>
  <c r="AX26"/>
  <c r="AW26"/>
  <c r="AV26"/>
  <c r="AU26"/>
  <c r="AT26"/>
  <c r="AS26"/>
  <c r="AR26"/>
  <c r="AQ26"/>
  <c r="AP26"/>
  <c r="AO26"/>
  <c r="AN26"/>
  <c r="AM26"/>
  <c r="AL26"/>
  <c r="AK26"/>
  <c r="AJ26"/>
  <c r="AI26"/>
  <c r="AH26"/>
  <c r="AG26"/>
  <c r="AF26"/>
  <c r="AE26"/>
  <c r="AD26"/>
  <c r="AC26"/>
  <c r="AB26"/>
  <c r="AA26"/>
  <c r="Z26"/>
  <c r="Y26"/>
  <c r="X26"/>
  <c r="W26"/>
  <c r="V26"/>
  <c r="Q26"/>
  <c r="P26"/>
  <c r="K26"/>
  <c r="L26" s="1"/>
  <c r="A26"/>
  <c r="HM25"/>
  <c r="HL25"/>
  <c r="HK25"/>
  <c r="HJ25"/>
  <c r="HI25"/>
  <c r="HH25"/>
  <c r="HG25"/>
  <c r="HF25"/>
  <c r="HE25"/>
  <c r="HD25"/>
  <c r="HC25"/>
  <c r="HB25"/>
  <c r="HA25"/>
  <c r="GZ25"/>
  <c r="GY25"/>
  <c r="GX25"/>
  <c r="GW25"/>
  <c r="GV25"/>
  <c r="GU25"/>
  <c r="GT25"/>
  <c r="GS25"/>
  <c r="GR25"/>
  <c r="GQ25"/>
  <c r="GP25"/>
  <c r="GO25"/>
  <c r="GN25"/>
  <c r="GM25"/>
  <c r="GL25"/>
  <c r="GK25"/>
  <c r="GJ25"/>
  <c r="GI25"/>
  <c r="GH25"/>
  <c r="GG25"/>
  <c r="GF25"/>
  <c r="GE25"/>
  <c r="GD25"/>
  <c r="GC25"/>
  <c r="GB25"/>
  <c r="GA25"/>
  <c r="FZ25"/>
  <c r="FY25"/>
  <c r="FX25"/>
  <c r="FW25"/>
  <c r="FV25"/>
  <c r="FU25"/>
  <c r="FT25"/>
  <c r="FS25"/>
  <c r="FR25"/>
  <c r="FQ25"/>
  <c r="FP25"/>
  <c r="FO25"/>
  <c r="FN25"/>
  <c r="FM25"/>
  <c r="FL25"/>
  <c r="FK25"/>
  <c r="FJ25"/>
  <c r="FI25"/>
  <c r="FH25"/>
  <c r="FG25"/>
  <c r="FF25"/>
  <c r="FE25"/>
  <c r="FD25"/>
  <c r="FC25"/>
  <c r="FB25"/>
  <c r="FA25"/>
  <c r="EZ25"/>
  <c r="EY25"/>
  <c r="EX25"/>
  <c r="EW25"/>
  <c r="EV25"/>
  <c r="EU25"/>
  <c r="ET25"/>
  <c r="ES25"/>
  <c r="ER25"/>
  <c r="EQ25"/>
  <c r="EP25"/>
  <c r="EO25"/>
  <c r="EN25"/>
  <c r="EM25"/>
  <c r="EL25"/>
  <c r="EK25"/>
  <c r="EJ25"/>
  <c r="EI25"/>
  <c r="EH25"/>
  <c r="EG25"/>
  <c r="EF25"/>
  <c r="EE25"/>
  <c r="ED25"/>
  <c r="EC25"/>
  <c r="EB25"/>
  <c r="EA25"/>
  <c r="DZ25"/>
  <c r="DY25"/>
  <c r="DX25"/>
  <c r="DW25"/>
  <c r="DV25"/>
  <c r="DU25"/>
  <c r="DT25"/>
  <c r="DS25"/>
  <c r="DR25"/>
  <c r="DQ25"/>
  <c r="DP25"/>
  <c r="DO25"/>
  <c r="DN25"/>
  <c r="DM25"/>
  <c r="DL25"/>
  <c r="DK25"/>
  <c r="DJ25"/>
  <c r="DI25"/>
  <c r="DH25"/>
  <c r="DG25"/>
  <c r="DF25"/>
  <c r="DE25"/>
  <c r="DD25"/>
  <c r="DC25"/>
  <c r="DB25"/>
  <c r="DA25"/>
  <c r="CZ25"/>
  <c r="CY25"/>
  <c r="CX25"/>
  <c r="CW25"/>
  <c r="CV25"/>
  <c r="CU25"/>
  <c r="CT25"/>
  <c r="CS25"/>
  <c r="CR25"/>
  <c r="CQ25"/>
  <c r="CP25"/>
  <c r="CO25"/>
  <c r="CN25"/>
  <c r="CM25"/>
  <c r="CL25"/>
  <c r="CK25"/>
  <c r="CJ25"/>
  <c r="CI25"/>
  <c r="CH25"/>
  <c r="CG25"/>
  <c r="CF25"/>
  <c r="CE25"/>
  <c r="CD25"/>
  <c r="CC25"/>
  <c r="CB25"/>
  <c r="CA25"/>
  <c r="BZ25"/>
  <c r="BY25"/>
  <c r="BX25"/>
  <c r="BW25"/>
  <c r="BV25"/>
  <c r="BU25"/>
  <c r="BT25"/>
  <c r="BS25"/>
  <c r="BR25"/>
  <c r="BQ25"/>
  <c r="BP25"/>
  <c r="BO25"/>
  <c r="BN25"/>
  <c r="BM25"/>
  <c r="BL25"/>
  <c r="BK25"/>
  <c r="BJ25"/>
  <c r="BI25"/>
  <c r="BH25"/>
  <c r="BG25"/>
  <c r="BF25"/>
  <c r="BE25"/>
  <c r="BD25"/>
  <c r="BC25"/>
  <c r="BB25"/>
  <c r="BA25"/>
  <c r="AZ25"/>
  <c r="AY25"/>
  <c r="AX25"/>
  <c r="AW25"/>
  <c r="AV25"/>
  <c r="AU25"/>
  <c r="AT25"/>
  <c r="AS25"/>
  <c r="AR25"/>
  <c r="AQ25"/>
  <c r="AP25"/>
  <c r="AO25"/>
  <c r="AN25"/>
  <c r="AM25"/>
  <c r="AL25"/>
  <c r="AK25"/>
  <c r="AJ25"/>
  <c r="AI25"/>
  <c r="AH25"/>
  <c r="AG25"/>
  <c r="AF25"/>
  <c r="AE25"/>
  <c r="AD25"/>
  <c r="AC25"/>
  <c r="AB25"/>
  <c r="AA25"/>
  <c r="Z25"/>
  <c r="Y25"/>
  <c r="X25"/>
  <c r="W25"/>
  <c r="V25"/>
  <c r="Q25"/>
  <c r="P25"/>
  <c r="L25"/>
  <c r="K25"/>
  <c r="A25"/>
  <c r="HM24"/>
  <c r="HL24"/>
  <c r="HK24"/>
  <c r="HJ24"/>
  <c r="HI24"/>
  <c r="HH24"/>
  <c r="HG24"/>
  <c r="HF24"/>
  <c r="HE24"/>
  <c r="HD24"/>
  <c r="HC24"/>
  <c r="HB24"/>
  <c r="HA24"/>
  <c r="GZ24"/>
  <c r="GY24"/>
  <c r="GX24"/>
  <c r="GW24"/>
  <c r="GV24"/>
  <c r="GU24"/>
  <c r="GT24"/>
  <c r="GS24"/>
  <c r="GR24"/>
  <c r="GQ24"/>
  <c r="GP24"/>
  <c r="GO24"/>
  <c r="GN24"/>
  <c r="GM24"/>
  <c r="GL24"/>
  <c r="GK24"/>
  <c r="GJ24"/>
  <c r="GI24"/>
  <c r="GH24"/>
  <c r="GG24"/>
  <c r="GF24"/>
  <c r="GE24"/>
  <c r="GD24"/>
  <c r="GC24"/>
  <c r="GB24"/>
  <c r="GA24"/>
  <c r="FZ24"/>
  <c r="FY24"/>
  <c r="FX24"/>
  <c r="FW24"/>
  <c r="FV24"/>
  <c r="FU24"/>
  <c r="FT24"/>
  <c r="FS24"/>
  <c r="FR24"/>
  <c r="FQ24"/>
  <c r="FP24"/>
  <c r="FO24"/>
  <c r="FN24"/>
  <c r="FM24"/>
  <c r="FL24"/>
  <c r="FK24"/>
  <c r="FJ24"/>
  <c r="FI24"/>
  <c r="FH24"/>
  <c r="FG24"/>
  <c r="FF24"/>
  <c r="FE24"/>
  <c r="FD24"/>
  <c r="FC24"/>
  <c r="FB24"/>
  <c r="FA24"/>
  <c r="EZ24"/>
  <c r="EY24"/>
  <c r="EX24"/>
  <c r="EW24"/>
  <c r="EV24"/>
  <c r="EU24"/>
  <c r="ET24"/>
  <c r="ES24"/>
  <c r="ER24"/>
  <c r="EQ24"/>
  <c r="EP24"/>
  <c r="EO24"/>
  <c r="EN24"/>
  <c r="EM24"/>
  <c r="EL24"/>
  <c r="EK24"/>
  <c r="EJ24"/>
  <c r="EI24"/>
  <c r="EH24"/>
  <c r="EG24"/>
  <c r="EF24"/>
  <c r="EE24"/>
  <c r="ED24"/>
  <c r="EC24"/>
  <c r="EB24"/>
  <c r="EA24"/>
  <c r="DZ24"/>
  <c r="DY24"/>
  <c r="DX24"/>
  <c r="DW24"/>
  <c r="DV24"/>
  <c r="DU24"/>
  <c r="DT24"/>
  <c r="DS24"/>
  <c r="DR24"/>
  <c r="DQ24"/>
  <c r="DP24"/>
  <c r="DO24"/>
  <c r="DN24"/>
  <c r="DM24"/>
  <c r="DL24"/>
  <c r="DK24"/>
  <c r="DJ24"/>
  <c r="DI24"/>
  <c r="DH24"/>
  <c r="DG24"/>
  <c r="DF24"/>
  <c r="DE24"/>
  <c r="DD24"/>
  <c r="DC24"/>
  <c r="DB24"/>
  <c r="DA24"/>
  <c r="CZ24"/>
  <c r="CY24"/>
  <c r="CX24"/>
  <c r="CW24"/>
  <c r="CV24"/>
  <c r="CU24"/>
  <c r="CT24"/>
  <c r="CS24"/>
  <c r="CR24"/>
  <c r="CQ24"/>
  <c r="CP24"/>
  <c r="CO24"/>
  <c r="CN24"/>
  <c r="CM24"/>
  <c r="CL24"/>
  <c r="CK24"/>
  <c r="CJ24"/>
  <c r="CI24"/>
  <c r="CH24"/>
  <c r="CG24"/>
  <c r="CF24"/>
  <c r="CE24"/>
  <c r="CD24"/>
  <c r="CC24"/>
  <c r="CB24"/>
  <c r="CA24"/>
  <c r="BZ24"/>
  <c r="BY24"/>
  <c r="BX24"/>
  <c r="BW24"/>
  <c r="BV24"/>
  <c r="BU24"/>
  <c r="BT24"/>
  <c r="BS24"/>
  <c r="BR24"/>
  <c r="BQ24"/>
  <c r="BP24"/>
  <c r="BO24"/>
  <c r="BN24"/>
  <c r="BM24"/>
  <c r="BL24"/>
  <c r="BK24"/>
  <c r="BJ24"/>
  <c r="BI24"/>
  <c r="BH24"/>
  <c r="BG24"/>
  <c r="BF24"/>
  <c r="BE24"/>
  <c r="BD24"/>
  <c r="BC24"/>
  <c r="BB24"/>
  <c r="BA24"/>
  <c r="AZ24"/>
  <c r="AY24"/>
  <c r="AX24"/>
  <c r="AW24"/>
  <c r="AV24"/>
  <c r="AU24"/>
  <c r="AT24"/>
  <c r="AS24"/>
  <c r="AR24"/>
  <c r="AQ24"/>
  <c r="AP24"/>
  <c r="AO24"/>
  <c r="AN24"/>
  <c r="AM24"/>
  <c r="AL24"/>
  <c r="AK24"/>
  <c r="AJ24"/>
  <c r="AI24"/>
  <c r="AH24"/>
  <c r="AG24"/>
  <c r="AF24"/>
  <c r="AE24"/>
  <c r="AD24"/>
  <c r="AC24"/>
  <c r="AB24"/>
  <c r="AA24"/>
  <c r="Z24"/>
  <c r="Y24"/>
  <c r="X24"/>
  <c r="W24"/>
  <c r="V24"/>
  <c r="Q24"/>
  <c r="P24"/>
  <c r="K24"/>
  <c r="L24" s="1"/>
  <c r="A24"/>
  <c r="HM23"/>
  <c r="HL23"/>
  <c r="HK23"/>
  <c r="HJ23"/>
  <c r="HI23"/>
  <c r="HH23"/>
  <c r="HG23"/>
  <c r="HF23"/>
  <c r="HE23"/>
  <c r="HD23"/>
  <c r="HC23"/>
  <c r="HB23"/>
  <c r="HA23"/>
  <c r="GZ23"/>
  <c r="GY23"/>
  <c r="GX23"/>
  <c r="GW23"/>
  <c r="GV23"/>
  <c r="GU23"/>
  <c r="GT23"/>
  <c r="GS23"/>
  <c r="GR23"/>
  <c r="GQ23"/>
  <c r="GP23"/>
  <c r="GO23"/>
  <c r="GN23"/>
  <c r="GM23"/>
  <c r="GL23"/>
  <c r="GK23"/>
  <c r="GJ23"/>
  <c r="GI23"/>
  <c r="GH23"/>
  <c r="GG23"/>
  <c r="GF23"/>
  <c r="GE23"/>
  <c r="GD23"/>
  <c r="GC23"/>
  <c r="GB23"/>
  <c r="GA23"/>
  <c r="FZ23"/>
  <c r="FY23"/>
  <c r="FX23"/>
  <c r="FW23"/>
  <c r="FV23"/>
  <c r="FU23"/>
  <c r="FT23"/>
  <c r="FS23"/>
  <c r="FR23"/>
  <c r="FQ23"/>
  <c r="FP23"/>
  <c r="FO23"/>
  <c r="FN23"/>
  <c r="FM23"/>
  <c r="FL23"/>
  <c r="FK23"/>
  <c r="FJ23"/>
  <c r="FI23"/>
  <c r="FH23"/>
  <c r="FG23"/>
  <c r="FF23"/>
  <c r="FE23"/>
  <c r="FD23"/>
  <c r="FC23"/>
  <c r="FB23"/>
  <c r="FA23"/>
  <c r="EZ23"/>
  <c r="EY23"/>
  <c r="EX23"/>
  <c r="EW23"/>
  <c r="EV23"/>
  <c r="EU23"/>
  <c r="ET23"/>
  <c r="ES23"/>
  <c r="ER23"/>
  <c r="EQ23"/>
  <c r="EP23"/>
  <c r="EO23"/>
  <c r="EN23"/>
  <c r="EM23"/>
  <c r="EL23"/>
  <c r="EK23"/>
  <c r="EJ23"/>
  <c r="EI23"/>
  <c r="EH23"/>
  <c r="EG23"/>
  <c r="EF23"/>
  <c r="EE23"/>
  <c r="ED23"/>
  <c r="EC23"/>
  <c r="EB23"/>
  <c r="EA23"/>
  <c r="DZ23"/>
  <c r="DY23"/>
  <c r="DX23"/>
  <c r="DW23"/>
  <c r="DV23"/>
  <c r="DU23"/>
  <c r="DT23"/>
  <c r="DS23"/>
  <c r="DR23"/>
  <c r="DQ23"/>
  <c r="DP23"/>
  <c r="DO23"/>
  <c r="DN23"/>
  <c r="DM23"/>
  <c r="DL23"/>
  <c r="DK23"/>
  <c r="DJ23"/>
  <c r="DI23"/>
  <c r="DH23"/>
  <c r="DG23"/>
  <c r="DF23"/>
  <c r="DE23"/>
  <c r="DD23"/>
  <c r="DC23"/>
  <c r="DB23"/>
  <c r="DA23"/>
  <c r="CZ23"/>
  <c r="CY23"/>
  <c r="CX23"/>
  <c r="CW23"/>
  <c r="CV23"/>
  <c r="CU23"/>
  <c r="CT23"/>
  <c r="CS23"/>
  <c r="CR23"/>
  <c r="CQ23"/>
  <c r="CP23"/>
  <c r="CO23"/>
  <c r="CN23"/>
  <c r="CM23"/>
  <c r="CL23"/>
  <c r="CK23"/>
  <c r="CJ23"/>
  <c r="CI23"/>
  <c r="CH23"/>
  <c r="CG23"/>
  <c r="CF23"/>
  <c r="CE23"/>
  <c r="CD23"/>
  <c r="CC23"/>
  <c r="CB23"/>
  <c r="CA23"/>
  <c r="BZ23"/>
  <c r="BY23"/>
  <c r="BX23"/>
  <c r="BW23"/>
  <c r="BV23"/>
  <c r="BU23"/>
  <c r="BT23"/>
  <c r="BS23"/>
  <c r="BR23"/>
  <c r="BQ23"/>
  <c r="BP23"/>
  <c r="BO23"/>
  <c r="BN23"/>
  <c r="BM23"/>
  <c r="BL23"/>
  <c r="BK23"/>
  <c r="BJ23"/>
  <c r="BI23"/>
  <c r="BH23"/>
  <c r="BG23"/>
  <c r="BF23"/>
  <c r="BE23"/>
  <c r="BD23"/>
  <c r="BC23"/>
  <c r="BB23"/>
  <c r="BA23"/>
  <c r="AZ23"/>
  <c r="AY23"/>
  <c r="AX23"/>
  <c r="AW23"/>
  <c r="AV23"/>
  <c r="AU23"/>
  <c r="AT23"/>
  <c r="AS23"/>
  <c r="AR23"/>
  <c r="AQ23"/>
  <c r="AP23"/>
  <c r="AO23"/>
  <c r="AN23"/>
  <c r="AM23"/>
  <c r="AL23"/>
  <c r="AK23"/>
  <c r="AJ23"/>
  <c r="AI23"/>
  <c r="AH23"/>
  <c r="AG23"/>
  <c r="AF23"/>
  <c r="AE23"/>
  <c r="AD23"/>
  <c r="AC23"/>
  <c r="AB23"/>
  <c r="AA23"/>
  <c r="Z23"/>
  <c r="Y23"/>
  <c r="X23"/>
  <c r="W23"/>
  <c r="V23"/>
  <c r="Q23"/>
  <c r="P23"/>
  <c r="K23"/>
  <c r="L23" s="1"/>
  <c r="A23"/>
  <c r="HM22"/>
  <c r="HL22"/>
  <c r="HK22"/>
  <c r="HJ22"/>
  <c r="HI22"/>
  <c r="HH22"/>
  <c r="HG22"/>
  <c r="HF22"/>
  <c r="HE22"/>
  <c r="HD22"/>
  <c r="HC22"/>
  <c r="HB22"/>
  <c r="HA22"/>
  <c r="GZ22"/>
  <c r="GY22"/>
  <c r="GX22"/>
  <c r="GW22"/>
  <c r="GV22"/>
  <c r="GU22"/>
  <c r="GT22"/>
  <c r="GS22"/>
  <c r="GR22"/>
  <c r="GQ22"/>
  <c r="GP22"/>
  <c r="GO22"/>
  <c r="GN22"/>
  <c r="GM22"/>
  <c r="GL22"/>
  <c r="GK22"/>
  <c r="GJ22"/>
  <c r="GI22"/>
  <c r="GH22"/>
  <c r="GG22"/>
  <c r="GF22"/>
  <c r="GE22"/>
  <c r="GD22"/>
  <c r="GC22"/>
  <c r="GB22"/>
  <c r="GA22"/>
  <c r="FZ22"/>
  <c r="FY22"/>
  <c r="FX22"/>
  <c r="FW22"/>
  <c r="FV22"/>
  <c r="FU22"/>
  <c r="FT22"/>
  <c r="FS22"/>
  <c r="FR22"/>
  <c r="FQ22"/>
  <c r="FP22"/>
  <c r="FO22"/>
  <c r="FN22"/>
  <c r="FM22"/>
  <c r="FL22"/>
  <c r="FK22"/>
  <c r="FJ22"/>
  <c r="FI22"/>
  <c r="FH22"/>
  <c r="FG22"/>
  <c r="FF22"/>
  <c r="FE22"/>
  <c r="FD22"/>
  <c r="FC22"/>
  <c r="FB22"/>
  <c r="FA22"/>
  <c r="EZ22"/>
  <c r="EY22"/>
  <c r="EX22"/>
  <c r="EW22"/>
  <c r="EV22"/>
  <c r="EU22"/>
  <c r="ET22"/>
  <c r="ES22"/>
  <c r="ER22"/>
  <c r="EQ22"/>
  <c r="EP22"/>
  <c r="EO22"/>
  <c r="EN22"/>
  <c r="EM22"/>
  <c r="EL22"/>
  <c r="EK22"/>
  <c r="EJ22"/>
  <c r="EI22"/>
  <c r="EH22"/>
  <c r="EG22"/>
  <c r="EF22"/>
  <c r="EE22"/>
  <c r="ED22"/>
  <c r="EC22"/>
  <c r="EB22"/>
  <c r="EA22"/>
  <c r="DZ22"/>
  <c r="DY22"/>
  <c r="DX22"/>
  <c r="DW22"/>
  <c r="DV22"/>
  <c r="DU22"/>
  <c r="DT22"/>
  <c r="DS22"/>
  <c r="DR22"/>
  <c r="DQ22"/>
  <c r="DP22"/>
  <c r="DO22"/>
  <c r="DN22"/>
  <c r="DM22"/>
  <c r="DL22"/>
  <c r="DK22"/>
  <c r="DJ22"/>
  <c r="DI22"/>
  <c r="DH22"/>
  <c r="DG22"/>
  <c r="DF22"/>
  <c r="DE22"/>
  <c r="DD22"/>
  <c r="DC22"/>
  <c r="DB22"/>
  <c r="DA22"/>
  <c r="CZ22"/>
  <c r="CY22"/>
  <c r="CX22"/>
  <c r="CW22"/>
  <c r="CV22"/>
  <c r="CU22"/>
  <c r="CT22"/>
  <c r="CS22"/>
  <c r="CR22"/>
  <c r="CQ22"/>
  <c r="CP22"/>
  <c r="CO22"/>
  <c r="CN22"/>
  <c r="CM22"/>
  <c r="CL22"/>
  <c r="CK22"/>
  <c r="CJ22"/>
  <c r="CI22"/>
  <c r="CH22"/>
  <c r="CG22"/>
  <c r="CF22"/>
  <c r="CE22"/>
  <c r="CD22"/>
  <c r="CC22"/>
  <c r="CB22"/>
  <c r="CA22"/>
  <c r="BZ22"/>
  <c r="BY22"/>
  <c r="BX22"/>
  <c r="BW22"/>
  <c r="BV22"/>
  <c r="BU22"/>
  <c r="BT22"/>
  <c r="BS22"/>
  <c r="BR22"/>
  <c r="BQ22"/>
  <c r="BP22"/>
  <c r="BO22"/>
  <c r="BN22"/>
  <c r="BM22"/>
  <c r="BL22"/>
  <c r="BK22"/>
  <c r="BJ22"/>
  <c r="BI22"/>
  <c r="BH22"/>
  <c r="BG22"/>
  <c r="BF22"/>
  <c r="BE22"/>
  <c r="BD22"/>
  <c r="BC22"/>
  <c r="BB22"/>
  <c r="BA22"/>
  <c r="AZ22"/>
  <c r="AY22"/>
  <c r="AX22"/>
  <c r="AW22"/>
  <c r="AV22"/>
  <c r="AU22"/>
  <c r="AT22"/>
  <c r="AS22"/>
  <c r="AR22"/>
  <c r="AQ22"/>
  <c r="AP22"/>
  <c r="AO22"/>
  <c r="AN22"/>
  <c r="AM22"/>
  <c r="AL22"/>
  <c r="AK22"/>
  <c r="AJ22"/>
  <c r="AI22"/>
  <c r="AH22"/>
  <c r="AG22"/>
  <c r="AF22"/>
  <c r="AE22"/>
  <c r="AD22"/>
  <c r="AC22"/>
  <c r="AB22"/>
  <c r="AA22"/>
  <c r="Z22"/>
  <c r="Y22"/>
  <c r="X22"/>
  <c r="W22"/>
  <c r="V22"/>
  <c r="Q22"/>
  <c r="P22"/>
  <c r="K22"/>
  <c r="L22" s="1"/>
  <c r="A22"/>
  <c r="HM21"/>
  <c r="HL21"/>
  <c r="HK21"/>
  <c r="HJ21"/>
  <c r="HI21"/>
  <c r="HH21"/>
  <c r="HG21"/>
  <c r="HF21"/>
  <c r="HE21"/>
  <c r="HD21"/>
  <c r="HC21"/>
  <c r="HB21"/>
  <c r="HA21"/>
  <c r="GZ21"/>
  <c r="GY21"/>
  <c r="GX21"/>
  <c r="GW21"/>
  <c r="GV21"/>
  <c r="GU21"/>
  <c r="GT21"/>
  <c r="GS21"/>
  <c r="GR21"/>
  <c r="GQ21"/>
  <c r="GP21"/>
  <c r="GO21"/>
  <c r="GN21"/>
  <c r="GM21"/>
  <c r="GL21"/>
  <c r="GK21"/>
  <c r="GJ21"/>
  <c r="GI21"/>
  <c r="GH21"/>
  <c r="GG21"/>
  <c r="GF21"/>
  <c r="GE21"/>
  <c r="GD21"/>
  <c r="GC21"/>
  <c r="GB21"/>
  <c r="GA21"/>
  <c r="FZ21"/>
  <c r="FY21"/>
  <c r="FX21"/>
  <c r="FW21"/>
  <c r="FV21"/>
  <c r="FU21"/>
  <c r="FT21"/>
  <c r="FS21"/>
  <c r="FR21"/>
  <c r="FQ21"/>
  <c r="FP21"/>
  <c r="FO21"/>
  <c r="FN21"/>
  <c r="FM21"/>
  <c r="FL21"/>
  <c r="FK21"/>
  <c r="FJ21"/>
  <c r="FI21"/>
  <c r="FH21"/>
  <c r="FG21"/>
  <c r="FF21"/>
  <c r="FE21"/>
  <c r="FD21"/>
  <c r="FC21"/>
  <c r="FB21"/>
  <c r="FA21"/>
  <c r="EZ21"/>
  <c r="EY21"/>
  <c r="EX21"/>
  <c r="EW21"/>
  <c r="EV21"/>
  <c r="EU21"/>
  <c r="ET21"/>
  <c r="ES21"/>
  <c r="ER21"/>
  <c r="EQ21"/>
  <c r="EP21"/>
  <c r="EO21"/>
  <c r="EN21"/>
  <c r="EM21"/>
  <c r="EL21"/>
  <c r="EK21"/>
  <c r="EJ21"/>
  <c r="EI21"/>
  <c r="EH21"/>
  <c r="EG21"/>
  <c r="EF21"/>
  <c r="EE21"/>
  <c r="ED21"/>
  <c r="EC21"/>
  <c r="EB21"/>
  <c r="EA21"/>
  <c r="DZ21"/>
  <c r="DY21"/>
  <c r="DX21"/>
  <c r="DW21"/>
  <c r="DV21"/>
  <c r="DU21"/>
  <c r="DT21"/>
  <c r="DS21"/>
  <c r="DR21"/>
  <c r="DQ21"/>
  <c r="DP21"/>
  <c r="DO21"/>
  <c r="DN21"/>
  <c r="DM21"/>
  <c r="DL21"/>
  <c r="DK21"/>
  <c r="DJ21"/>
  <c r="DI21"/>
  <c r="DH21"/>
  <c r="DG21"/>
  <c r="DF21"/>
  <c r="DE21"/>
  <c r="DD21"/>
  <c r="DC21"/>
  <c r="DB21"/>
  <c r="DA21"/>
  <c r="CZ21"/>
  <c r="CY21"/>
  <c r="CX21"/>
  <c r="CW21"/>
  <c r="CV21"/>
  <c r="CU21"/>
  <c r="CT21"/>
  <c r="CS21"/>
  <c r="CR21"/>
  <c r="CQ21"/>
  <c r="CP21"/>
  <c r="CO21"/>
  <c r="CN21"/>
  <c r="CM21"/>
  <c r="CL21"/>
  <c r="CK21"/>
  <c r="CJ21"/>
  <c r="CI21"/>
  <c r="CH21"/>
  <c r="CG21"/>
  <c r="CF21"/>
  <c r="CE21"/>
  <c r="CD21"/>
  <c r="CC21"/>
  <c r="CB21"/>
  <c r="CA21"/>
  <c r="BZ21"/>
  <c r="BY21"/>
  <c r="BX21"/>
  <c r="BW21"/>
  <c r="BV21"/>
  <c r="BU21"/>
  <c r="BT21"/>
  <c r="BS21"/>
  <c r="BR21"/>
  <c r="BQ21"/>
  <c r="BP21"/>
  <c r="BO21"/>
  <c r="BN21"/>
  <c r="BM21"/>
  <c r="BL21"/>
  <c r="BK21"/>
  <c r="BJ21"/>
  <c r="BI21"/>
  <c r="BH21"/>
  <c r="BG21"/>
  <c r="BF21"/>
  <c r="BE21"/>
  <c r="BD21"/>
  <c r="BC21"/>
  <c r="BB21"/>
  <c r="BA21"/>
  <c r="AZ21"/>
  <c r="AY21"/>
  <c r="AX21"/>
  <c r="AW21"/>
  <c r="AV21"/>
  <c r="AU21"/>
  <c r="AT21"/>
  <c r="AS21"/>
  <c r="AR21"/>
  <c r="AQ21"/>
  <c r="AP21"/>
  <c r="AO21"/>
  <c r="AN21"/>
  <c r="AM21"/>
  <c r="AL21"/>
  <c r="AK21"/>
  <c r="AJ21"/>
  <c r="AI21"/>
  <c r="AH21"/>
  <c r="AG21"/>
  <c r="AF21"/>
  <c r="AE21"/>
  <c r="AD21"/>
  <c r="AC21"/>
  <c r="AB21"/>
  <c r="AA21"/>
  <c r="Z21"/>
  <c r="Y21"/>
  <c r="X21"/>
  <c r="W21"/>
  <c r="V21"/>
  <c r="Q21"/>
  <c r="P21"/>
  <c r="K21"/>
  <c r="L21" s="1"/>
  <c r="A21"/>
  <c r="HM20"/>
  <c r="HL20"/>
  <c r="HK20"/>
  <c r="HJ20"/>
  <c r="HI20"/>
  <c r="HH20"/>
  <c r="HG20"/>
  <c r="HF20"/>
  <c r="HE20"/>
  <c r="HD20"/>
  <c r="HC20"/>
  <c r="HB20"/>
  <c r="HA20"/>
  <c r="GZ20"/>
  <c r="GY20"/>
  <c r="GX20"/>
  <c r="GW20"/>
  <c r="GV20"/>
  <c r="GU20"/>
  <c r="GT20"/>
  <c r="GS20"/>
  <c r="GR20"/>
  <c r="GQ20"/>
  <c r="GP20"/>
  <c r="GO20"/>
  <c r="GN20"/>
  <c r="GM20"/>
  <c r="GL20"/>
  <c r="GK20"/>
  <c r="GJ20"/>
  <c r="GI20"/>
  <c r="GH20"/>
  <c r="GG20"/>
  <c r="GF20"/>
  <c r="GE20"/>
  <c r="GD20"/>
  <c r="GC20"/>
  <c r="GB20"/>
  <c r="GA20"/>
  <c r="FZ20"/>
  <c r="FY20"/>
  <c r="FX20"/>
  <c r="FW20"/>
  <c r="FV20"/>
  <c r="FU20"/>
  <c r="FT20"/>
  <c r="FS20"/>
  <c r="FR20"/>
  <c r="FQ20"/>
  <c r="FP20"/>
  <c r="FO20"/>
  <c r="FN20"/>
  <c r="FM20"/>
  <c r="FL20"/>
  <c r="FK20"/>
  <c r="FJ20"/>
  <c r="FI20"/>
  <c r="FH20"/>
  <c r="FG20"/>
  <c r="FF20"/>
  <c r="FE20"/>
  <c r="FD20"/>
  <c r="FC20"/>
  <c r="FB20"/>
  <c r="FA20"/>
  <c r="EZ20"/>
  <c r="EY20"/>
  <c r="EX20"/>
  <c r="EW20"/>
  <c r="EV20"/>
  <c r="EU20"/>
  <c r="ET20"/>
  <c r="ES20"/>
  <c r="ER20"/>
  <c r="EQ20"/>
  <c r="EP20"/>
  <c r="EO20"/>
  <c r="EN20"/>
  <c r="EM20"/>
  <c r="EL20"/>
  <c r="EK20"/>
  <c r="EJ20"/>
  <c r="EI20"/>
  <c r="EH20"/>
  <c r="EG20"/>
  <c r="EF20"/>
  <c r="EE20"/>
  <c r="ED20"/>
  <c r="EC20"/>
  <c r="EB20"/>
  <c r="EA20"/>
  <c r="DZ20"/>
  <c r="DY20"/>
  <c r="DX20"/>
  <c r="DW20"/>
  <c r="DV20"/>
  <c r="DU20"/>
  <c r="DT20"/>
  <c r="DS20"/>
  <c r="DR20"/>
  <c r="DQ20"/>
  <c r="DP20"/>
  <c r="DO20"/>
  <c r="DN20"/>
  <c r="DM20"/>
  <c r="DL20"/>
  <c r="DK20"/>
  <c r="DJ20"/>
  <c r="DI20"/>
  <c r="DH20"/>
  <c r="DG20"/>
  <c r="DF20"/>
  <c r="DE20"/>
  <c r="DD20"/>
  <c r="DC20"/>
  <c r="DB20"/>
  <c r="DA20"/>
  <c r="CZ20"/>
  <c r="CY20"/>
  <c r="CX20"/>
  <c r="CW20"/>
  <c r="CV20"/>
  <c r="CU20"/>
  <c r="CT20"/>
  <c r="CS20"/>
  <c r="CR20"/>
  <c r="CQ20"/>
  <c r="CP20"/>
  <c r="CO20"/>
  <c r="CN20"/>
  <c r="CM20"/>
  <c r="CL20"/>
  <c r="CK20"/>
  <c r="CJ20"/>
  <c r="CI20"/>
  <c r="CH20"/>
  <c r="CG20"/>
  <c r="CF20"/>
  <c r="CE20"/>
  <c r="CD20"/>
  <c r="CC20"/>
  <c r="CB20"/>
  <c r="CA20"/>
  <c r="BZ20"/>
  <c r="BY20"/>
  <c r="BX20"/>
  <c r="BW20"/>
  <c r="BV20"/>
  <c r="BU20"/>
  <c r="BT20"/>
  <c r="BS20"/>
  <c r="BR20"/>
  <c r="BQ20"/>
  <c r="BP20"/>
  <c r="BO20"/>
  <c r="BN20"/>
  <c r="BM20"/>
  <c r="BL20"/>
  <c r="BK20"/>
  <c r="BJ20"/>
  <c r="BI20"/>
  <c r="BH20"/>
  <c r="BG20"/>
  <c r="BF20"/>
  <c r="BE20"/>
  <c r="BD20"/>
  <c r="BC20"/>
  <c r="BB20"/>
  <c r="BA20"/>
  <c r="AZ20"/>
  <c r="AY20"/>
  <c r="AX20"/>
  <c r="AW20"/>
  <c r="AV20"/>
  <c r="AU20"/>
  <c r="AT20"/>
  <c r="AS20"/>
  <c r="AR20"/>
  <c r="AQ20"/>
  <c r="AP20"/>
  <c r="AO20"/>
  <c r="AN20"/>
  <c r="AM20"/>
  <c r="AL20"/>
  <c r="AK20"/>
  <c r="AJ20"/>
  <c r="AI20"/>
  <c r="AH20"/>
  <c r="AG20"/>
  <c r="AF20"/>
  <c r="AE20"/>
  <c r="AD20"/>
  <c r="AC20"/>
  <c r="AB20"/>
  <c r="AA20"/>
  <c r="Z20"/>
  <c r="Y20"/>
  <c r="X20"/>
  <c r="W20"/>
  <c r="V20"/>
  <c r="Q20"/>
  <c r="P20"/>
  <c r="K20"/>
  <c r="L20" s="1"/>
  <c r="A20"/>
  <c r="HM19"/>
  <c r="HL19"/>
  <c r="HK19"/>
  <c r="HJ19"/>
  <c r="HI19"/>
  <c r="HH19"/>
  <c r="HG19"/>
  <c r="HF19"/>
  <c r="HE19"/>
  <c r="HD19"/>
  <c r="HC19"/>
  <c r="HB19"/>
  <c r="HA19"/>
  <c r="GZ19"/>
  <c r="GY19"/>
  <c r="GX19"/>
  <c r="GW19"/>
  <c r="GV19"/>
  <c r="GU19"/>
  <c r="GT19"/>
  <c r="GS19"/>
  <c r="GR19"/>
  <c r="GQ19"/>
  <c r="GP19"/>
  <c r="GO19"/>
  <c r="GN19"/>
  <c r="GM19"/>
  <c r="GL19"/>
  <c r="GK19"/>
  <c r="GJ19"/>
  <c r="GI19"/>
  <c r="GH19"/>
  <c r="GG19"/>
  <c r="GF19"/>
  <c r="GE19"/>
  <c r="GD19"/>
  <c r="GC19"/>
  <c r="GB19"/>
  <c r="GA19"/>
  <c r="FZ19"/>
  <c r="FY19"/>
  <c r="FX19"/>
  <c r="FW19"/>
  <c r="FV19"/>
  <c r="FU19"/>
  <c r="FT19"/>
  <c r="FS19"/>
  <c r="FR19"/>
  <c r="FQ19"/>
  <c r="FP19"/>
  <c r="FO19"/>
  <c r="FN19"/>
  <c r="FM19"/>
  <c r="FL19"/>
  <c r="FK19"/>
  <c r="FJ19"/>
  <c r="FI19"/>
  <c r="FH19"/>
  <c r="FG19"/>
  <c r="FF19"/>
  <c r="FE19"/>
  <c r="FD19"/>
  <c r="FC19"/>
  <c r="FB19"/>
  <c r="FA19"/>
  <c r="EZ19"/>
  <c r="EY19"/>
  <c r="EX19"/>
  <c r="EW19"/>
  <c r="EV19"/>
  <c r="EU19"/>
  <c r="ET19"/>
  <c r="ES19"/>
  <c r="ER19"/>
  <c r="EQ19"/>
  <c r="EP19"/>
  <c r="EO19"/>
  <c r="EN19"/>
  <c r="EM19"/>
  <c r="EL19"/>
  <c r="EK19"/>
  <c r="EJ19"/>
  <c r="EI19"/>
  <c r="EH19"/>
  <c r="EG19"/>
  <c r="EF19"/>
  <c r="EE19"/>
  <c r="ED19"/>
  <c r="EC19"/>
  <c r="EB19"/>
  <c r="EA19"/>
  <c r="DZ19"/>
  <c r="DY19"/>
  <c r="DX19"/>
  <c r="DW19"/>
  <c r="DV19"/>
  <c r="DU19"/>
  <c r="DT19"/>
  <c r="DS19"/>
  <c r="DR19"/>
  <c r="DQ19"/>
  <c r="DP19"/>
  <c r="DO19"/>
  <c r="DN19"/>
  <c r="DM19"/>
  <c r="DL19"/>
  <c r="DK19"/>
  <c r="DJ19"/>
  <c r="DI19"/>
  <c r="DH19"/>
  <c r="DG19"/>
  <c r="DF19"/>
  <c r="DE19"/>
  <c r="DD19"/>
  <c r="DC19"/>
  <c r="DB19"/>
  <c r="DA19"/>
  <c r="CZ19"/>
  <c r="CY19"/>
  <c r="CX19"/>
  <c r="CW19"/>
  <c r="CV19"/>
  <c r="CU19"/>
  <c r="CT19"/>
  <c r="CS19"/>
  <c r="CR19"/>
  <c r="CQ19"/>
  <c r="CP19"/>
  <c r="CO19"/>
  <c r="CN19"/>
  <c r="CM19"/>
  <c r="CL19"/>
  <c r="CK19"/>
  <c r="CJ19"/>
  <c r="CI19"/>
  <c r="CH19"/>
  <c r="CG19"/>
  <c r="CF19"/>
  <c r="CE19"/>
  <c r="CD19"/>
  <c r="CC19"/>
  <c r="CB19"/>
  <c r="CA19"/>
  <c r="BZ19"/>
  <c r="BY19"/>
  <c r="BX19"/>
  <c r="BW19"/>
  <c r="BV19"/>
  <c r="BU19"/>
  <c r="BT19"/>
  <c r="BS19"/>
  <c r="BR19"/>
  <c r="BQ19"/>
  <c r="BP19"/>
  <c r="BO19"/>
  <c r="BN19"/>
  <c r="BM19"/>
  <c r="BL19"/>
  <c r="BK19"/>
  <c r="BJ19"/>
  <c r="BI19"/>
  <c r="BH19"/>
  <c r="BG19"/>
  <c r="BF19"/>
  <c r="BE19"/>
  <c r="BD19"/>
  <c r="BC19"/>
  <c r="BB19"/>
  <c r="BA19"/>
  <c r="AZ19"/>
  <c r="AY19"/>
  <c r="AX19"/>
  <c r="AW19"/>
  <c r="AV19"/>
  <c r="AU19"/>
  <c r="AT19"/>
  <c r="AS19"/>
  <c r="AR19"/>
  <c r="AQ19"/>
  <c r="AP19"/>
  <c r="AO19"/>
  <c r="AN19"/>
  <c r="AM19"/>
  <c r="AL19"/>
  <c r="AK19"/>
  <c r="AJ19"/>
  <c r="AI19"/>
  <c r="AH19"/>
  <c r="AG19"/>
  <c r="AF19"/>
  <c r="AE19"/>
  <c r="AD19"/>
  <c r="AC19"/>
  <c r="AB19"/>
  <c r="AA19"/>
  <c r="Z19"/>
  <c r="Y19"/>
  <c r="X19"/>
  <c r="W19"/>
  <c r="V19"/>
  <c r="Q19"/>
  <c r="P19"/>
  <c r="K19"/>
  <c r="L19" s="1"/>
  <c r="A19"/>
  <c r="HM18"/>
  <c r="HL18"/>
  <c r="HK18"/>
  <c r="HJ18"/>
  <c r="HI18"/>
  <c r="HH18"/>
  <c r="HG18"/>
  <c r="HF18"/>
  <c r="HE18"/>
  <c r="HD18"/>
  <c r="HC18"/>
  <c r="HB18"/>
  <c r="HA18"/>
  <c r="GZ18"/>
  <c r="GY18"/>
  <c r="GX18"/>
  <c r="GW18"/>
  <c r="GV18"/>
  <c r="GU18"/>
  <c r="GT18"/>
  <c r="GS18"/>
  <c r="GR18"/>
  <c r="GQ18"/>
  <c r="GP18"/>
  <c r="GO18"/>
  <c r="GN18"/>
  <c r="GM18"/>
  <c r="GL18"/>
  <c r="GK18"/>
  <c r="GJ18"/>
  <c r="GI18"/>
  <c r="GH18"/>
  <c r="GG18"/>
  <c r="GF18"/>
  <c r="GE18"/>
  <c r="GD18"/>
  <c r="GC18"/>
  <c r="GB18"/>
  <c r="GA18"/>
  <c r="FZ18"/>
  <c r="FY18"/>
  <c r="FX18"/>
  <c r="FW18"/>
  <c r="FV18"/>
  <c r="FU18"/>
  <c r="FT18"/>
  <c r="FS18"/>
  <c r="FR18"/>
  <c r="FQ18"/>
  <c r="FP18"/>
  <c r="FO18"/>
  <c r="FN18"/>
  <c r="FM18"/>
  <c r="FL18"/>
  <c r="FK18"/>
  <c r="FJ18"/>
  <c r="FI18"/>
  <c r="FH18"/>
  <c r="FG18"/>
  <c r="FF18"/>
  <c r="FE18"/>
  <c r="FD18"/>
  <c r="FC18"/>
  <c r="FB18"/>
  <c r="FA18"/>
  <c r="EZ18"/>
  <c r="EY18"/>
  <c r="EX18"/>
  <c r="EW18"/>
  <c r="EV18"/>
  <c r="EU18"/>
  <c r="ET18"/>
  <c r="ES18"/>
  <c r="ER18"/>
  <c r="EQ18"/>
  <c r="EP18"/>
  <c r="EO18"/>
  <c r="EN18"/>
  <c r="EM18"/>
  <c r="EL18"/>
  <c r="EK18"/>
  <c r="EJ18"/>
  <c r="EI18"/>
  <c r="EH18"/>
  <c r="EG18"/>
  <c r="EF18"/>
  <c r="EE18"/>
  <c r="ED18"/>
  <c r="EC18"/>
  <c r="EB18"/>
  <c r="EA18"/>
  <c r="DZ18"/>
  <c r="DY18"/>
  <c r="DX18"/>
  <c r="DW18"/>
  <c r="DV18"/>
  <c r="DU18"/>
  <c r="DT18"/>
  <c r="DS18"/>
  <c r="DR18"/>
  <c r="DQ18"/>
  <c r="DP18"/>
  <c r="DO18"/>
  <c r="DN18"/>
  <c r="DM18"/>
  <c r="DL18"/>
  <c r="DK18"/>
  <c r="DJ18"/>
  <c r="DI18"/>
  <c r="DH18"/>
  <c r="DG18"/>
  <c r="DF18"/>
  <c r="DE18"/>
  <c r="DD18"/>
  <c r="DC18"/>
  <c r="DB18"/>
  <c r="DA18"/>
  <c r="CZ18"/>
  <c r="CY18"/>
  <c r="CX18"/>
  <c r="CW18"/>
  <c r="CV18"/>
  <c r="CU18"/>
  <c r="CT18"/>
  <c r="CS18"/>
  <c r="CR18"/>
  <c r="CQ18"/>
  <c r="CP18"/>
  <c r="CO18"/>
  <c r="CN18"/>
  <c r="CM18"/>
  <c r="CL18"/>
  <c r="CK18"/>
  <c r="CJ18"/>
  <c r="CI18"/>
  <c r="CH18"/>
  <c r="CG18"/>
  <c r="CF18"/>
  <c r="CE18"/>
  <c r="CD18"/>
  <c r="CC18"/>
  <c r="CB18"/>
  <c r="CA18"/>
  <c r="BZ18"/>
  <c r="BY18"/>
  <c r="BX18"/>
  <c r="BW18"/>
  <c r="BV18"/>
  <c r="BU18"/>
  <c r="BT18"/>
  <c r="BS18"/>
  <c r="BR18"/>
  <c r="BQ18"/>
  <c r="BP18"/>
  <c r="BO18"/>
  <c r="BN18"/>
  <c r="BM18"/>
  <c r="BL18"/>
  <c r="BK18"/>
  <c r="BJ18"/>
  <c r="BI18"/>
  <c r="BH18"/>
  <c r="BG18"/>
  <c r="BF18"/>
  <c r="BE18"/>
  <c r="BD18"/>
  <c r="BC18"/>
  <c r="BB18"/>
  <c r="BA18"/>
  <c r="AZ18"/>
  <c r="AY18"/>
  <c r="AX18"/>
  <c r="AW18"/>
  <c r="AV18"/>
  <c r="AU18"/>
  <c r="AT18"/>
  <c r="AS18"/>
  <c r="AR18"/>
  <c r="AQ18"/>
  <c r="AP18"/>
  <c r="AO18"/>
  <c r="AN18"/>
  <c r="AM18"/>
  <c r="AL18"/>
  <c r="AK18"/>
  <c r="AJ18"/>
  <c r="AI18"/>
  <c r="AH18"/>
  <c r="AG18"/>
  <c r="AF18"/>
  <c r="AE18"/>
  <c r="AD18"/>
  <c r="AC18"/>
  <c r="AB18"/>
  <c r="AA18"/>
  <c r="Z18"/>
  <c r="Y18"/>
  <c r="X18"/>
  <c r="W18"/>
  <c r="V18"/>
  <c r="Q18"/>
  <c r="P18"/>
  <c r="K18"/>
  <c r="L18" s="1"/>
  <c r="A18"/>
  <c r="HM17"/>
  <c r="HL17"/>
  <c r="HK17"/>
  <c r="HJ17"/>
  <c r="HI17"/>
  <c r="HH17"/>
  <c r="HG17"/>
  <c r="HF17"/>
  <c r="HE17"/>
  <c r="HD17"/>
  <c r="HC17"/>
  <c r="HB17"/>
  <c r="HA17"/>
  <c r="GZ17"/>
  <c r="GY17"/>
  <c r="GX17"/>
  <c r="GW17"/>
  <c r="GV17"/>
  <c r="GU17"/>
  <c r="GT17"/>
  <c r="GS17"/>
  <c r="GR17"/>
  <c r="GQ17"/>
  <c r="GP17"/>
  <c r="GO17"/>
  <c r="GN17"/>
  <c r="GM17"/>
  <c r="GL17"/>
  <c r="GK17"/>
  <c r="GJ17"/>
  <c r="GI17"/>
  <c r="GH17"/>
  <c r="GG17"/>
  <c r="GF17"/>
  <c r="GE17"/>
  <c r="GD17"/>
  <c r="GC17"/>
  <c r="GB17"/>
  <c r="GA17"/>
  <c r="FZ17"/>
  <c r="FY17"/>
  <c r="FX17"/>
  <c r="FW17"/>
  <c r="FV17"/>
  <c r="FU17"/>
  <c r="FT17"/>
  <c r="FS17"/>
  <c r="FR17"/>
  <c r="FQ17"/>
  <c r="FP17"/>
  <c r="FO17"/>
  <c r="FN17"/>
  <c r="FM17"/>
  <c r="FL17"/>
  <c r="FK17"/>
  <c r="FJ17"/>
  <c r="FI17"/>
  <c r="FH17"/>
  <c r="FG17"/>
  <c r="FF17"/>
  <c r="FE17"/>
  <c r="FD17"/>
  <c r="FC17"/>
  <c r="FB17"/>
  <c r="FA17"/>
  <c r="EZ17"/>
  <c r="EY17"/>
  <c r="EX17"/>
  <c r="EW17"/>
  <c r="EV17"/>
  <c r="EU17"/>
  <c r="ET17"/>
  <c r="ES17"/>
  <c r="ER17"/>
  <c r="EQ17"/>
  <c r="EP17"/>
  <c r="EO17"/>
  <c r="EN17"/>
  <c r="EM17"/>
  <c r="EL17"/>
  <c r="EK17"/>
  <c r="EJ17"/>
  <c r="EI17"/>
  <c r="EH17"/>
  <c r="EG17"/>
  <c r="EF17"/>
  <c r="EE17"/>
  <c r="ED17"/>
  <c r="EC17"/>
  <c r="EB17"/>
  <c r="EA17"/>
  <c r="DZ17"/>
  <c r="DY17"/>
  <c r="DX17"/>
  <c r="DW17"/>
  <c r="DV17"/>
  <c r="DU17"/>
  <c r="DT17"/>
  <c r="DS17"/>
  <c r="DR17"/>
  <c r="DQ17"/>
  <c r="DP17"/>
  <c r="DO17"/>
  <c r="DN17"/>
  <c r="DM17"/>
  <c r="DL17"/>
  <c r="DK17"/>
  <c r="DJ17"/>
  <c r="DI17"/>
  <c r="DH17"/>
  <c r="DG17"/>
  <c r="DF17"/>
  <c r="DE17"/>
  <c r="DD17"/>
  <c r="DC17"/>
  <c r="DB17"/>
  <c r="DA17"/>
  <c r="CZ17"/>
  <c r="CY17"/>
  <c r="CX17"/>
  <c r="CW17"/>
  <c r="CV17"/>
  <c r="CU17"/>
  <c r="CT17"/>
  <c r="CS17"/>
  <c r="CR17"/>
  <c r="CQ17"/>
  <c r="CP17"/>
  <c r="CO17"/>
  <c r="CN17"/>
  <c r="CM17"/>
  <c r="CL17"/>
  <c r="CK17"/>
  <c r="CJ17"/>
  <c r="CI17"/>
  <c r="CH17"/>
  <c r="CG17"/>
  <c r="CF17"/>
  <c r="CE17"/>
  <c r="CD17"/>
  <c r="CC17"/>
  <c r="CB17"/>
  <c r="CA17"/>
  <c r="BZ17"/>
  <c r="BY17"/>
  <c r="BX17"/>
  <c r="BW17"/>
  <c r="BV17"/>
  <c r="BU17"/>
  <c r="BT17"/>
  <c r="BS17"/>
  <c r="BR17"/>
  <c r="BQ17"/>
  <c r="BP17"/>
  <c r="BO17"/>
  <c r="BN17"/>
  <c r="BM17"/>
  <c r="BL17"/>
  <c r="BK17"/>
  <c r="BJ17"/>
  <c r="BI17"/>
  <c r="BH17"/>
  <c r="BG17"/>
  <c r="BF17"/>
  <c r="BE17"/>
  <c r="BD17"/>
  <c r="BC17"/>
  <c r="BB17"/>
  <c r="BA17"/>
  <c r="AZ17"/>
  <c r="AY17"/>
  <c r="AX17"/>
  <c r="AW17"/>
  <c r="AV17"/>
  <c r="AU17"/>
  <c r="AT17"/>
  <c r="AS17"/>
  <c r="AR17"/>
  <c r="AQ17"/>
  <c r="AP17"/>
  <c r="AO17"/>
  <c r="AN17"/>
  <c r="AM17"/>
  <c r="AL17"/>
  <c r="AK17"/>
  <c r="AJ17"/>
  <c r="AI17"/>
  <c r="AH17"/>
  <c r="AG17"/>
  <c r="AF17"/>
  <c r="AE17"/>
  <c r="AD17"/>
  <c r="AC17"/>
  <c r="AB17"/>
  <c r="AA17"/>
  <c r="Z17"/>
  <c r="Y17"/>
  <c r="X17"/>
  <c r="W17"/>
  <c r="V17"/>
  <c r="Q17"/>
  <c r="P17"/>
  <c r="K17"/>
  <c r="L17" s="1"/>
  <c r="A17"/>
  <c r="HM16"/>
  <c r="HL16"/>
  <c r="HK16"/>
  <c r="HJ16"/>
  <c r="HI16"/>
  <c r="HH16"/>
  <c r="HG16"/>
  <c r="HF16"/>
  <c r="HE16"/>
  <c r="HD16"/>
  <c r="HC16"/>
  <c r="HB16"/>
  <c r="HA16"/>
  <c r="GZ16"/>
  <c r="GY16"/>
  <c r="GX16"/>
  <c r="GW16"/>
  <c r="GV16"/>
  <c r="GU16"/>
  <c r="GT16"/>
  <c r="GS16"/>
  <c r="GR16"/>
  <c r="GQ16"/>
  <c r="GP16"/>
  <c r="GO16"/>
  <c r="GN16"/>
  <c r="GM16"/>
  <c r="GL16"/>
  <c r="GK16"/>
  <c r="GJ16"/>
  <c r="GI16"/>
  <c r="GH16"/>
  <c r="GG16"/>
  <c r="GF16"/>
  <c r="GE16"/>
  <c r="GD16"/>
  <c r="GC16"/>
  <c r="GB16"/>
  <c r="GA16"/>
  <c r="FZ16"/>
  <c r="FY16"/>
  <c r="FX16"/>
  <c r="FW16"/>
  <c r="FV16"/>
  <c r="FU16"/>
  <c r="FT16"/>
  <c r="FS16"/>
  <c r="FR16"/>
  <c r="FQ16"/>
  <c r="FP16"/>
  <c r="FO16"/>
  <c r="FN16"/>
  <c r="FM16"/>
  <c r="FL16"/>
  <c r="FK16"/>
  <c r="FJ16"/>
  <c r="FI16"/>
  <c r="FH16"/>
  <c r="FG16"/>
  <c r="FF16"/>
  <c r="FE16"/>
  <c r="FD16"/>
  <c r="FC16"/>
  <c r="FB16"/>
  <c r="FA16"/>
  <c r="EZ16"/>
  <c r="EY16"/>
  <c r="EX16"/>
  <c r="EW16"/>
  <c r="EV16"/>
  <c r="EU16"/>
  <c r="ET16"/>
  <c r="ES16"/>
  <c r="ER16"/>
  <c r="EQ16"/>
  <c r="EP16"/>
  <c r="EO16"/>
  <c r="EN16"/>
  <c r="EM16"/>
  <c r="EL16"/>
  <c r="EK16"/>
  <c r="EJ16"/>
  <c r="EI16"/>
  <c r="EH16"/>
  <c r="EG16"/>
  <c r="EF16"/>
  <c r="EE16"/>
  <c r="ED16"/>
  <c r="EC16"/>
  <c r="EB16"/>
  <c r="EA16"/>
  <c r="DZ16"/>
  <c r="DY16"/>
  <c r="DX16"/>
  <c r="DW16"/>
  <c r="DV16"/>
  <c r="DU16"/>
  <c r="DT16"/>
  <c r="DS16"/>
  <c r="DR16"/>
  <c r="DQ16"/>
  <c r="DP16"/>
  <c r="DO16"/>
  <c r="DN16"/>
  <c r="DM16"/>
  <c r="DL16"/>
  <c r="DK16"/>
  <c r="DJ16"/>
  <c r="DI16"/>
  <c r="DH16"/>
  <c r="DG16"/>
  <c r="DF16"/>
  <c r="DE16"/>
  <c r="DD16"/>
  <c r="DC16"/>
  <c r="DB16"/>
  <c r="DA16"/>
  <c r="CZ16"/>
  <c r="CY16"/>
  <c r="CX16"/>
  <c r="CW16"/>
  <c r="CV16"/>
  <c r="CU16"/>
  <c r="CT16"/>
  <c r="CS16"/>
  <c r="CR16"/>
  <c r="CQ16"/>
  <c r="CP16"/>
  <c r="CO16"/>
  <c r="CN16"/>
  <c r="CM16"/>
  <c r="CL16"/>
  <c r="CK16"/>
  <c r="CJ16"/>
  <c r="CI16"/>
  <c r="CH16"/>
  <c r="CG16"/>
  <c r="CF16"/>
  <c r="CE16"/>
  <c r="CD16"/>
  <c r="CC16"/>
  <c r="CB16"/>
  <c r="CA16"/>
  <c r="BZ16"/>
  <c r="BY16"/>
  <c r="BX16"/>
  <c r="BW16"/>
  <c r="BV16"/>
  <c r="BU16"/>
  <c r="BT16"/>
  <c r="BS16"/>
  <c r="BR16"/>
  <c r="BQ16"/>
  <c r="BP16"/>
  <c r="BO16"/>
  <c r="BN16"/>
  <c r="BM16"/>
  <c r="BL16"/>
  <c r="BK16"/>
  <c r="BJ16"/>
  <c r="BI16"/>
  <c r="BH16"/>
  <c r="BG16"/>
  <c r="BF16"/>
  <c r="BE16"/>
  <c r="BD16"/>
  <c r="BC16"/>
  <c r="BB16"/>
  <c r="BA16"/>
  <c r="AZ16"/>
  <c r="AY16"/>
  <c r="AX16"/>
  <c r="AW16"/>
  <c r="AV16"/>
  <c r="AU16"/>
  <c r="AT16"/>
  <c r="AS16"/>
  <c r="AR16"/>
  <c r="AQ16"/>
  <c r="AP16"/>
  <c r="AO16"/>
  <c r="AN16"/>
  <c r="AM16"/>
  <c r="AL16"/>
  <c r="AK16"/>
  <c r="AJ16"/>
  <c r="AI16"/>
  <c r="AH16"/>
  <c r="AG16"/>
  <c r="AF16"/>
  <c r="AE16"/>
  <c r="AD16"/>
  <c r="AC16"/>
  <c r="AB16"/>
  <c r="AA16"/>
  <c r="Z16"/>
  <c r="Y16"/>
  <c r="X16"/>
  <c r="W16"/>
  <c r="V16"/>
  <c r="P16"/>
  <c r="Q16" s="1"/>
  <c r="K16"/>
  <c r="L16" s="1"/>
  <c r="A16"/>
  <c r="HM15"/>
  <c r="HL15"/>
  <c r="HK15"/>
  <c r="HJ15"/>
  <c r="HI15"/>
  <c r="HH15"/>
  <c r="HG15"/>
  <c r="HF15"/>
  <c r="HE15"/>
  <c r="HD15"/>
  <c r="HC15"/>
  <c r="HB15"/>
  <c r="HA15"/>
  <c r="GZ15"/>
  <c r="GY15"/>
  <c r="GX15"/>
  <c r="GW15"/>
  <c r="GV15"/>
  <c r="GU15"/>
  <c r="GT15"/>
  <c r="GS15"/>
  <c r="GR15"/>
  <c r="GQ15"/>
  <c r="GP15"/>
  <c r="GO15"/>
  <c r="GN15"/>
  <c r="GM15"/>
  <c r="GL15"/>
  <c r="GK15"/>
  <c r="GJ15"/>
  <c r="GI15"/>
  <c r="GH15"/>
  <c r="GG15"/>
  <c r="GF15"/>
  <c r="GE15"/>
  <c r="GD15"/>
  <c r="GC15"/>
  <c r="GB15"/>
  <c r="GA15"/>
  <c r="FZ15"/>
  <c r="FY15"/>
  <c r="FX15"/>
  <c r="FW15"/>
  <c r="FV15"/>
  <c r="FU15"/>
  <c r="FT15"/>
  <c r="FS15"/>
  <c r="FR15"/>
  <c r="FQ15"/>
  <c r="FP15"/>
  <c r="FO15"/>
  <c r="FN15"/>
  <c r="FM15"/>
  <c r="FL15"/>
  <c r="FK15"/>
  <c r="FJ15"/>
  <c r="FI15"/>
  <c r="FH15"/>
  <c r="FG15"/>
  <c r="FF15"/>
  <c r="FE15"/>
  <c r="FD15"/>
  <c r="FC15"/>
  <c r="FB15"/>
  <c r="FA15"/>
  <c r="EZ15"/>
  <c r="EY15"/>
  <c r="EX15"/>
  <c r="EW15"/>
  <c r="EV15"/>
  <c r="EU15"/>
  <c r="ET15"/>
  <c r="ES15"/>
  <c r="ER15"/>
  <c r="EQ15"/>
  <c r="EP15"/>
  <c r="EO15"/>
  <c r="EN15"/>
  <c r="EM15"/>
  <c r="EL15"/>
  <c r="EK15"/>
  <c r="EJ15"/>
  <c r="EI15"/>
  <c r="EH15"/>
  <c r="EG15"/>
  <c r="EF15"/>
  <c r="EE15"/>
  <c r="ED15"/>
  <c r="EC15"/>
  <c r="EB15"/>
  <c r="EA15"/>
  <c r="DZ15"/>
  <c r="DY15"/>
  <c r="DX15"/>
  <c r="DW15"/>
  <c r="DV15"/>
  <c r="DU15"/>
  <c r="DT15"/>
  <c r="DS15"/>
  <c r="DR15"/>
  <c r="DQ15"/>
  <c r="DP15"/>
  <c r="DO15"/>
  <c r="DN15"/>
  <c r="DM15"/>
  <c r="DL15"/>
  <c r="DK15"/>
  <c r="DJ15"/>
  <c r="DI15"/>
  <c r="DH15"/>
  <c r="DG15"/>
  <c r="DF15"/>
  <c r="DE15"/>
  <c r="DD15"/>
  <c r="DC15"/>
  <c r="DB15"/>
  <c r="DA15"/>
  <c r="CZ15"/>
  <c r="CY15"/>
  <c r="CX15"/>
  <c r="CW15"/>
  <c r="CV15"/>
  <c r="CU15"/>
  <c r="CT15"/>
  <c r="CS15"/>
  <c r="CR15"/>
  <c r="CQ15"/>
  <c r="CP15"/>
  <c r="CO15"/>
  <c r="CN15"/>
  <c r="CM15"/>
  <c r="CL15"/>
  <c r="CK15"/>
  <c r="CJ15"/>
  <c r="CI15"/>
  <c r="CH15"/>
  <c r="CG15"/>
  <c r="CF15"/>
  <c r="CE15"/>
  <c r="CD15"/>
  <c r="CC15"/>
  <c r="CB15"/>
  <c r="CA15"/>
  <c r="BZ15"/>
  <c r="BY15"/>
  <c r="BX15"/>
  <c r="BW15"/>
  <c r="BV15"/>
  <c r="BU15"/>
  <c r="BT15"/>
  <c r="BS15"/>
  <c r="BR15"/>
  <c r="BQ15"/>
  <c r="BP15"/>
  <c r="BO15"/>
  <c r="BN15"/>
  <c r="BM15"/>
  <c r="BL15"/>
  <c r="BK15"/>
  <c r="BJ15"/>
  <c r="BI15"/>
  <c r="BH15"/>
  <c r="BG15"/>
  <c r="BF15"/>
  <c r="BE15"/>
  <c r="BD15"/>
  <c r="BC15"/>
  <c r="BB15"/>
  <c r="BA15"/>
  <c r="AZ15"/>
  <c r="AY15"/>
  <c r="AX15"/>
  <c r="AW15"/>
  <c r="AV15"/>
  <c r="AU15"/>
  <c r="AT15"/>
  <c r="AS15"/>
  <c r="AR15"/>
  <c r="AQ15"/>
  <c r="AP15"/>
  <c r="AO15"/>
  <c r="AN15"/>
  <c r="AM15"/>
  <c r="AL15"/>
  <c r="AK15"/>
  <c r="AJ15"/>
  <c r="AI15"/>
  <c r="AH15"/>
  <c r="AG15"/>
  <c r="AF15"/>
  <c r="AE15"/>
  <c r="AD15"/>
  <c r="AC15"/>
  <c r="AB15"/>
  <c r="AA15"/>
  <c r="Z15"/>
  <c r="Y15"/>
  <c r="X15"/>
  <c r="W15"/>
  <c r="V15"/>
  <c r="P15"/>
  <c r="K15"/>
  <c r="L15" s="1"/>
  <c r="A15"/>
  <c r="HM14"/>
  <c r="HL14"/>
  <c r="HK14"/>
  <c r="HJ14"/>
  <c r="HI14"/>
  <c r="HH14"/>
  <c r="HG14"/>
  <c r="HF14"/>
  <c r="HE14"/>
  <c r="HD14"/>
  <c r="HC14"/>
  <c r="HB14"/>
  <c r="HA14"/>
  <c r="GZ14"/>
  <c r="GY14"/>
  <c r="GX14"/>
  <c r="GW14"/>
  <c r="GV14"/>
  <c r="GU14"/>
  <c r="GT14"/>
  <c r="GS14"/>
  <c r="GR14"/>
  <c r="GQ14"/>
  <c r="GP14"/>
  <c r="GO14"/>
  <c r="GN14"/>
  <c r="GM14"/>
  <c r="GL14"/>
  <c r="GK14"/>
  <c r="GJ14"/>
  <c r="GI14"/>
  <c r="GH14"/>
  <c r="GG14"/>
  <c r="GF14"/>
  <c r="GE14"/>
  <c r="GD14"/>
  <c r="GC14"/>
  <c r="GB14"/>
  <c r="GA14"/>
  <c r="FZ14"/>
  <c r="FY14"/>
  <c r="FX14"/>
  <c r="FW14"/>
  <c r="FV14"/>
  <c r="FU14"/>
  <c r="FT14"/>
  <c r="FS14"/>
  <c r="FR14"/>
  <c r="FQ14"/>
  <c r="FP14"/>
  <c r="FO14"/>
  <c r="FN14"/>
  <c r="FM14"/>
  <c r="FL14"/>
  <c r="FK14"/>
  <c r="FJ14"/>
  <c r="FI14"/>
  <c r="FH14"/>
  <c r="FG14"/>
  <c r="FF14"/>
  <c r="FE14"/>
  <c r="FD14"/>
  <c r="FC14"/>
  <c r="FB14"/>
  <c r="FA14"/>
  <c r="EZ14"/>
  <c r="EY14"/>
  <c r="EX14"/>
  <c r="EW14"/>
  <c r="EV14"/>
  <c r="EU14"/>
  <c r="ET14"/>
  <c r="ES14"/>
  <c r="ER14"/>
  <c r="EQ14"/>
  <c r="EP14"/>
  <c r="EO14"/>
  <c r="EN14"/>
  <c r="EM14"/>
  <c r="EL14"/>
  <c r="EK14"/>
  <c r="EJ14"/>
  <c r="EI14"/>
  <c r="EH14"/>
  <c r="EG14"/>
  <c r="EF14"/>
  <c r="EE14"/>
  <c r="ED14"/>
  <c r="EC14"/>
  <c r="EB14"/>
  <c r="EA14"/>
  <c r="DZ14"/>
  <c r="DY14"/>
  <c r="DX14"/>
  <c r="DW14"/>
  <c r="DV14"/>
  <c r="DU14"/>
  <c r="DT14"/>
  <c r="DS14"/>
  <c r="DR14"/>
  <c r="DQ14"/>
  <c r="DP14"/>
  <c r="DO14"/>
  <c r="DN14"/>
  <c r="DM14"/>
  <c r="DL14"/>
  <c r="DK14"/>
  <c r="DJ14"/>
  <c r="DI14"/>
  <c r="DH14"/>
  <c r="DG14"/>
  <c r="DF14"/>
  <c r="DE14"/>
  <c r="DD14"/>
  <c r="DC14"/>
  <c r="DB14"/>
  <c r="DA14"/>
  <c r="CZ14"/>
  <c r="CY14"/>
  <c r="CX14"/>
  <c r="CW14"/>
  <c r="CV14"/>
  <c r="CU14"/>
  <c r="CT14"/>
  <c r="CS14"/>
  <c r="CR14"/>
  <c r="CQ14"/>
  <c r="CP14"/>
  <c r="CO14"/>
  <c r="CN14"/>
  <c r="CM14"/>
  <c r="CL14"/>
  <c r="CK14"/>
  <c r="CJ14"/>
  <c r="CI14"/>
  <c r="CH14"/>
  <c r="CG14"/>
  <c r="CF14"/>
  <c r="CE14"/>
  <c r="CD14"/>
  <c r="CC14"/>
  <c r="CB14"/>
  <c r="CA14"/>
  <c r="BZ14"/>
  <c r="BY14"/>
  <c r="BX14"/>
  <c r="BW14"/>
  <c r="BV14"/>
  <c r="BU14"/>
  <c r="BT14"/>
  <c r="BS14"/>
  <c r="BR14"/>
  <c r="BQ14"/>
  <c r="BP14"/>
  <c r="BO14"/>
  <c r="BN14"/>
  <c r="BM14"/>
  <c r="BL14"/>
  <c r="BK14"/>
  <c r="BJ14"/>
  <c r="BI14"/>
  <c r="BH14"/>
  <c r="BG14"/>
  <c r="BF14"/>
  <c r="BE14"/>
  <c r="BD14"/>
  <c r="BC14"/>
  <c r="BB14"/>
  <c r="BA14"/>
  <c r="AZ14"/>
  <c r="AY14"/>
  <c r="AX14"/>
  <c r="AW14"/>
  <c r="AV14"/>
  <c r="AU14"/>
  <c r="AT14"/>
  <c r="AS14"/>
  <c r="AR14"/>
  <c r="AQ14"/>
  <c r="AP14"/>
  <c r="AO14"/>
  <c r="AN14"/>
  <c r="AM14"/>
  <c r="AL14"/>
  <c r="AK14"/>
  <c r="AJ14"/>
  <c r="AI14"/>
  <c r="AH14"/>
  <c r="AG14"/>
  <c r="AF14"/>
  <c r="AE14"/>
  <c r="AD14"/>
  <c r="AC14"/>
  <c r="AB14"/>
  <c r="AA14"/>
  <c r="Z14"/>
  <c r="Y14"/>
  <c r="X14"/>
  <c r="W14"/>
  <c r="V14"/>
  <c r="P14"/>
  <c r="K14"/>
  <c r="L14" s="1"/>
  <c r="A14"/>
  <c r="HM13"/>
  <c r="HL13"/>
  <c r="HK13"/>
  <c r="HJ13"/>
  <c r="HI13"/>
  <c r="HH13"/>
  <c r="HG13"/>
  <c r="HF13"/>
  <c r="HE13"/>
  <c r="HD13"/>
  <c r="HC13"/>
  <c r="HB13"/>
  <c r="HA13"/>
  <c r="GZ13"/>
  <c r="GY13"/>
  <c r="GX13"/>
  <c r="GW13"/>
  <c r="GV13"/>
  <c r="GU13"/>
  <c r="GT13"/>
  <c r="GS13"/>
  <c r="GR13"/>
  <c r="GQ13"/>
  <c r="GP13"/>
  <c r="GO13"/>
  <c r="GN13"/>
  <c r="GM13"/>
  <c r="GL13"/>
  <c r="GK13"/>
  <c r="GJ13"/>
  <c r="GI13"/>
  <c r="GH13"/>
  <c r="GG13"/>
  <c r="GF13"/>
  <c r="GE13"/>
  <c r="GD13"/>
  <c r="GC13"/>
  <c r="GB13"/>
  <c r="GA13"/>
  <c r="FZ13"/>
  <c r="FY13"/>
  <c r="FX13"/>
  <c r="FW13"/>
  <c r="FV13"/>
  <c r="FU13"/>
  <c r="FT13"/>
  <c r="FS13"/>
  <c r="FR13"/>
  <c r="FQ13"/>
  <c r="FP13"/>
  <c r="FO13"/>
  <c r="FN13"/>
  <c r="FM13"/>
  <c r="FL13"/>
  <c r="FK13"/>
  <c r="FJ13"/>
  <c r="FI13"/>
  <c r="FH13"/>
  <c r="FG13"/>
  <c r="FF13"/>
  <c r="FE13"/>
  <c r="FD13"/>
  <c r="FC13"/>
  <c r="FB13"/>
  <c r="FA13"/>
  <c r="EZ13"/>
  <c r="EY13"/>
  <c r="EX13"/>
  <c r="EW13"/>
  <c r="EV13"/>
  <c r="EU13"/>
  <c r="ET13"/>
  <c r="ES13"/>
  <c r="ER13"/>
  <c r="EQ13"/>
  <c r="EP13"/>
  <c r="EO13"/>
  <c r="EN13"/>
  <c r="EM13"/>
  <c r="EL13"/>
  <c r="EK13"/>
  <c r="EJ13"/>
  <c r="EI13"/>
  <c r="EH13"/>
  <c r="EG13"/>
  <c r="EF13"/>
  <c r="EE13"/>
  <c r="ED13"/>
  <c r="EC13"/>
  <c r="EB13"/>
  <c r="EA13"/>
  <c r="DZ13"/>
  <c r="DY13"/>
  <c r="DX13"/>
  <c r="DW13"/>
  <c r="DV13"/>
  <c r="DU13"/>
  <c r="DT13"/>
  <c r="DS13"/>
  <c r="DR13"/>
  <c r="DQ13"/>
  <c r="DP13"/>
  <c r="DO13"/>
  <c r="DN13"/>
  <c r="DM13"/>
  <c r="DL13"/>
  <c r="DK13"/>
  <c r="DJ13"/>
  <c r="DI13"/>
  <c r="DH13"/>
  <c r="DG13"/>
  <c r="DF13"/>
  <c r="DE13"/>
  <c r="DD13"/>
  <c r="DC13"/>
  <c r="DB13"/>
  <c r="DA13"/>
  <c r="CZ13"/>
  <c r="CY13"/>
  <c r="CX13"/>
  <c r="CW13"/>
  <c r="CV13"/>
  <c r="CU13"/>
  <c r="CT13"/>
  <c r="CS13"/>
  <c r="CR13"/>
  <c r="CQ13"/>
  <c r="CP13"/>
  <c r="CO13"/>
  <c r="CN13"/>
  <c r="CM13"/>
  <c r="CL13"/>
  <c r="CK13"/>
  <c r="CJ13"/>
  <c r="CI13"/>
  <c r="CH13"/>
  <c r="CG13"/>
  <c r="CF13"/>
  <c r="CE13"/>
  <c r="CD13"/>
  <c r="CC13"/>
  <c r="CB13"/>
  <c r="CA13"/>
  <c r="BZ13"/>
  <c r="BY13"/>
  <c r="BX13"/>
  <c r="BW13"/>
  <c r="BV13"/>
  <c r="BU13"/>
  <c r="BT13"/>
  <c r="BS13"/>
  <c r="BR13"/>
  <c r="BQ13"/>
  <c r="BP13"/>
  <c r="BO13"/>
  <c r="BN13"/>
  <c r="BM13"/>
  <c r="BL13"/>
  <c r="BK13"/>
  <c r="BJ13"/>
  <c r="BI13"/>
  <c r="BH13"/>
  <c r="BG13"/>
  <c r="BF13"/>
  <c r="BE13"/>
  <c r="BD13"/>
  <c r="BC13"/>
  <c r="BB13"/>
  <c r="BA13"/>
  <c r="AZ13"/>
  <c r="AY13"/>
  <c r="AX13"/>
  <c r="AW13"/>
  <c r="AV13"/>
  <c r="AU13"/>
  <c r="AT13"/>
  <c r="AS13"/>
  <c r="AR13"/>
  <c r="AQ13"/>
  <c r="AP13"/>
  <c r="AO13"/>
  <c r="AN13"/>
  <c r="AM13"/>
  <c r="AL13"/>
  <c r="AK13"/>
  <c r="AJ13"/>
  <c r="AI13"/>
  <c r="AH13"/>
  <c r="AG13"/>
  <c r="AF13"/>
  <c r="AE13"/>
  <c r="AD13"/>
  <c r="AC13"/>
  <c r="AB13"/>
  <c r="AA13"/>
  <c r="Z13"/>
  <c r="Y13"/>
  <c r="X13"/>
  <c r="W13"/>
  <c r="V13"/>
  <c r="P13"/>
  <c r="K13"/>
  <c r="L13" s="1"/>
  <c r="A13"/>
  <c r="HM12"/>
  <c r="HL12"/>
  <c r="HK12"/>
  <c r="HJ12"/>
  <c r="HI12"/>
  <c r="HH12"/>
  <c r="HG12"/>
  <c r="HF12"/>
  <c r="HE12"/>
  <c r="HD12"/>
  <c r="HC12"/>
  <c r="HB12"/>
  <c r="HA12"/>
  <c r="GZ12"/>
  <c r="GY12"/>
  <c r="GX12"/>
  <c r="GW12"/>
  <c r="GV12"/>
  <c r="GU12"/>
  <c r="GT12"/>
  <c r="GS12"/>
  <c r="GR12"/>
  <c r="GQ12"/>
  <c r="GP12"/>
  <c r="GO12"/>
  <c r="GN12"/>
  <c r="GM12"/>
  <c r="GL12"/>
  <c r="GK12"/>
  <c r="GJ12"/>
  <c r="GI12"/>
  <c r="GH12"/>
  <c r="GG12"/>
  <c r="GF12"/>
  <c r="GE12"/>
  <c r="GD12"/>
  <c r="GC12"/>
  <c r="GB12"/>
  <c r="GA12"/>
  <c r="FZ12"/>
  <c r="FY12"/>
  <c r="FX12"/>
  <c r="FW12"/>
  <c r="FV12"/>
  <c r="FU12"/>
  <c r="FT12"/>
  <c r="FS12"/>
  <c r="FR12"/>
  <c r="FQ12"/>
  <c r="FP12"/>
  <c r="FO12"/>
  <c r="FN12"/>
  <c r="FM12"/>
  <c r="FL12"/>
  <c r="FK12"/>
  <c r="FJ12"/>
  <c r="FI12"/>
  <c r="FH12"/>
  <c r="FG12"/>
  <c r="FF12"/>
  <c r="FE12"/>
  <c r="FD12"/>
  <c r="FC12"/>
  <c r="FB12"/>
  <c r="FA12"/>
  <c r="EZ12"/>
  <c r="EY12"/>
  <c r="EX12"/>
  <c r="EW12"/>
  <c r="EV12"/>
  <c r="EU12"/>
  <c r="ET12"/>
  <c r="ES12"/>
  <c r="ER12"/>
  <c r="EQ12"/>
  <c r="EP12"/>
  <c r="EO12"/>
  <c r="EN12"/>
  <c r="EM12"/>
  <c r="EL12"/>
  <c r="EK12"/>
  <c r="EJ12"/>
  <c r="EI12"/>
  <c r="EH12"/>
  <c r="EG12"/>
  <c r="EF12"/>
  <c r="EE12"/>
  <c r="ED12"/>
  <c r="EC12"/>
  <c r="EB12"/>
  <c r="EA12"/>
  <c r="DZ12"/>
  <c r="DY12"/>
  <c r="DX12"/>
  <c r="DW12"/>
  <c r="DV12"/>
  <c r="DU12"/>
  <c r="DT12"/>
  <c r="DS12"/>
  <c r="DR12"/>
  <c r="DQ12"/>
  <c r="DP12"/>
  <c r="DO12"/>
  <c r="DN12"/>
  <c r="DM12"/>
  <c r="DL12"/>
  <c r="DK12"/>
  <c r="DJ12"/>
  <c r="DI12"/>
  <c r="DH12"/>
  <c r="DG12"/>
  <c r="DF12"/>
  <c r="DE12"/>
  <c r="DD12"/>
  <c r="DC12"/>
  <c r="DB12"/>
  <c r="DA12"/>
  <c r="CZ12"/>
  <c r="CY12"/>
  <c r="CX12"/>
  <c r="CW12"/>
  <c r="CV12"/>
  <c r="CU12"/>
  <c r="CT12"/>
  <c r="CS12"/>
  <c r="CR12"/>
  <c r="CQ12"/>
  <c r="CP12"/>
  <c r="CO12"/>
  <c r="CN12"/>
  <c r="CM12"/>
  <c r="CL12"/>
  <c r="CK12"/>
  <c r="CJ12"/>
  <c r="CI12"/>
  <c r="CH12"/>
  <c r="CG12"/>
  <c r="CF12"/>
  <c r="CE12"/>
  <c r="CD12"/>
  <c r="CC12"/>
  <c r="CB12"/>
  <c r="CA12"/>
  <c r="BZ12"/>
  <c r="BY12"/>
  <c r="BX12"/>
  <c r="BW12"/>
  <c r="BV12"/>
  <c r="BU12"/>
  <c r="BT12"/>
  <c r="BS12"/>
  <c r="BR12"/>
  <c r="BQ12"/>
  <c r="BP12"/>
  <c r="BO12"/>
  <c r="BN12"/>
  <c r="BM12"/>
  <c r="BL12"/>
  <c r="BK12"/>
  <c r="BJ12"/>
  <c r="BI12"/>
  <c r="BH12"/>
  <c r="BG12"/>
  <c r="BF12"/>
  <c r="BE12"/>
  <c r="BD12"/>
  <c r="BC12"/>
  <c r="BB12"/>
  <c r="BA12"/>
  <c r="AZ12"/>
  <c r="AY12"/>
  <c r="AX12"/>
  <c r="AW12"/>
  <c r="AV12"/>
  <c r="AU12"/>
  <c r="AT12"/>
  <c r="AS12"/>
  <c r="AR12"/>
  <c r="AQ12"/>
  <c r="AP12"/>
  <c r="AO12"/>
  <c r="AN12"/>
  <c r="AM12"/>
  <c r="AL12"/>
  <c r="AK12"/>
  <c r="AJ12"/>
  <c r="AI12"/>
  <c r="AH12"/>
  <c r="AG12"/>
  <c r="AF12"/>
  <c r="AE12"/>
  <c r="AD12"/>
  <c r="AC12"/>
  <c r="AB12"/>
  <c r="AA12"/>
  <c r="Z12"/>
  <c r="Y12"/>
  <c r="X12"/>
  <c r="W12"/>
  <c r="V12"/>
  <c r="P12"/>
  <c r="K12"/>
  <c r="L12" s="1"/>
  <c r="A12"/>
  <c r="HM11"/>
  <c r="HL11"/>
  <c r="HK11"/>
  <c r="HJ11"/>
  <c r="HI11"/>
  <c r="HH11"/>
  <c r="HG11"/>
  <c r="HF11"/>
  <c r="HE11"/>
  <c r="HD11"/>
  <c r="HC11"/>
  <c r="HB11"/>
  <c r="HA11"/>
  <c r="GZ11"/>
  <c r="GY11"/>
  <c r="GX11"/>
  <c r="GW11"/>
  <c r="GV11"/>
  <c r="GU11"/>
  <c r="GT11"/>
  <c r="GS11"/>
  <c r="GR11"/>
  <c r="GQ11"/>
  <c r="GP11"/>
  <c r="GO11"/>
  <c r="GN11"/>
  <c r="GM11"/>
  <c r="GL11"/>
  <c r="GK11"/>
  <c r="GJ11"/>
  <c r="GI11"/>
  <c r="GH11"/>
  <c r="GG11"/>
  <c r="GF11"/>
  <c r="GE11"/>
  <c r="GD11"/>
  <c r="GC11"/>
  <c r="GB11"/>
  <c r="GA11"/>
  <c r="FZ11"/>
  <c r="FY11"/>
  <c r="FX11"/>
  <c r="FW11"/>
  <c r="FV11"/>
  <c r="FU11"/>
  <c r="FT11"/>
  <c r="FS11"/>
  <c r="FR11"/>
  <c r="FQ11"/>
  <c r="FP11"/>
  <c r="FO11"/>
  <c r="FN11"/>
  <c r="FM11"/>
  <c r="FL11"/>
  <c r="FK11"/>
  <c r="FJ11"/>
  <c r="FI11"/>
  <c r="FH11"/>
  <c r="FG11"/>
  <c r="FF11"/>
  <c r="FE11"/>
  <c r="FD11"/>
  <c r="FC11"/>
  <c r="FB11"/>
  <c r="FA11"/>
  <c r="EZ11"/>
  <c r="EY11"/>
  <c r="EX11"/>
  <c r="EW11"/>
  <c r="EV11"/>
  <c r="EU11"/>
  <c r="ET11"/>
  <c r="ES11"/>
  <c r="ER11"/>
  <c r="EQ11"/>
  <c r="EP11"/>
  <c r="EO11"/>
  <c r="EN11"/>
  <c r="EM11"/>
  <c r="EL11"/>
  <c r="EK11"/>
  <c r="EJ11"/>
  <c r="EI11"/>
  <c r="EH11"/>
  <c r="EG11"/>
  <c r="EF11"/>
  <c r="EE11"/>
  <c r="ED11"/>
  <c r="EC11"/>
  <c r="EB11"/>
  <c r="EA11"/>
  <c r="DZ11"/>
  <c r="DY11"/>
  <c r="DX11"/>
  <c r="DW11"/>
  <c r="DV11"/>
  <c r="DU11"/>
  <c r="DT11"/>
  <c r="DS11"/>
  <c r="DR11"/>
  <c r="DQ11"/>
  <c r="DP11"/>
  <c r="DO11"/>
  <c r="DN11"/>
  <c r="DM11"/>
  <c r="DL11"/>
  <c r="DK11"/>
  <c r="DJ11"/>
  <c r="DI11"/>
  <c r="DH11"/>
  <c r="DG11"/>
  <c r="DF11"/>
  <c r="DE11"/>
  <c r="DD11"/>
  <c r="DC11"/>
  <c r="DB11"/>
  <c r="DA11"/>
  <c r="CZ11"/>
  <c r="CY11"/>
  <c r="CX11"/>
  <c r="CW11"/>
  <c r="CV11"/>
  <c r="CU11"/>
  <c r="CT11"/>
  <c r="CS11"/>
  <c r="CR11"/>
  <c r="CQ11"/>
  <c r="CP11"/>
  <c r="CO11"/>
  <c r="CN11"/>
  <c r="CM11"/>
  <c r="CL11"/>
  <c r="CK11"/>
  <c r="CJ11"/>
  <c r="CI11"/>
  <c r="CH11"/>
  <c r="CG11"/>
  <c r="CF11"/>
  <c r="CE11"/>
  <c r="CD11"/>
  <c r="CC11"/>
  <c r="CB11"/>
  <c r="CA11"/>
  <c r="BZ11"/>
  <c r="BY11"/>
  <c r="BX11"/>
  <c r="BW11"/>
  <c r="BV11"/>
  <c r="BU11"/>
  <c r="BT11"/>
  <c r="BS11"/>
  <c r="BR11"/>
  <c r="BQ11"/>
  <c r="BP11"/>
  <c r="BO11"/>
  <c r="BN11"/>
  <c r="BM11"/>
  <c r="BL11"/>
  <c r="BK11"/>
  <c r="BJ11"/>
  <c r="BI11"/>
  <c r="BH11"/>
  <c r="BG11"/>
  <c r="BF11"/>
  <c r="BE11"/>
  <c r="BD11"/>
  <c r="BC11"/>
  <c r="BB11"/>
  <c r="BA11"/>
  <c r="AZ11"/>
  <c r="AY11"/>
  <c r="AX11"/>
  <c r="AW11"/>
  <c r="AV11"/>
  <c r="AU11"/>
  <c r="AT11"/>
  <c r="AS11"/>
  <c r="AR11"/>
  <c r="AQ11"/>
  <c r="AP11"/>
  <c r="AO11"/>
  <c r="AN11"/>
  <c r="AM11"/>
  <c r="AL11"/>
  <c r="AK11"/>
  <c r="AJ11"/>
  <c r="AI11"/>
  <c r="AH11"/>
  <c r="AG11"/>
  <c r="AF11"/>
  <c r="AE11"/>
  <c r="AD11"/>
  <c r="AC11"/>
  <c r="AB11"/>
  <c r="AA11"/>
  <c r="Z11"/>
  <c r="Y11"/>
  <c r="X11"/>
  <c r="W11"/>
  <c r="V11"/>
  <c r="P11"/>
  <c r="K11"/>
  <c r="L11" s="1"/>
  <c r="A11"/>
  <c r="HM10"/>
  <c r="HL10"/>
  <c r="HK10"/>
  <c r="HJ10"/>
  <c r="HI10"/>
  <c r="HH10"/>
  <c r="HG10"/>
  <c r="HF10"/>
  <c r="HE10"/>
  <c r="HD10"/>
  <c r="HC10"/>
  <c r="HB10"/>
  <c r="HA10"/>
  <c r="GZ10"/>
  <c r="GY10"/>
  <c r="GX10"/>
  <c r="GW10"/>
  <c r="GV10"/>
  <c r="GU10"/>
  <c r="GT10"/>
  <c r="GS10"/>
  <c r="GR10"/>
  <c r="GQ10"/>
  <c r="GP10"/>
  <c r="GO10"/>
  <c r="GN10"/>
  <c r="GM10"/>
  <c r="GL10"/>
  <c r="GK10"/>
  <c r="GJ10"/>
  <c r="GI10"/>
  <c r="GH10"/>
  <c r="GG10"/>
  <c r="GF10"/>
  <c r="GE10"/>
  <c r="GD10"/>
  <c r="GC10"/>
  <c r="GB10"/>
  <c r="GA10"/>
  <c r="FZ10"/>
  <c r="FY10"/>
  <c r="FX10"/>
  <c r="FW10"/>
  <c r="FV10"/>
  <c r="FU10"/>
  <c r="FT10"/>
  <c r="FS10"/>
  <c r="FR10"/>
  <c r="FQ10"/>
  <c r="FP10"/>
  <c r="FO10"/>
  <c r="FN10"/>
  <c r="FM10"/>
  <c r="FL10"/>
  <c r="FK10"/>
  <c r="FJ10"/>
  <c r="FI10"/>
  <c r="FH10"/>
  <c r="FG10"/>
  <c r="FF10"/>
  <c r="FE10"/>
  <c r="FD10"/>
  <c r="FC10"/>
  <c r="FB10"/>
  <c r="FA10"/>
  <c r="EZ10"/>
  <c r="EY10"/>
  <c r="EX10"/>
  <c r="EW10"/>
  <c r="EV10"/>
  <c r="EU10"/>
  <c r="ET10"/>
  <c r="ES10"/>
  <c r="ER10"/>
  <c r="EQ10"/>
  <c r="EP10"/>
  <c r="EO10"/>
  <c r="EN10"/>
  <c r="EM10"/>
  <c r="EL10"/>
  <c r="EK10"/>
  <c r="EJ10"/>
  <c r="EI10"/>
  <c r="EH10"/>
  <c r="EG10"/>
  <c r="EF10"/>
  <c r="EE10"/>
  <c r="ED10"/>
  <c r="EC10"/>
  <c r="EB10"/>
  <c r="EA10"/>
  <c r="DZ10"/>
  <c r="DY10"/>
  <c r="DX10"/>
  <c r="DW10"/>
  <c r="DV10"/>
  <c r="DU10"/>
  <c r="DT10"/>
  <c r="DS10"/>
  <c r="DR10"/>
  <c r="DQ10"/>
  <c r="DP10"/>
  <c r="DO10"/>
  <c r="DN10"/>
  <c r="DM10"/>
  <c r="DL10"/>
  <c r="DK10"/>
  <c r="DJ10"/>
  <c r="DI10"/>
  <c r="DH10"/>
  <c r="DG10"/>
  <c r="DF10"/>
  <c r="DE10"/>
  <c r="DD10"/>
  <c r="DC10"/>
  <c r="DB10"/>
  <c r="DA10"/>
  <c r="CZ10"/>
  <c r="CY10"/>
  <c r="CX10"/>
  <c r="CW10"/>
  <c r="CV10"/>
  <c r="CU10"/>
  <c r="CT10"/>
  <c r="CS10"/>
  <c r="CR10"/>
  <c r="CQ10"/>
  <c r="CP10"/>
  <c r="CO10"/>
  <c r="CN10"/>
  <c r="CM10"/>
  <c r="CL10"/>
  <c r="CK10"/>
  <c r="CJ10"/>
  <c r="CI10"/>
  <c r="CH10"/>
  <c r="CG10"/>
  <c r="CF10"/>
  <c r="CE10"/>
  <c r="CD10"/>
  <c r="CC10"/>
  <c r="CB10"/>
  <c r="CA10"/>
  <c r="BZ10"/>
  <c r="BY10"/>
  <c r="BX10"/>
  <c r="BW10"/>
  <c r="BV10"/>
  <c r="BU10"/>
  <c r="BT10"/>
  <c r="BS10"/>
  <c r="BR10"/>
  <c r="BQ10"/>
  <c r="BP10"/>
  <c r="BO10"/>
  <c r="BN10"/>
  <c r="BM10"/>
  <c r="BL10"/>
  <c r="BK10"/>
  <c r="BJ10"/>
  <c r="BI10"/>
  <c r="BH10"/>
  <c r="BG10"/>
  <c r="BF10"/>
  <c r="BE10"/>
  <c r="BD10"/>
  <c r="BC10"/>
  <c r="BB10"/>
  <c r="BA10"/>
  <c r="AZ10"/>
  <c r="AY10"/>
  <c r="AX10"/>
  <c r="AW10"/>
  <c r="AV10"/>
  <c r="AU10"/>
  <c r="AT10"/>
  <c r="AS10"/>
  <c r="AR10"/>
  <c r="AQ10"/>
  <c r="AP10"/>
  <c r="AO10"/>
  <c r="AN10"/>
  <c r="AM10"/>
  <c r="AL10"/>
  <c r="AK10"/>
  <c r="AJ10"/>
  <c r="AI10"/>
  <c r="AH10"/>
  <c r="AG10"/>
  <c r="AF10"/>
  <c r="AE10"/>
  <c r="AD10"/>
  <c r="AC10"/>
  <c r="AB10"/>
  <c r="AA10"/>
  <c r="Z10"/>
  <c r="Y10"/>
  <c r="X10"/>
  <c r="W10"/>
  <c r="V10"/>
  <c r="P10"/>
  <c r="K10"/>
  <c r="L10" s="1"/>
  <c r="A10"/>
  <c r="T3"/>
  <c r="M31" i="29"/>
  <c r="L31"/>
  <c r="K31"/>
  <c r="J31"/>
  <c r="I31"/>
  <c r="M17"/>
  <c r="L17"/>
  <c r="K17"/>
  <c r="J17"/>
  <c r="I17"/>
  <c r="J165" i="15"/>
  <c r="J163"/>
  <c r="O162"/>
  <c r="V158"/>
  <c r="V145"/>
  <c r="P143"/>
  <c r="P147" s="1"/>
  <c r="J143"/>
  <c r="J147" s="1"/>
  <c r="V135"/>
  <c r="V134"/>
  <c r="S127"/>
  <c r="P127"/>
  <c r="M127"/>
  <c r="J127"/>
  <c r="G127"/>
  <c r="U126"/>
  <c r="A126"/>
  <c r="V124"/>
  <c r="O124"/>
  <c r="S123"/>
  <c r="P123"/>
  <c r="M123"/>
  <c r="J123"/>
  <c r="G123"/>
  <c r="U122"/>
  <c r="A122"/>
  <c r="V116"/>
  <c r="O116"/>
  <c r="S115"/>
  <c r="P115"/>
  <c r="M115"/>
  <c r="J115"/>
  <c r="G115"/>
  <c r="F112" s="1"/>
  <c r="V111"/>
  <c r="O111"/>
  <c r="S110"/>
  <c r="G110"/>
  <c r="U109"/>
  <c r="A109"/>
  <c r="V105"/>
  <c r="O105"/>
  <c r="S104"/>
  <c r="G104"/>
  <c r="U103"/>
  <c r="A103"/>
  <c r="U102"/>
  <c r="A102"/>
  <c r="V94"/>
  <c r="O94"/>
  <c r="V92"/>
  <c r="S90"/>
  <c r="G90"/>
  <c r="U89"/>
  <c r="A89"/>
  <c r="V83"/>
  <c r="O83"/>
  <c r="S82"/>
  <c r="P82"/>
  <c r="M82"/>
  <c r="J82"/>
  <c r="G82"/>
  <c r="V77"/>
  <c r="O77"/>
  <c r="S76"/>
  <c r="P76"/>
  <c r="M76"/>
  <c r="J76"/>
  <c r="G76"/>
  <c r="U75"/>
  <c r="A75"/>
  <c r="V64"/>
  <c r="O64"/>
  <c r="S63"/>
  <c r="P63"/>
  <c r="M63"/>
  <c r="J63"/>
  <c r="G63"/>
  <c r="U62"/>
  <c r="A62"/>
  <c r="U61"/>
  <c r="A61"/>
  <c r="V51"/>
  <c r="O51"/>
  <c r="V49"/>
  <c r="V45"/>
  <c r="O45"/>
  <c r="V39"/>
  <c r="O39"/>
  <c r="S37"/>
  <c r="P37"/>
  <c r="M37"/>
  <c r="J37"/>
  <c r="G37"/>
  <c r="E36"/>
  <c r="E35"/>
  <c r="E34"/>
  <c r="V33"/>
  <c r="O33"/>
  <c r="S32"/>
  <c r="P32"/>
  <c r="M32"/>
  <c r="J32"/>
  <c r="G32"/>
  <c r="V28"/>
  <c r="O28"/>
  <c r="S27"/>
  <c r="P27"/>
  <c r="M27"/>
  <c r="J27"/>
  <c r="G27"/>
  <c r="V24"/>
  <c r="O24"/>
  <c r="S23"/>
  <c r="M23"/>
  <c r="G23"/>
  <c r="V18"/>
  <c r="O18"/>
  <c r="S17"/>
  <c r="P17"/>
  <c r="M17"/>
  <c r="J17"/>
  <c r="G17"/>
  <c r="U16"/>
  <c r="A16"/>
  <c r="U15"/>
  <c r="A15"/>
  <c r="U14"/>
  <c r="A14"/>
  <c r="V7"/>
  <c r="O7"/>
  <c r="V5"/>
  <c r="E535" i="25"/>
  <c r="D535"/>
  <c r="C535"/>
  <c r="B535"/>
  <c r="E534"/>
  <c r="D534"/>
  <c r="C534"/>
  <c r="B534"/>
  <c r="E533"/>
  <c r="D533"/>
  <c r="C533"/>
  <c r="B533"/>
  <c r="E532"/>
  <c r="D532"/>
  <c r="C532"/>
  <c r="B532"/>
  <c r="E531"/>
  <c r="D531"/>
  <c r="C531"/>
  <c r="B531"/>
  <c r="E530"/>
  <c r="D530"/>
  <c r="C530"/>
  <c r="B530"/>
  <c r="E529"/>
  <c r="D529"/>
  <c r="C529"/>
  <c r="B529"/>
  <c r="E528"/>
  <c r="D528"/>
  <c r="C528"/>
  <c r="B528"/>
  <c r="E527"/>
  <c r="D527"/>
  <c r="C527"/>
  <c r="B527"/>
  <c r="E526"/>
  <c r="D526"/>
  <c r="C526"/>
  <c r="B526"/>
  <c r="E525"/>
  <c r="D525"/>
  <c r="C525"/>
  <c r="B525"/>
  <c r="E524"/>
  <c r="D524"/>
  <c r="C524"/>
  <c r="B524"/>
  <c r="E523"/>
  <c r="D523"/>
  <c r="C523"/>
  <c r="B523"/>
  <c r="E522"/>
  <c r="D522"/>
  <c r="C522"/>
  <c r="B522"/>
  <c r="E521"/>
  <c r="D521"/>
  <c r="C521"/>
  <c r="B521"/>
  <c r="E520"/>
  <c r="D520"/>
  <c r="C520"/>
  <c r="B520"/>
  <c r="E519"/>
  <c r="D519"/>
  <c r="C519"/>
  <c r="B519"/>
  <c r="E518"/>
  <c r="D518"/>
  <c r="C518"/>
  <c r="B518"/>
  <c r="E517"/>
  <c r="D517"/>
  <c r="C517"/>
  <c r="B517"/>
  <c r="E516"/>
  <c r="D516"/>
  <c r="C516"/>
  <c r="B516"/>
  <c r="E515"/>
  <c r="D515"/>
  <c r="C515"/>
  <c r="B515"/>
  <c r="E514"/>
  <c r="D514"/>
  <c r="C514"/>
  <c r="B514"/>
  <c r="E513"/>
  <c r="D513"/>
  <c r="C513"/>
  <c r="B513"/>
  <c r="E512"/>
  <c r="D512"/>
  <c r="C512"/>
  <c r="B512"/>
  <c r="E511"/>
  <c r="D511"/>
  <c r="C511"/>
  <c r="B511"/>
  <c r="E510"/>
  <c r="D510"/>
  <c r="C510"/>
  <c r="B510"/>
  <c r="E509"/>
  <c r="D509"/>
  <c r="C509"/>
  <c r="B509"/>
  <c r="E508"/>
  <c r="D508"/>
  <c r="C508"/>
  <c r="B508"/>
  <c r="E507"/>
  <c r="D507"/>
  <c r="C507"/>
  <c r="B507"/>
  <c r="E506"/>
  <c r="D506"/>
  <c r="C506"/>
  <c r="B506"/>
  <c r="E505"/>
  <c r="D505"/>
  <c r="C505"/>
  <c r="B505"/>
  <c r="E504"/>
  <c r="D504"/>
  <c r="C504"/>
  <c r="B504"/>
  <c r="E503"/>
  <c r="D503"/>
  <c r="C503"/>
  <c r="B503"/>
  <c r="E502"/>
  <c r="D502"/>
  <c r="C502"/>
  <c r="B502"/>
  <c r="E501"/>
  <c r="D501"/>
  <c r="C501"/>
  <c r="B501"/>
  <c r="E500"/>
  <c r="D500"/>
  <c r="C500"/>
  <c r="B500"/>
  <c r="E499"/>
  <c r="D499"/>
  <c r="C499"/>
  <c r="B499"/>
  <c r="E498"/>
  <c r="D498"/>
  <c r="C498"/>
  <c r="B498"/>
  <c r="E497"/>
  <c r="D497"/>
  <c r="C497"/>
  <c r="B497"/>
  <c r="E496"/>
  <c r="D496"/>
  <c r="C496"/>
  <c r="B496"/>
  <c r="E495"/>
  <c r="D495"/>
  <c r="C495"/>
  <c r="B495"/>
  <c r="E494"/>
  <c r="D494"/>
  <c r="C494"/>
  <c r="B494"/>
  <c r="E493"/>
  <c r="D493"/>
  <c r="C493"/>
  <c r="B493"/>
  <c r="E492"/>
  <c r="D492"/>
  <c r="C492"/>
  <c r="B492"/>
  <c r="E491"/>
  <c r="D491"/>
  <c r="C491"/>
  <c r="B491"/>
  <c r="E490"/>
  <c r="D490"/>
  <c r="C490"/>
  <c r="B490"/>
  <c r="E489"/>
  <c r="D489"/>
  <c r="C489"/>
  <c r="B489"/>
  <c r="E488"/>
  <c r="D488"/>
  <c r="C488"/>
  <c r="B488"/>
  <c r="E487"/>
  <c r="D487"/>
  <c r="C487"/>
  <c r="B487"/>
  <c r="E486"/>
  <c r="D486"/>
  <c r="C486"/>
  <c r="B486"/>
  <c r="E485"/>
  <c r="D485"/>
  <c r="C485"/>
  <c r="B485"/>
  <c r="E484"/>
  <c r="D484"/>
  <c r="C484"/>
  <c r="B484"/>
  <c r="E483"/>
  <c r="D483"/>
  <c r="C483"/>
  <c r="B483"/>
  <c r="E482"/>
  <c r="D482"/>
  <c r="C482"/>
  <c r="B482"/>
  <c r="E481"/>
  <c r="D481"/>
  <c r="C481"/>
  <c r="B481"/>
  <c r="E480"/>
  <c r="D480"/>
  <c r="C480"/>
  <c r="B480"/>
  <c r="E479"/>
  <c r="D479"/>
  <c r="C479"/>
  <c r="B479"/>
  <c r="E478"/>
  <c r="D478"/>
  <c r="C478"/>
  <c r="B478"/>
  <c r="E477"/>
  <c r="D477"/>
  <c r="C477"/>
  <c r="B477"/>
  <c r="E476"/>
  <c r="D476"/>
  <c r="C476"/>
  <c r="B476"/>
  <c r="E475"/>
  <c r="D475"/>
  <c r="C475"/>
  <c r="B475"/>
  <c r="E474"/>
  <c r="D474"/>
  <c r="C474"/>
  <c r="B474"/>
  <c r="E473"/>
  <c r="D473"/>
  <c r="C473"/>
  <c r="B473"/>
  <c r="E472"/>
  <c r="D472"/>
  <c r="C472"/>
  <c r="B472"/>
  <c r="E471"/>
  <c r="D471"/>
  <c r="C471"/>
  <c r="B471"/>
  <c r="E470"/>
  <c r="D470"/>
  <c r="C470"/>
  <c r="B470"/>
  <c r="E469"/>
  <c r="D469"/>
  <c r="C469"/>
  <c r="B469"/>
  <c r="E468"/>
  <c r="D468"/>
  <c r="C468"/>
  <c r="B468"/>
  <c r="E467"/>
  <c r="D467"/>
  <c r="C467"/>
  <c r="B467"/>
  <c r="E466"/>
  <c r="D466"/>
  <c r="C466"/>
  <c r="B466"/>
  <c r="E465"/>
  <c r="D465"/>
  <c r="C465"/>
  <c r="B465"/>
  <c r="E464"/>
  <c r="D464"/>
  <c r="C464"/>
  <c r="B464"/>
  <c r="E463"/>
  <c r="D463"/>
  <c r="C463"/>
  <c r="B463"/>
  <c r="E462"/>
  <c r="D462"/>
  <c r="C462"/>
  <c r="B462"/>
  <c r="E461"/>
  <c r="D461"/>
  <c r="C461"/>
  <c r="B461"/>
  <c r="E460"/>
  <c r="D460"/>
  <c r="C460"/>
  <c r="B460"/>
  <c r="E459"/>
  <c r="D459"/>
  <c r="C459"/>
  <c r="B459"/>
  <c r="E458"/>
  <c r="D458"/>
  <c r="C458"/>
  <c r="B458"/>
  <c r="E457"/>
  <c r="D457"/>
  <c r="C457"/>
  <c r="B457"/>
  <c r="E456"/>
  <c r="D456"/>
  <c r="C456"/>
  <c r="B456"/>
  <c r="E455"/>
  <c r="D455"/>
  <c r="C455"/>
  <c r="B455"/>
  <c r="E454"/>
  <c r="D454"/>
  <c r="C454"/>
  <c r="B454"/>
  <c r="E453"/>
  <c r="D453"/>
  <c r="C453"/>
  <c r="B453"/>
  <c r="E452"/>
  <c r="D452"/>
  <c r="C452"/>
  <c r="B452"/>
  <c r="E451"/>
  <c r="D451"/>
  <c r="C451"/>
  <c r="B451"/>
  <c r="E450"/>
  <c r="D450"/>
  <c r="C450"/>
  <c r="B450"/>
  <c r="E449"/>
  <c r="D449"/>
  <c r="C449"/>
  <c r="B449"/>
  <c r="E448"/>
  <c r="D448"/>
  <c r="C448"/>
  <c r="B448"/>
  <c r="E447"/>
  <c r="D447"/>
  <c r="C447"/>
  <c r="B447"/>
  <c r="E446"/>
  <c r="D446"/>
  <c r="C446"/>
  <c r="B446"/>
  <c r="E445"/>
  <c r="D445"/>
  <c r="C445"/>
  <c r="B445"/>
  <c r="E444"/>
  <c r="D444"/>
  <c r="C444"/>
  <c r="B444"/>
  <c r="E443"/>
  <c r="D443"/>
  <c r="C443"/>
  <c r="B443"/>
  <c r="E442"/>
  <c r="D442"/>
  <c r="C442"/>
  <c r="B442"/>
  <c r="E441"/>
  <c r="D441"/>
  <c r="C441"/>
  <c r="B441"/>
  <c r="E440"/>
  <c r="D440"/>
  <c r="C440"/>
  <c r="B440"/>
  <c r="E439"/>
  <c r="D439"/>
  <c r="C439"/>
  <c r="B439"/>
  <c r="E438"/>
  <c r="D438"/>
  <c r="C438"/>
  <c r="B438"/>
  <c r="E437"/>
  <c r="D437"/>
  <c r="C437"/>
  <c r="B437"/>
  <c r="E436"/>
  <c r="D436"/>
  <c r="C436"/>
  <c r="B436"/>
  <c r="E435"/>
  <c r="D435"/>
  <c r="C435"/>
  <c r="B435"/>
  <c r="E434"/>
  <c r="D434"/>
  <c r="C434"/>
  <c r="B434"/>
  <c r="E433"/>
  <c r="D433"/>
  <c r="C433"/>
  <c r="B433"/>
  <c r="E432"/>
  <c r="D432"/>
  <c r="C432"/>
  <c r="B432"/>
  <c r="E431"/>
  <c r="D431"/>
  <c r="C431"/>
  <c r="B431"/>
  <c r="E430"/>
  <c r="D430"/>
  <c r="C430"/>
  <c r="B430"/>
  <c r="E429"/>
  <c r="D429"/>
  <c r="C429"/>
  <c r="B429"/>
  <c r="E428"/>
  <c r="D428"/>
  <c r="C428"/>
  <c r="B428"/>
  <c r="E427"/>
  <c r="D427"/>
  <c r="C427"/>
  <c r="B427"/>
  <c r="E426"/>
  <c r="D426"/>
  <c r="C426"/>
  <c r="B426"/>
  <c r="E425"/>
  <c r="D425"/>
  <c r="C425"/>
  <c r="B425"/>
  <c r="E424"/>
  <c r="D424"/>
  <c r="C424"/>
  <c r="B424"/>
  <c r="E423"/>
  <c r="D423"/>
  <c r="C423"/>
  <c r="B423"/>
  <c r="E422"/>
  <c r="D422"/>
  <c r="C422"/>
  <c r="B422"/>
  <c r="E421"/>
  <c r="D421"/>
  <c r="C421"/>
  <c r="B421"/>
  <c r="E420"/>
  <c r="D420"/>
  <c r="C420"/>
  <c r="B420"/>
  <c r="E419"/>
  <c r="D419"/>
  <c r="C419"/>
  <c r="B419"/>
  <c r="E418"/>
  <c r="D418"/>
  <c r="C418"/>
  <c r="B418"/>
  <c r="E417"/>
  <c r="D417"/>
  <c r="C417"/>
  <c r="B417"/>
  <c r="E416"/>
  <c r="D416"/>
  <c r="C416"/>
  <c r="B416"/>
  <c r="E415"/>
  <c r="D415"/>
  <c r="C415"/>
  <c r="B415"/>
  <c r="E414"/>
  <c r="D414"/>
  <c r="C414"/>
  <c r="B414"/>
  <c r="E413"/>
  <c r="D413"/>
  <c r="C413"/>
  <c r="B413"/>
  <c r="E412"/>
  <c r="D412"/>
  <c r="C412"/>
  <c r="B412"/>
  <c r="E411"/>
  <c r="D411"/>
  <c r="C411"/>
  <c r="B411"/>
  <c r="E410"/>
  <c r="D410"/>
  <c r="C410"/>
  <c r="B410"/>
  <c r="E409"/>
  <c r="D409"/>
  <c r="C409"/>
  <c r="B409"/>
  <c r="E408"/>
  <c r="D408"/>
  <c r="C408"/>
  <c r="B408"/>
  <c r="E407"/>
  <c r="D407"/>
  <c r="C407"/>
  <c r="B407"/>
  <c r="E406"/>
  <c r="D406"/>
  <c r="C406"/>
  <c r="B406"/>
  <c r="E405"/>
  <c r="D405"/>
  <c r="C405"/>
  <c r="B405"/>
  <c r="E404"/>
  <c r="D404"/>
  <c r="C404"/>
  <c r="B404"/>
  <c r="E403"/>
  <c r="D403"/>
  <c r="C403"/>
  <c r="B403"/>
  <c r="E402"/>
  <c r="D402"/>
  <c r="C402"/>
  <c r="B402"/>
  <c r="E401"/>
  <c r="D401"/>
  <c r="C401"/>
  <c r="B401"/>
  <c r="E400"/>
  <c r="D400"/>
  <c r="C400"/>
  <c r="B400"/>
  <c r="E399"/>
  <c r="D399"/>
  <c r="C399"/>
  <c r="B399"/>
  <c r="E398"/>
  <c r="D398"/>
  <c r="C398"/>
  <c r="B398"/>
  <c r="E397"/>
  <c r="D397"/>
  <c r="C397"/>
  <c r="B397"/>
  <c r="E396"/>
  <c r="D396"/>
  <c r="C396"/>
  <c r="B396"/>
  <c r="E395"/>
  <c r="D395"/>
  <c r="C395"/>
  <c r="B395"/>
  <c r="E394"/>
  <c r="D394"/>
  <c r="C394"/>
  <c r="B394"/>
  <c r="E393"/>
  <c r="D393"/>
  <c r="C393"/>
  <c r="B393"/>
  <c r="E392"/>
  <c r="D392"/>
  <c r="C392"/>
  <c r="B392"/>
  <c r="E391"/>
  <c r="D391"/>
  <c r="C391"/>
  <c r="B391"/>
  <c r="E390"/>
  <c r="D390"/>
  <c r="C390"/>
  <c r="B390"/>
  <c r="E389"/>
  <c r="D389"/>
  <c r="C389"/>
  <c r="B389"/>
  <c r="E388"/>
  <c r="D388"/>
  <c r="C388"/>
  <c r="B388"/>
  <c r="E387"/>
  <c r="D387"/>
  <c r="C387"/>
  <c r="B387"/>
  <c r="E386"/>
  <c r="D386"/>
  <c r="C386"/>
  <c r="B386"/>
  <c r="E385"/>
  <c r="D385"/>
  <c r="C385"/>
  <c r="B385"/>
  <c r="E384"/>
  <c r="D384"/>
  <c r="C384"/>
  <c r="B384"/>
  <c r="E383"/>
  <c r="D383"/>
  <c r="C383"/>
  <c r="B383"/>
  <c r="E382"/>
  <c r="D382"/>
  <c r="C382"/>
  <c r="B382"/>
  <c r="E381"/>
  <c r="D381"/>
  <c r="C381"/>
  <c r="B381"/>
  <c r="E380"/>
  <c r="D380"/>
  <c r="C380"/>
  <c r="B380"/>
  <c r="E379"/>
  <c r="D379"/>
  <c r="C379"/>
  <c r="B379"/>
  <c r="E378"/>
  <c r="D378"/>
  <c r="C378"/>
  <c r="B378"/>
  <c r="E377"/>
  <c r="D377"/>
  <c r="C377"/>
  <c r="B377"/>
  <c r="E376"/>
  <c r="D376"/>
  <c r="C376"/>
  <c r="B376"/>
  <c r="E375"/>
  <c r="D375"/>
  <c r="C375"/>
  <c r="B375"/>
  <c r="E374"/>
  <c r="D374"/>
  <c r="C374"/>
  <c r="B374"/>
  <c r="E373"/>
  <c r="D373"/>
  <c r="C373"/>
  <c r="B373"/>
  <c r="E372"/>
  <c r="D372"/>
  <c r="C372"/>
  <c r="B372"/>
  <c r="E371"/>
  <c r="D371"/>
  <c r="C371"/>
  <c r="B371"/>
  <c r="E370"/>
  <c r="D370"/>
  <c r="C370"/>
  <c r="B370"/>
  <c r="E369"/>
  <c r="D369"/>
  <c r="C369"/>
  <c r="B369"/>
  <c r="E368"/>
  <c r="D368"/>
  <c r="C368"/>
  <c r="B368"/>
  <c r="E367"/>
  <c r="D367"/>
  <c r="C367"/>
  <c r="B367"/>
  <c r="E366"/>
  <c r="D366"/>
  <c r="C366"/>
  <c r="B366"/>
  <c r="E365"/>
  <c r="D365"/>
  <c r="C365"/>
  <c r="B365"/>
  <c r="E364"/>
  <c r="D364"/>
  <c r="C364"/>
  <c r="B364"/>
  <c r="E363"/>
  <c r="D363"/>
  <c r="C363"/>
  <c r="B363"/>
  <c r="E362"/>
  <c r="D362"/>
  <c r="C362"/>
  <c r="B362"/>
  <c r="E361"/>
  <c r="D361"/>
  <c r="C361"/>
  <c r="B361"/>
  <c r="E360"/>
  <c r="D360"/>
  <c r="C360"/>
  <c r="B360"/>
  <c r="E359"/>
  <c r="D359"/>
  <c r="C359"/>
  <c r="B359"/>
  <c r="E358"/>
  <c r="D358"/>
  <c r="C358"/>
  <c r="B358"/>
  <c r="E357"/>
  <c r="D357"/>
  <c r="C357"/>
  <c r="B357"/>
  <c r="E356"/>
  <c r="D356"/>
  <c r="C356"/>
  <c r="B356"/>
  <c r="E355"/>
  <c r="D355"/>
  <c r="C355"/>
  <c r="B355"/>
  <c r="E354"/>
  <c r="D354"/>
  <c r="C354"/>
  <c r="B354"/>
  <c r="E353"/>
  <c r="D353"/>
  <c r="C353"/>
  <c r="B353"/>
  <c r="E352"/>
  <c r="D352"/>
  <c r="C352"/>
  <c r="B352"/>
  <c r="E351"/>
  <c r="D351"/>
  <c r="C351"/>
  <c r="B351"/>
  <c r="E350"/>
  <c r="D350"/>
  <c r="C350"/>
  <c r="B350"/>
  <c r="E349"/>
  <c r="D349"/>
  <c r="C349"/>
  <c r="B349"/>
  <c r="E348"/>
  <c r="D348"/>
  <c r="C348"/>
  <c r="B348"/>
  <c r="E347"/>
  <c r="D347"/>
  <c r="C347"/>
  <c r="B347"/>
  <c r="E346"/>
  <c r="D346"/>
  <c r="C346"/>
  <c r="B346"/>
  <c r="E345"/>
  <c r="D345"/>
  <c r="C345"/>
  <c r="B345"/>
  <c r="E344"/>
  <c r="D344"/>
  <c r="C344"/>
  <c r="B344"/>
  <c r="E343"/>
  <c r="D343"/>
  <c r="C343"/>
  <c r="B343"/>
  <c r="E342"/>
  <c r="D342"/>
  <c r="C342"/>
  <c r="B342"/>
  <c r="E341"/>
  <c r="D341"/>
  <c r="C341"/>
  <c r="B341"/>
  <c r="E340"/>
  <c r="D340"/>
  <c r="C340"/>
  <c r="B340"/>
  <c r="E339"/>
  <c r="D339"/>
  <c r="C339"/>
  <c r="B339"/>
  <c r="E338"/>
  <c r="D338"/>
  <c r="C338"/>
  <c r="B338"/>
  <c r="E337"/>
  <c r="D337"/>
  <c r="C337"/>
  <c r="B337"/>
  <c r="E336"/>
  <c r="D336"/>
  <c r="C336"/>
  <c r="B336"/>
  <c r="E335"/>
  <c r="D335"/>
  <c r="C335"/>
  <c r="B335"/>
  <c r="E334"/>
  <c r="D334"/>
  <c r="C334"/>
  <c r="B334"/>
  <c r="E333"/>
  <c r="D333"/>
  <c r="C333"/>
  <c r="B333"/>
  <c r="E332"/>
  <c r="D332"/>
  <c r="C332"/>
  <c r="B332"/>
  <c r="E331"/>
  <c r="D331"/>
  <c r="C331"/>
  <c r="B331"/>
  <c r="E330"/>
  <c r="D330"/>
  <c r="C330"/>
  <c r="B330"/>
  <c r="E329"/>
  <c r="D329"/>
  <c r="C329"/>
  <c r="B329"/>
  <c r="E328"/>
  <c r="D328"/>
  <c r="C328"/>
  <c r="B328"/>
  <c r="E327"/>
  <c r="D327"/>
  <c r="C327"/>
  <c r="B327"/>
  <c r="E326"/>
  <c r="D326"/>
  <c r="C326"/>
  <c r="B326"/>
  <c r="E325"/>
  <c r="D325"/>
  <c r="C325"/>
  <c r="B325"/>
  <c r="E324"/>
  <c r="D324"/>
  <c r="C324"/>
  <c r="B324"/>
  <c r="E323"/>
  <c r="D323"/>
  <c r="C323"/>
  <c r="B323"/>
  <c r="E322"/>
  <c r="D322"/>
  <c r="C322"/>
  <c r="B322"/>
  <c r="E321"/>
  <c r="D321"/>
  <c r="C321"/>
  <c r="B321"/>
  <c r="E320"/>
  <c r="D320"/>
  <c r="C320"/>
  <c r="B320"/>
  <c r="E319"/>
  <c r="D319"/>
  <c r="C319"/>
  <c r="B319"/>
  <c r="E318"/>
  <c r="D318"/>
  <c r="C318"/>
  <c r="B318"/>
  <c r="E317"/>
  <c r="D317"/>
  <c r="C317"/>
  <c r="B317"/>
  <c r="E316"/>
  <c r="D316"/>
  <c r="C316"/>
  <c r="B316"/>
  <c r="E315"/>
  <c r="D315"/>
  <c r="C315"/>
  <c r="B315"/>
  <c r="E314"/>
  <c r="D314"/>
  <c r="C314"/>
  <c r="B314"/>
  <c r="E313"/>
  <c r="D313"/>
  <c r="C313"/>
  <c r="B313"/>
  <c r="E312"/>
  <c r="D312"/>
  <c r="C312"/>
  <c r="B312"/>
  <c r="E311"/>
  <c r="D311"/>
  <c r="C311"/>
  <c r="B311"/>
  <c r="E310"/>
  <c r="D310"/>
  <c r="C310"/>
  <c r="B310"/>
  <c r="E309"/>
  <c r="D309"/>
  <c r="C309"/>
  <c r="B309"/>
  <c r="E308"/>
  <c r="D308"/>
  <c r="C308"/>
  <c r="B308"/>
  <c r="E307"/>
  <c r="D307"/>
  <c r="C307"/>
  <c r="B307"/>
  <c r="E306"/>
  <c r="D306"/>
  <c r="C306"/>
  <c r="B306"/>
  <c r="E305"/>
  <c r="D305"/>
  <c r="C305"/>
  <c r="B305"/>
  <c r="E304"/>
  <c r="D304"/>
  <c r="C304"/>
  <c r="B304"/>
  <c r="E303"/>
  <c r="D303"/>
  <c r="C303"/>
  <c r="B303"/>
  <c r="E302"/>
  <c r="D302"/>
  <c r="C302"/>
  <c r="B302"/>
  <c r="E301"/>
  <c r="D301"/>
  <c r="C301"/>
  <c r="B301"/>
  <c r="E300"/>
  <c r="D300"/>
  <c r="C300"/>
  <c r="B300"/>
  <c r="E299"/>
  <c r="D299"/>
  <c r="C299"/>
  <c r="B299"/>
  <c r="E298"/>
  <c r="D298"/>
  <c r="C298"/>
  <c r="B298"/>
  <c r="E297"/>
  <c r="D297"/>
  <c r="C297"/>
  <c r="B297"/>
  <c r="E296"/>
  <c r="D296"/>
  <c r="C296"/>
  <c r="B296"/>
  <c r="E295"/>
  <c r="D295"/>
  <c r="C295"/>
  <c r="B295"/>
  <c r="E294"/>
  <c r="D294"/>
  <c r="C294"/>
  <c r="B294"/>
  <c r="E293"/>
  <c r="D293"/>
  <c r="C293"/>
  <c r="B293"/>
  <c r="E292"/>
  <c r="D292"/>
  <c r="C292"/>
  <c r="B292"/>
  <c r="E291"/>
  <c r="D291"/>
  <c r="C291"/>
  <c r="B291"/>
  <c r="E290"/>
  <c r="D290"/>
  <c r="C290"/>
  <c r="B290"/>
  <c r="E289"/>
  <c r="D289"/>
  <c r="C289"/>
  <c r="B289"/>
  <c r="E288"/>
  <c r="D288"/>
  <c r="C288"/>
  <c r="B288"/>
  <c r="E287"/>
  <c r="D287"/>
  <c r="C287"/>
  <c r="B287"/>
  <c r="E286"/>
  <c r="D286"/>
  <c r="C286"/>
  <c r="B286"/>
  <c r="E285"/>
  <c r="D285"/>
  <c r="C285"/>
  <c r="B285"/>
  <c r="E284"/>
  <c r="D284"/>
  <c r="C284"/>
  <c r="B284"/>
  <c r="E283"/>
  <c r="D283"/>
  <c r="C283"/>
  <c r="B283"/>
  <c r="E282"/>
  <c r="D282"/>
  <c r="C282"/>
  <c r="B282"/>
  <c r="E281"/>
  <c r="D281"/>
  <c r="C281"/>
  <c r="B281"/>
  <c r="E280"/>
  <c r="D280"/>
  <c r="C280"/>
  <c r="B280"/>
  <c r="E279"/>
  <c r="D279"/>
  <c r="C279"/>
  <c r="B279"/>
  <c r="E278"/>
  <c r="D278"/>
  <c r="C278"/>
  <c r="B278"/>
  <c r="E277"/>
  <c r="D277"/>
  <c r="C277"/>
  <c r="B277"/>
  <c r="E276"/>
  <c r="D276"/>
  <c r="C276"/>
  <c r="B276"/>
  <c r="E275"/>
  <c r="D275"/>
  <c r="C275"/>
  <c r="B275"/>
  <c r="E274"/>
  <c r="D274"/>
  <c r="C274"/>
  <c r="B274"/>
  <c r="E273"/>
  <c r="D273"/>
  <c r="C273"/>
  <c r="B273"/>
  <c r="E272"/>
  <c r="D272"/>
  <c r="C272"/>
  <c r="B272"/>
  <c r="E271"/>
  <c r="D271"/>
  <c r="C271"/>
  <c r="B271"/>
  <c r="E270"/>
  <c r="D270"/>
  <c r="C270"/>
  <c r="B270"/>
  <c r="E269"/>
  <c r="D269"/>
  <c r="C269"/>
  <c r="B269"/>
  <c r="E268"/>
  <c r="D268"/>
  <c r="C268"/>
  <c r="B268"/>
  <c r="E267"/>
  <c r="D267"/>
  <c r="C267"/>
  <c r="B267"/>
  <c r="E266"/>
  <c r="D266"/>
  <c r="C266"/>
  <c r="B266"/>
  <c r="E265"/>
  <c r="D265"/>
  <c r="C265"/>
  <c r="B265"/>
  <c r="E264"/>
  <c r="D264"/>
  <c r="C264"/>
  <c r="B264"/>
  <c r="E263"/>
  <c r="D263"/>
  <c r="C263"/>
  <c r="B263"/>
  <c r="E262"/>
  <c r="D262"/>
  <c r="C262"/>
  <c r="B262"/>
  <c r="E261"/>
  <c r="D261"/>
  <c r="C261"/>
  <c r="B261"/>
  <c r="E260"/>
  <c r="D260"/>
  <c r="C260"/>
  <c r="B260"/>
  <c r="E259"/>
  <c r="D259"/>
  <c r="C259"/>
  <c r="B259"/>
  <c r="E258"/>
  <c r="D258"/>
  <c r="C258"/>
  <c r="B258"/>
  <c r="E257"/>
  <c r="D257"/>
  <c r="C257"/>
  <c r="B257"/>
  <c r="E256"/>
  <c r="D256"/>
  <c r="C256"/>
  <c r="B256"/>
  <c r="E255"/>
  <c r="D255"/>
  <c r="C255"/>
  <c r="B255"/>
  <c r="E254"/>
  <c r="D254"/>
  <c r="C254"/>
  <c r="B254"/>
  <c r="E253"/>
  <c r="D253"/>
  <c r="C253"/>
  <c r="B253"/>
  <c r="E252"/>
  <c r="D252"/>
  <c r="C252"/>
  <c r="B252"/>
  <c r="E251"/>
  <c r="D251"/>
  <c r="C251"/>
  <c r="B251"/>
  <c r="E250"/>
  <c r="D250"/>
  <c r="C250"/>
  <c r="B250"/>
  <c r="E249"/>
  <c r="D249"/>
  <c r="C249"/>
  <c r="B249"/>
  <c r="E248"/>
  <c r="D248"/>
  <c r="C248"/>
  <c r="B248"/>
  <c r="E247"/>
  <c r="D247"/>
  <c r="C247"/>
  <c r="B247"/>
  <c r="E246"/>
  <c r="D246"/>
  <c r="C246"/>
  <c r="B246"/>
  <c r="E245"/>
  <c r="D245"/>
  <c r="C245"/>
  <c r="B245"/>
  <c r="E244"/>
  <c r="D244"/>
  <c r="C244"/>
  <c r="B244"/>
  <c r="E243"/>
  <c r="D243"/>
  <c r="C243"/>
  <c r="B243"/>
  <c r="E242"/>
  <c r="D242"/>
  <c r="C242"/>
  <c r="B242"/>
  <c r="E241"/>
  <c r="D241"/>
  <c r="C241"/>
  <c r="B241"/>
  <c r="E240"/>
  <c r="D240"/>
  <c r="C240"/>
  <c r="B240"/>
  <c r="E239"/>
  <c r="D239"/>
  <c r="C239"/>
  <c r="B239"/>
  <c r="E238"/>
  <c r="D238"/>
  <c r="C238"/>
  <c r="B238"/>
  <c r="E237"/>
  <c r="D237"/>
  <c r="C237"/>
  <c r="B237"/>
  <c r="E236"/>
  <c r="D236"/>
  <c r="C236"/>
  <c r="B236"/>
  <c r="E235"/>
  <c r="D235"/>
  <c r="C235"/>
  <c r="B235"/>
  <c r="E234"/>
  <c r="D234"/>
  <c r="C234"/>
  <c r="B234"/>
  <c r="E233"/>
  <c r="D233"/>
  <c r="C233"/>
  <c r="B233"/>
  <c r="E232"/>
  <c r="D232"/>
  <c r="C232"/>
  <c r="B232"/>
  <c r="E231"/>
  <c r="D231"/>
  <c r="C231"/>
  <c r="B231"/>
  <c r="E230"/>
  <c r="D230"/>
  <c r="C230"/>
  <c r="B230"/>
  <c r="E229"/>
  <c r="D229"/>
  <c r="C229"/>
  <c r="B229"/>
  <c r="E228"/>
  <c r="D228"/>
  <c r="C228"/>
  <c r="B228"/>
  <c r="E227"/>
  <c r="D227"/>
  <c r="C227"/>
  <c r="B227"/>
  <c r="E226"/>
  <c r="D226"/>
  <c r="C226"/>
  <c r="B226"/>
  <c r="E225"/>
  <c r="D225"/>
  <c r="C225"/>
  <c r="B225"/>
  <c r="E224"/>
  <c r="D224"/>
  <c r="C224"/>
  <c r="B224"/>
  <c r="E223"/>
  <c r="D223"/>
  <c r="C223"/>
  <c r="B223"/>
  <c r="E222"/>
  <c r="D222"/>
  <c r="C222"/>
  <c r="B222"/>
  <c r="E221"/>
  <c r="D221"/>
  <c r="C221"/>
  <c r="B221"/>
  <c r="E220"/>
  <c r="D220"/>
  <c r="C220"/>
  <c r="B220"/>
  <c r="E219"/>
  <c r="D219"/>
  <c r="C219"/>
  <c r="B219"/>
  <c r="E218"/>
  <c r="D218"/>
  <c r="C218"/>
  <c r="B218"/>
  <c r="E217"/>
  <c r="D217"/>
  <c r="C217"/>
  <c r="B217"/>
  <c r="E216"/>
  <c r="D216"/>
  <c r="C216"/>
  <c r="B216"/>
  <c r="E215"/>
  <c r="D215"/>
  <c r="C215"/>
  <c r="B215"/>
  <c r="E214"/>
  <c r="D214"/>
  <c r="C214"/>
  <c r="B214"/>
  <c r="E213"/>
  <c r="D213"/>
  <c r="C213"/>
  <c r="B213"/>
  <c r="E212"/>
  <c r="D212"/>
  <c r="C212"/>
  <c r="B212"/>
  <c r="E211"/>
  <c r="D211"/>
  <c r="C211"/>
  <c r="B211"/>
  <c r="E210"/>
  <c r="D210"/>
  <c r="C210"/>
  <c r="B210"/>
  <c r="E209"/>
  <c r="D209"/>
  <c r="C209"/>
  <c r="B209"/>
  <c r="E208"/>
  <c r="D208"/>
  <c r="C208"/>
  <c r="B208"/>
  <c r="E207"/>
  <c r="D207"/>
  <c r="C207"/>
  <c r="B207"/>
  <c r="E206"/>
  <c r="D206"/>
  <c r="C206"/>
  <c r="B206"/>
  <c r="E205"/>
  <c r="D205"/>
  <c r="C205"/>
  <c r="B205"/>
  <c r="E204"/>
  <c r="D204"/>
  <c r="C204"/>
  <c r="B204"/>
  <c r="E203"/>
  <c r="D203"/>
  <c r="C203"/>
  <c r="B203"/>
  <c r="E202"/>
  <c r="D202"/>
  <c r="C202"/>
  <c r="B202"/>
  <c r="E201"/>
  <c r="D201"/>
  <c r="C201"/>
  <c r="B201"/>
  <c r="E200"/>
  <c r="D200"/>
  <c r="C200"/>
  <c r="B200"/>
  <c r="E199"/>
  <c r="D199"/>
  <c r="C199"/>
  <c r="B199"/>
  <c r="E198"/>
  <c r="D198"/>
  <c r="C198"/>
  <c r="B198"/>
  <c r="E197"/>
  <c r="D197"/>
  <c r="C197"/>
  <c r="B197"/>
  <c r="E196"/>
  <c r="D196"/>
  <c r="C196"/>
  <c r="B196"/>
  <c r="E195"/>
  <c r="D195"/>
  <c r="C195"/>
  <c r="B195"/>
  <c r="E194"/>
  <c r="D194"/>
  <c r="C194"/>
  <c r="B194"/>
  <c r="E193"/>
  <c r="D193"/>
  <c r="C193"/>
  <c r="B193"/>
  <c r="E192"/>
  <c r="D192"/>
  <c r="C192"/>
  <c r="B192"/>
  <c r="E191"/>
  <c r="D191"/>
  <c r="C191"/>
  <c r="B191"/>
  <c r="E190"/>
  <c r="D190"/>
  <c r="C190"/>
  <c r="B190"/>
  <c r="E189"/>
  <c r="D189"/>
  <c r="C189"/>
  <c r="B189"/>
  <c r="E188"/>
  <c r="D188"/>
  <c r="C188"/>
  <c r="B188"/>
  <c r="E187"/>
  <c r="D187"/>
  <c r="C187"/>
  <c r="B187"/>
  <c r="E186"/>
  <c r="D186"/>
  <c r="C186"/>
  <c r="B186"/>
  <c r="E185"/>
  <c r="D185"/>
  <c r="C185"/>
  <c r="B185"/>
  <c r="E184"/>
  <c r="D184"/>
  <c r="C184"/>
  <c r="B184"/>
  <c r="E183"/>
  <c r="D183"/>
  <c r="C183"/>
  <c r="B183"/>
  <c r="E182"/>
  <c r="D182"/>
  <c r="C182"/>
  <c r="B182"/>
  <c r="E181"/>
  <c r="D181"/>
  <c r="C181"/>
  <c r="B181"/>
  <c r="E180"/>
  <c r="D180"/>
  <c r="C180"/>
  <c r="B180"/>
  <c r="E179"/>
  <c r="D179"/>
  <c r="C179"/>
  <c r="B179"/>
  <c r="E178"/>
  <c r="D178"/>
  <c r="C178"/>
  <c r="B178"/>
  <c r="E177"/>
  <c r="D177"/>
  <c r="C177"/>
  <c r="B177"/>
  <c r="E176"/>
  <c r="D176"/>
  <c r="C176"/>
  <c r="B176"/>
  <c r="E175"/>
  <c r="D175"/>
  <c r="C175"/>
  <c r="B175"/>
  <c r="E174"/>
  <c r="D174"/>
  <c r="C174"/>
  <c r="B174"/>
  <c r="E173"/>
  <c r="D173"/>
  <c r="C173"/>
  <c r="B173"/>
  <c r="E172"/>
  <c r="D172"/>
  <c r="C172"/>
  <c r="B172"/>
  <c r="E171"/>
  <c r="D171"/>
  <c r="C171"/>
  <c r="B171"/>
  <c r="E170"/>
  <c r="D170"/>
  <c r="C170"/>
  <c r="B170"/>
  <c r="E169"/>
  <c r="D169"/>
  <c r="C169"/>
  <c r="B169"/>
  <c r="E168"/>
  <c r="D168"/>
  <c r="C168"/>
  <c r="B168"/>
  <c r="E167"/>
  <c r="D167"/>
  <c r="C167"/>
  <c r="B167"/>
  <c r="E166"/>
  <c r="D166"/>
  <c r="C166"/>
  <c r="B166"/>
  <c r="E165"/>
  <c r="D165"/>
  <c r="C165"/>
  <c r="B165"/>
  <c r="E164"/>
  <c r="D164"/>
  <c r="C164"/>
  <c r="B164"/>
  <c r="E163"/>
  <c r="D163"/>
  <c r="C163"/>
  <c r="B163"/>
  <c r="E162"/>
  <c r="D162"/>
  <c r="C162"/>
  <c r="B162"/>
  <c r="E161"/>
  <c r="D161"/>
  <c r="C161"/>
  <c r="B161"/>
  <c r="E160"/>
  <c r="D160"/>
  <c r="C160"/>
  <c r="B160"/>
  <c r="E159"/>
  <c r="D159"/>
  <c r="C159"/>
  <c r="B159"/>
  <c r="E158"/>
  <c r="D158"/>
  <c r="C158"/>
  <c r="B158"/>
  <c r="E157"/>
  <c r="D157"/>
  <c r="C157"/>
  <c r="B157"/>
  <c r="E156"/>
  <c r="D156"/>
  <c r="C156"/>
  <c r="B156"/>
  <c r="E155"/>
  <c r="D155"/>
  <c r="C155"/>
  <c r="B155"/>
  <c r="E154"/>
  <c r="D154"/>
  <c r="C154"/>
  <c r="B154"/>
  <c r="E153"/>
  <c r="D153"/>
  <c r="C153"/>
  <c r="B153"/>
  <c r="E152"/>
  <c r="D152"/>
  <c r="C152"/>
  <c r="B152"/>
  <c r="E151"/>
  <c r="D151"/>
  <c r="C151"/>
  <c r="B151"/>
  <c r="E150"/>
  <c r="D150"/>
  <c r="C150"/>
  <c r="B150"/>
  <c r="E149"/>
  <c r="D149"/>
  <c r="C149"/>
  <c r="B149"/>
  <c r="E148"/>
  <c r="D148"/>
  <c r="C148"/>
  <c r="B148"/>
  <c r="E147"/>
  <c r="D147"/>
  <c r="C147"/>
  <c r="B147"/>
  <c r="E146"/>
  <c r="D146"/>
  <c r="C146"/>
  <c r="B146"/>
  <c r="E145"/>
  <c r="D145"/>
  <c r="C145"/>
  <c r="B145"/>
  <c r="E144"/>
  <c r="D144"/>
  <c r="C144"/>
  <c r="B144"/>
  <c r="E143"/>
  <c r="D143"/>
  <c r="C143"/>
  <c r="B143"/>
  <c r="E142"/>
  <c r="D142"/>
  <c r="C142"/>
  <c r="B142"/>
  <c r="E141"/>
  <c r="D141"/>
  <c r="C141"/>
  <c r="B141"/>
  <c r="E140"/>
  <c r="D140"/>
  <c r="C140"/>
  <c r="B140"/>
  <c r="E139"/>
  <c r="D139"/>
  <c r="C139"/>
  <c r="B139"/>
  <c r="E138"/>
  <c r="D138"/>
  <c r="C138"/>
  <c r="B138"/>
  <c r="E137"/>
  <c r="D137"/>
  <c r="C137"/>
  <c r="B137"/>
  <c r="E136"/>
  <c r="D136"/>
  <c r="C136"/>
  <c r="B136"/>
  <c r="E135"/>
  <c r="D135"/>
  <c r="C135"/>
  <c r="B135"/>
  <c r="E134"/>
  <c r="D134"/>
  <c r="C134"/>
  <c r="B134"/>
  <c r="E133"/>
  <c r="D133"/>
  <c r="C133"/>
  <c r="B133"/>
  <c r="E132"/>
  <c r="D132"/>
  <c r="C132"/>
  <c r="B132"/>
  <c r="E131"/>
  <c r="D131"/>
  <c r="C131"/>
  <c r="B131"/>
  <c r="E130"/>
  <c r="D130"/>
  <c r="C130"/>
  <c r="B130"/>
  <c r="E129"/>
  <c r="D129"/>
  <c r="C129"/>
  <c r="B129"/>
  <c r="E128"/>
  <c r="D128"/>
  <c r="C128"/>
  <c r="B128"/>
  <c r="E127"/>
  <c r="D127"/>
  <c r="C127"/>
  <c r="B127"/>
  <c r="E126"/>
  <c r="D126"/>
  <c r="C126"/>
  <c r="B126"/>
  <c r="E125"/>
  <c r="D125"/>
  <c r="C125"/>
  <c r="B125"/>
  <c r="E124"/>
  <c r="D124"/>
  <c r="C124"/>
  <c r="B124"/>
  <c r="E123"/>
  <c r="D123"/>
  <c r="C123"/>
  <c r="B123"/>
  <c r="E122"/>
  <c r="D122"/>
  <c r="C122"/>
  <c r="B122"/>
  <c r="E121"/>
  <c r="D121"/>
  <c r="C121"/>
  <c r="B121"/>
  <c r="E120"/>
  <c r="D120"/>
  <c r="C120"/>
  <c r="B120"/>
  <c r="E119"/>
  <c r="D119"/>
  <c r="C119"/>
  <c r="B119"/>
  <c r="E118"/>
  <c r="D118"/>
  <c r="C118"/>
  <c r="B118"/>
  <c r="E117"/>
  <c r="D117"/>
  <c r="C117"/>
  <c r="B117"/>
  <c r="E116"/>
  <c r="D116"/>
  <c r="C116"/>
  <c r="B116"/>
  <c r="E115"/>
  <c r="D115"/>
  <c r="C115"/>
  <c r="B115"/>
  <c r="E114"/>
  <c r="D114"/>
  <c r="C114"/>
  <c r="B114"/>
  <c r="E113"/>
  <c r="D113"/>
  <c r="C113"/>
  <c r="B113"/>
  <c r="E112"/>
  <c r="D112"/>
  <c r="C112"/>
  <c r="B112"/>
  <c r="E111"/>
  <c r="D111"/>
  <c r="C111"/>
  <c r="B111"/>
  <c r="E110"/>
  <c r="D110"/>
  <c r="C110"/>
  <c r="B110"/>
  <c r="E109"/>
  <c r="D109"/>
  <c r="C109"/>
  <c r="B109"/>
  <c r="E108"/>
  <c r="D108"/>
  <c r="C108"/>
  <c r="B108"/>
  <c r="E107"/>
  <c r="D107"/>
  <c r="C107"/>
  <c r="B107"/>
  <c r="E106"/>
  <c r="D106"/>
  <c r="C106"/>
  <c r="B106"/>
  <c r="E105"/>
  <c r="D105"/>
  <c r="C105"/>
  <c r="B105"/>
  <c r="E104"/>
  <c r="D104"/>
  <c r="C104"/>
  <c r="B104"/>
  <c r="E103"/>
  <c r="D103"/>
  <c r="C103"/>
  <c r="B103"/>
  <c r="E102"/>
  <c r="D102"/>
  <c r="C102"/>
  <c r="B102"/>
  <c r="E101"/>
  <c r="D101"/>
  <c r="C101"/>
  <c r="B101"/>
  <c r="E100"/>
  <c r="D100"/>
  <c r="C100"/>
  <c r="B100"/>
  <c r="E99"/>
  <c r="D99"/>
  <c r="C99"/>
  <c r="B99"/>
  <c r="E98"/>
  <c r="D98"/>
  <c r="C98"/>
  <c r="B98"/>
  <c r="E97"/>
  <c r="D97"/>
  <c r="C97"/>
  <c r="B97"/>
  <c r="E96"/>
  <c r="D96"/>
  <c r="C96"/>
  <c r="B96"/>
  <c r="E95"/>
  <c r="D95"/>
  <c r="C95"/>
  <c r="B95"/>
  <c r="E94"/>
  <c r="D94"/>
  <c r="C94"/>
  <c r="B94"/>
  <c r="E93"/>
  <c r="D93"/>
  <c r="C93"/>
  <c r="B93"/>
  <c r="E92"/>
  <c r="D92"/>
  <c r="C92"/>
  <c r="B92"/>
  <c r="E91"/>
  <c r="D91"/>
  <c r="C91"/>
  <c r="B91"/>
  <c r="E90"/>
  <c r="D90"/>
  <c r="C90"/>
  <c r="B90"/>
  <c r="E89"/>
  <c r="D89"/>
  <c r="C89"/>
  <c r="B89"/>
  <c r="E88"/>
  <c r="D88"/>
  <c r="C88"/>
  <c r="B88"/>
  <c r="E87"/>
  <c r="D87"/>
  <c r="C87"/>
  <c r="B87"/>
  <c r="E86"/>
  <c r="D86"/>
  <c r="C86"/>
  <c r="B86"/>
  <c r="E85"/>
  <c r="D85"/>
  <c r="C85"/>
  <c r="B85"/>
  <c r="E84"/>
  <c r="D84"/>
  <c r="C84"/>
  <c r="B84"/>
  <c r="E83"/>
  <c r="D83"/>
  <c r="C83"/>
  <c r="B83"/>
  <c r="E82"/>
  <c r="D82"/>
  <c r="C82"/>
  <c r="B82"/>
  <c r="E81"/>
  <c r="D81"/>
  <c r="C81"/>
  <c r="B81"/>
  <c r="E80"/>
  <c r="D80"/>
  <c r="C80"/>
  <c r="B80"/>
  <c r="E79"/>
  <c r="D79"/>
  <c r="C79"/>
  <c r="B79"/>
  <c r="E78"/>
  <c r="D78"/>
  <c r="C78"/>
  <c r="B78"/>
  <c r="E77"/>
  <c r="D77"/>
  <c r="C77"/>
  <c r="B77"/>
  <c r="E76"/>
  <c r="D76"/>
  <c r="C76"/>
  <c r="B76"/>
  <c r="E75"/>
  <c r="D75"/>
  <c r="C75"/>
  <c r="B75"/>
  <c r="E74"/>
  <c r="D74"/>
  <c r="C74"/>
  <c r="B74"/>
  <c r="E73"/>
  <c r="D73"/>
  <c r="C73"/>
  <c r="B73"/>
  <c r="E72"/>
  <c r="D72"/>
  <c r="C72"/>
  <c r="B72"/>
  <c r="E71"/>
  <c r="D71"/>
  <c r="C71"/>
  <c r="B71"/>
  <c r="E70"/>
  <c r="D70"/>
  <c r="C70"/>
  <c r="B70"/>
  <c r="E69"/>
  <c r="D69"/>
  <c r="C69"/>
  <c r="B69"/>
  <c r="E68"/>
  <c r="D68"/>
  <c r="C68"/>
  <c r="B68"/>
  <c r="E67"/>
  <c r="D67"/>
  <c r="C67"/>
  <c r="B67"/>
  <c r="E66"/>
  <c r="D66"/>
  <c r="C66"/>
  <c r="B66"/>
  <c r="E65"/>
  <c r="D65"/>
  <c r="C65"/>
  <c r="B65"/>
  <c r="E64"/>
  <c r="D64"/>
  <c r="C64"/>
  <c r="B64"/>
  <c r="E63"/>
  <c r="D63"/>
  <c r="C63"/>
  <c r="B63"/>
  <c r="E62"/>
  <c r="D62"/>
  <c r="C62"/>
  <c r="B62"/>
  <c r="E61"/>
  <c r="D61"/>
  <c r="C61"/>
  <c r="B61"/>
  <c r="E60"/>
  <c r="D60"/>
  <c r="C60"/>
  <c r="B60"/>
  <c r="E59"/>
  <c r="D59"/>
  <c r="C59"/>
  <c r="B59"/>
  <c r="E58"/>
  <c r="D58"/>
  <c r="C58"/>
  <c r="B58"/>
  <c r="E57"/>
  <c r="D57"/>
  <c r="C57"/>
  <c r="B57"/>
  <c r="E56"/>
  <c r="D56"/>
  <c r="C56"/>
  <c r="B56"/>
  <c r="E55"/>
  <c r="F47"/>
  <c r="E47"/>
  <c r="C47"/>
  <c r="B47"/>
  <c r="F46"/>
  <c r="E46"/>
  <c r="C46"/>
  <c r="B46"/>
  <c r="F45"/>
  <c r="E45"/>
  <c r="C45"/>
  <c r="B45"/>
  <c r="F44"/>
  <c r="E44"/>
  <c r="C44"/>
  <c r="B44"/>
  <c r="F43"/>
  <c r="E43"/>
  <c r="C43"/>
  <c r="B43"/>
  <c r="F42"/>
  <c r="E42"/>
  <c r="C42"/>
  <c r="B42"/>
  <c r="F41"/>
  <c r="E41"/>
  <c r="C41"/>
  <c r="B41"/>
  <c r="F40"/>
  <c r="E40"/>
  <c r="C40"/>
  <c r="B40"/>
  <c r="F39"/>
  <c r="E39"/>
  <c r="C39"/>
  <c r="B39"/>
  <c r="F38"/>
  <c r="E38"/>
  <c r="C38"/>
  <c r="B38"/>
  <c r="F37"/>
  <c r="E37"/>
  <c r="C37"/>
  <c r="B37"/>
  <c r="F36"/>
  <c r="E36"/>
  <c r="C36"/>
  <c r="B36"/>
  <c r="F35"/>
  <c r="E35"/>
  <c r="C35"/>
  <c r="B35"/>
  <c r="F34"/>
  <c r="E34"/>
  <c r="C34"/>
  <c r="B34"/>
  <c r="F33"/>
  <c r="E33"/>
  <c r="C33"/>
  <c r="B33"/>
  <c r="F32"/>
  <c r="E32"/>
  <c r="C32"/>
  <c r="B32"/>
  <c r="F31"/>
  <c r="E31"/>
  <c r="C31"/>
  <c r="B31"/>
  <c r="F30"/>
  <c r="E30"/>
  <c r="C30"/>
  <c r="B30"/>
  <c r="F29"/>
  <c r="E29"/>
  <c r="C29"/>
  <c r="B29"/>
  <c r="F28"/>
  <c r="E28"/>
  <c r="C28"/>
  <c r="B28"/>
  <c r="D10"/>
  <c r="D18" s="1"/>
  <c r="D20" s="1"/>
  <c r="K543" i="26"/>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J476"/>
  <c r="I476"/>
  <c r="H476"/>
  <c r="E476"/>
  <c r="D476"/>
  <c r="C476"/>
  <c r="B476"/>
  <c r="K475"/>
  <c r="J475"/>
  <c r="I475"/>
  <c r="H475"/>
  <c r="E475"/>
  <c r="D475"/>
  <c r="C475"/>
  <c r="B475"/>
  <c r="K474"/>
  <c r="J474"/>
  <c r="I474"/>
  <c r="H474"/>
  <c r="E474"/>
  <c r="D474"/>
  <c r="C474"/>
  <c r="B474"/>
  <c r="K473"/>
  <c r="J473"/>
  <c r="I473"/>
  <c r="H473"/>
  <c r="E473"/>
  <c r="D473"/>
  <c r="C473"/>
  <c r="B473"/>
  <c r="K472"/>
  <c r="J472"/>
  <c r="I472"/>
  <c r="H472"/>
  <c r="E472"/>
  <c r="D472"/>
  <c r="C472"/>
  <c r="B472"/>
  <c r="K471"/>
  <c r="J471"/>
  <c r="I471"/>
  <c r="H471"/>
  <c r="E471"/>
  <c r="D471"/>
  <c r="C471"/>
  <c r="B471"/>
  <c r="K470"/>
  <c r="J470"/>
  <c r="I470"/>
  <c r="H470"/>
  <c r="E470"/>
  <c r="D470"/>
  <c r="C470"/>
  <c r="B470"/>
  <c r="K469"/>
  <c r="J469"/>
  <c r="I469"/>
  <c r="H469"/>
  <c r="E469"/>
  <c r="D469"/>
  <c r="C469"/>
  <c r="B469"/>
  <c r="K468"/>
  <c r="J468"/>
  <c r="I468"/>
  <c r="H468"/>
  <c r="E468"/>
  <c r="D468"/>
  <c r="C468"/>
  <c r="B468"/>
  <c r="K467"/>
  <c r="J467"/>
  <c r="I467"/>
  <c r="H467"/>
  <c r="E467"/>
  <c r="D467"/>
  <c r="C467"/>
  <c r="B467"/>
  <c r="K466"/>
  <c r="J466"/>
  <c r="I466"/>
  <c r="H466"/>
  <c r="E466"/>
  <c r="D466"/>
  <c r="C466"/>
  <c r="B466"/>
  <c r="K465"/>
  <c r="J465"/>
  <c r="I465"/>
  <c r="H465"/>
  <c r="E465"/>
  <c r="D465"/>
  <c r="C465"/>
  <c r="B465"/>
  <c r="K464"/>
  <c r="J464"/>
  <c r="I464"/>
  <c r="H464"/>
  <c r="E464"/>
  <c r="D464"/>
  <c r="C464"/>
  <c r="B464"/>
  <c r="K463"/>
  <c r="J463"/>
  <c r="I463"/>
  <c r="H463"/>
  <c r="E463"/>
  <c r="D463"/>
  <c r="C463"/>
  <c r="B463"/>
  <c r="K462"/>
  <c r="J462"/>
  <c r="I462"/>
  <c r="H462"/>
  <c r="E462"/>
  <c r="D462"/>
  <c r="C462"/>
  <c r="B462"/>
  <c r="K461"/>
  <c r="J461"/>
  <c r="I461"/>
  <c r="H461"/>
  <c r="E461"/>
  <c r="D461"/>
  <c r="C461"/>
  <c r="B461"/>
  <c r="K460"/>
  <c r="J460"/>
  <c r="I460"/>
  <c r="H460"/>
  <c r="E460"/>
  <c r="D460"/>
  <c r="C460"/>
  <c r="B460"/>
  <c r="K459"/>
  <c r="J459"/>
  <c r="I459"/>
  <c r="H459"/>
  <c r="E459"/>
  <c r="D459"/>
  <c r="C459"/>
  <c r="B459"/>
  <c r="K458"/>
  <c r="J458"/>
  <c r="I458"/>
  <c r="H458"/>
  <c r="E458"/>
  <c r="D458"/>
  <c r="C458"/>
  <c r="B458"/>
  <c r="K457"/>
  <c r="J457"/>
  <c r="I457"/>
  <c r="H457"/>
  <c r="E457"/>
  <c r="D457"/>
  <c r="C457"/>
  <c r="B457"/>
  <c r="K456"/>
  <c r="J456"/>
  <c r="I456"/>
  <c r="H456"/>
  <c r="E456"/>
  <c r="D456"/>
  <c r="C456"/>
  <c r="B456"/>
  <c r="K455"/>
  <c r="J455"/>
  <c r="I455"/>
  <c r="H455"/>
  <c r="E455"/>
  <c r="D455"/>
  <c r="C455"/>
  <c r="B455"/>
  <c r="K454"/>
  <c r="J454"/>
  <c r="I454"/>
  <c r="H454"/>
  <c r="E454"/>
  <c r="D454"/>
  <c r="C454"/>
  <c r="B454"/>
  <c r="K453"/>
  <c r="J453"/>
  <c r="I453"/>
  <c r="H453"/>
  <c r="E453"/>
  <c r="D453"/>
  <c r="C453"/>
  <c r="B453"/>
  <c r="K452"/>
  <c r="J452"/>
  <c r="I452"/>
  <c r="H452"/>
  <c r="E452"/>
  <c r="D452"/>
  <c r="C452"/>
  <c r="B452"/>
  <c r="K451"/>
  <c r="J451"/>
  <c r="I451"/>
  <c r="H451"/>
  <c r="E451"/>
  <c r="D451"/>
  <c r="C451"/>
  <c r="B451"/>
  <c r="K450"/>
  <c r="J450"/>
  <c r="I450"/>
  <c r="H450"/>
  <c r="E450"/>
  <c r="D450"/>
  <c r="C450"/>
  <c r="B450"/>
  <c r="K449"/>
  <c r="J449"/>
  <c r="I449"/>
  <c r="H449"/>
  <c r="E449"/>
  <c r="D449"/>
  <c r="C449"/>
  <c r="B449"/>
  <c r="K448"/>
  <c r="J448"/>
  <c r="I448"/>
  <c r="H448"/>
  <c r="E448"/>
  <c r="D448"/>
  <c r="C448"/>
  <c r="B448"/>
  <c r="K447"/>
  <c r="J447"/>
  <c r="I447"/>
  <c r="H447"/>
  <c r="E447"/>
  <c r="D447"/>
  <c r="C447"/>
  <c r="B447"/>
  <c r="K446"/>
  <c r="J446"/>
  <c r="I446"/>
  <c r="H446"/>
  <c r="E446"/>
  <c r="D446"/>
  <c r="C446"/>
  <c r="B446"/>
  <c r="K445"/>
  <c r="J445"/>
  <c r="I445"/>
  <c r="H445"/>
  <c r="E445"/>
  <c r="D445"/>
  <c r="C445"/>
  <c r="B445"/>
  <c r="K444"/>
  <c r="J444"/>
  <c r="I444"/>
  <c r="H444"/>
  <c r="E444"/>
  <c r="D444"/>
  <c r="C444"/>
  <c r="B444"/>
  <c r="K443"/>
  <c r="J443"/>
  <c r="I443"/>
  <c r="H443"/>
  <c r="E443"/>
  <c r="D443"/>
  <c r="C443"/>
  <c r="B443"/>
  <c r="K442"/>
  <c r="J442"/>
  <c r="I442"/>
  <c r="H442"/>
  <c r="E442"/>
  <c r="D442"/>
  <c r="C442"/>
  <c r="B442"/>
  <c r="K441"/>
  <c r="J441"/>
  <c r="I441"/>
  <c r="H441"/>
  <c r="E441"/>
  <c r="D441"/>
  <c r="C441"/>
  <c r="B441"/>
  <c r="K440"/>
  <c r="J440"/>
  <c r="I440"/>
  <c r="H440"/>
  <c r="E440"/>
  <c r="D440"/>
  <c r="C440"/>
  <c r="B440"/>
  <c r="K439"/>
  <c r="J439"/>
  <c r="I439"/>
  <c r="H439"/>
  <c r="E439"/>
  <c r="D439"/>
  <c r="C439"/>
  <c r="B439"/>
  <c r="K438"/>
  <c r="J438"/>
  <c r="I438"/>
  <c r="H438"/>
  <c r="E438"/>
  <c r="D438"/>
  <c r="C438"/>
  <c r="B438"/>
  <c r="K437"/>
  <c r="J437"/>
  <c r="I437"/>
  <c r="H437"/>
  <c r="E437"/>
  <c r="D437"/>
  <c r="C437"/>
  <c r="B437"/>
  <c r="K436"/>
  <c r="J436"/>
  <c r="I436"/>
  <c r="H436"/>
  <c r="E436"/>
  <c r="D436"/>
  <c r="C436"/>
  <c r="B436"/>
  <c r="K435"/>
  <c r="J435"/>
  <c r="I435"/>
  <c r="H435"/>
  <c r="E435"/>
  <c r="D435"/>
  <c r="C435"/>
  <c r="B435"/>
  <c r="K434"/>
  <c r="J434"/>
  <c r="I434"/>
  <c r="H434"/>
  <c r="E434"/>
  <c r="D434"/>
  <c r="C434"/>
  <c r="B434"/>
  <c r="K433"/>
  <c r="J433"/>
  <c r="I433"/>
  <c r="H433"/>
  <c r="E433"/>
  <c r="D433"/>
  <c r="C433"/>
  <c r="B433"/>
  <c r="K432"/>
  <c r="J432"/>
  <c r="I432"/>
  <c r="H432"/>
  <c r="E432"/>
  <c r="D432"/>
  <c r="C432"/>
  <c r="B432"/>
  <c r="K431"/>
  <c r="J431"/>
  <c r="I431"/>
  <c r="H431"/>
  <c r="E431"/>
  <c r="D431"/>
  <c r="C431"/>
  <c r="B431"/>
  <c r="K430"/>
  <c r="J430"/>
  <c r="I430"/>
  <c r="H430"/>
  <c r="E430"/>
  <c r="D430"/>
  <c r="C430"/>
  <c r="B430"/>
  <c r="K429"/>
  <c r="J429"/>
  <c r="I429"/>
  <c r="H429"/>
  <c r="E429"/>
  <c r="D429"/>
  <c r="C429"/>
  <c r="B429"/>
  <c r="K428"/>
  <c r="J428"/>
  <c r="I428"/>
  <c r="H428"/>
  <c r="E428"/>
  <c r="D428"/>
  <c r="C428"/>
  <c r="B428"/>
  <c r="K427"/>
  <c r="J427"/>
  <c r="I427"/>
  <c r="H427"/>
  <c r="E427"/>
  <c r="D427"/>
  <c r="C427"/>
  <c r="B427"/>
  <c r="K426"/>
  <c r="J426"/>
  <c r="I426"/>
  <c r="H426"/>
  <c r="E426"/>
  <c r="D426"/>
  <c r="C426"/>
  <c r="B426"/>
  <c r="K425"/>
  <c r="J425"/>
  <c r="I425"/>
  <c r="H425"/>
  <c r="E425"/>
  <c r="D425"/>
  <c r="C425"/>
  <c r="B425"/>
  <c r="K424"/>
  <c r="J424"/>
  <c r="I424"/>
  <c r="H424"/>
  <c r="E424"/>
  <c r="D424"/>
  <c r="C424"/>
  <c r="B424"/>
  <c r="K423"/>
  <c r="J423"/>
  <c r="I423"/>
  <c r="H423"/>
  <c r="E423"/>
  <c r="D423"/>
  <c r="C423"/>
  <c r="B423"/>
  <c r="K422"/>
  <c r="J422"/>
  <c r="I422"/>
  <c r="H422"/>
  <c r="E422"/>
  <c r="D422"/>
  <c r="C422"/>
  <c r="B422"/>
  <c r="K421"/>
  <c r="J421"/>
  <c r="I421"/>
  <c r="H421"/>
  <c r="E421"/>
  <c r="D421"/>
  <c r="C421"/>
  <c r="B421"/>
  <c r="K420"/>
  <c r="J420"/>
  <c r="I420"/>
  <c r="H420"/>
  <c r="E420"/>
  <c r="D420"/>
  <c r="C420"/>
  <c r="B420"/>
  <c r="K419"/>
  <c r="J419"/>
  <c r="I419"/>
  <c r="H419"/>
  <c r="E419"/>
  <c r="D419"/>
  <c r="C419"/>
  <c r="B419"/>
  <c r="K418"/>
  <c r="J418"/>
  <c r="I418"/>
  <c r="H418"/>
  <c r="E418"/>
  <c r="D418"/>
  <c r="C418"/>
  <c r="B418"/>
  <c r="K417"/>
  <c r="J417"/>
  <c r="I417"/>
  <c r="H417"/>
  <c r="E417"/>
  <c r="D417"/>
  <c r="C417"/>
  <c r="B417"/>
  <c r="K416"/>
  <c r="J416"/>
  <c r="I416"/>
  <c r="H416"/>
  <c r="E416"/>
  <c r="D416"/>
  <c r="C416"/>
  <c r="B416"/>
  <c r="K415"/>
  <c r="J415"/>
  <c r="I415"/>
  <c r="H415"/>
  <c r="E415"/>
  <c r="D415"/>
  <c r="C415"/>
  <c r="B415"/>
  <c r="K414"/>
  <c r="J414"/>
  <c r="I414"/>
  <c r="H414"/>
  <c r="E414"/>
  <c r="D414"/>
  <c r="C414"/>
  <c r="B414"/>
  <c r="K413"/>
  <c r="J413"/>
  <c r="I413"/>
  <c r="H413"/>
  <c r="E413"/>
  <c r="D413"/>
  <c r="C413"/>
  <c r="B413"/>
  <c r="K412"/>
  <c r="J412"/>
  <c r="I412"/>
  <c r="H412"/>
  <c r="E412"/>
  <c r="D412"/>
  <c r="C412"/>
  <c r="B412"/>
  <c r="K411"/>
  <c r="J411"/>
  <c r="I411"/>
  <c r="H411"/>
  <c r="E411"/>
  <c r="D411"/>
  <c r="C411"/>
  <c r="B411"/>
  <c r="K410"/>
  <c r="J410"/>
  <c r="I410"/>
  <c r="H410"/>
  <c r="E410"/>
  <c r="D410"/>
  <c r="C410"/>
  <c r="B410"/>
  <c r="K409"/>
  <c r="J409"/>
  <c r="I409"/>
  <c r="H409"/>
  <c r="E409"/>
  <c r="D409"/>
  <c r="C409"/>
  <c r="B409"/>
  <c r="K408"/>
  <c r="J408"/>
  <c r="I408"/>
  <c r="H408"/>
  <c r="E408"/>
  <c r="D408"/>
  <c r="C408"/>
  <c r="B408"/>
  <c r="K407"/>
  <c r="J407"/>
  <c r="I407"/>
  <c r="H407"/>
  <c r="E407"/>
  <c r="D407"/>
  <c r="C407"/>
  <c r="B407"/>
  <c r="K406"/>
  <c r="J406"/>
  <c r="I406"/>
  <c r="H406"/>
  <c r="E406"/>
  <c r="D406"/>
  <c r="C406"/>
  <c r="B406"/>
  <c r="K405"/>
  <c r="J405"/>
  <c r="I405"/>
  <c r="H405"/>
  <c r="E405"/>
  <c r="D405"/>
  <c r="C405"/>
  <c r="B405"/>
  <c r="K404"/>
  <c r="J404"/>
  <c r="I404"/>
  <c r="H404"/>
  <c r="E404"/>
  <c r="D404"/>
  <c r="C404"/>
  <c r="B404"/>
  <c r="K403"/>
  <c r="J403"/>
  <c r="I403"/>
  <c r="H403"/>
  <c r="E403"/>
  <c r="D403"/>
  <c r="C403"/>
  <c r="B403"/>
  <c r="K402"/>
  <c r="J402"/>
  <c r="I402"/>
  <c r="H402"/>
  <c r="E402"/>
  <c r="D402"/>
  <c r="C402"/>
  <c r="B402"/>
  <c r="K401"/>
  <c r="J401"/>
  <c r="I401"/>
  <c r="H401"/>
  <c r="E401"/>
  <c r="D401"/>
  <c r="C401"/>
  <c r="B401"/>
  <c r="K400"/>
  <c r="J400"/>
  <c r="I400"/>
  <c r="H400"/>
  <c r="E400"/>
  <c r="D400"/>
  <c r="C400"/>
  <c r="B400"/>
  <c r="K399"/>
  <c r="J399"/>
  <c r="I399"/>
  <c r="H399"/>
  <c r="E399"/>
  <c r="D399"/>
  <c r="C399"/>
  <c r="B399"/>
  <c r="K398"/>
  <c r="J398"/>
  <c r="I398"/>
  <c r="H398"/>
  <c r="E398"/>
  <c r="D398"/>
  <c r="C398"/>
  <c r="B398"/>
  <c r="K397"/>
  <c r="J397"/>
  <c r="I397"/>
  <c r="H397"/>
  <c r="E397"/>
  <c r="D397"/>
  <c r="C397"/>
  <c r="B397"/>
  <c r="K396"/>
  <c r="J396"/>
  <c r="I396"/>
  <c r="H396"/>
  <c r="E396"/>
  <c r="D396"/>
  <c r="C396"/>
  <c r="B396"/>
  <c r="K395"/>
  <c r="J395"/>
  <c r="I395"/>
  <c r="H395"/>
  <c r="E395"/>
  <c r="D395"/>
  <c r="C395"/>
  <c r="B395"/>
  <c r="K394"/>
  <c r="J394"/>
  <c r="I394"/>
  <c r="H394"/>
  <c r="E394"/>
  <c r="D394"/>
  <c r="C394"/>
  <c r="B394"/>
  <c r="K393"/>
  <c r="J393"/>
  <c r="I393"/>
  <c r="H393"/>
  <c r="E393"/>
  <c r="D393"/>
  <c r="C393"/>
  <c r="B393"/>
  <c r="K392"/>
  <c r="J392"/>
  <c r="I392"/>
  <c r="H392"/>
  <c r="E392"/>
  <c r="D392"/>
  <c r="C392"/>
  <c r="B392"/>
  <c r="K391"/>
  <c r="J391"/>
  <c r="I391"/>
  <c r="H391"/>
  <c r="E391"/>
  <c r="D391"/>
  <c r="C391"/>
  <c r="B391"/>
  <c r="K390"/>
  <c r="J390"/>
  <c r="I390"/>
  <c r="H390"/>
  <c r="E390"/>
  <c r="D390"/>
  <c r="C390"/>
  <c r="B390"/>
  <c r="K389"/>
  <c r="J389"/>
  <c r="I389"/>
  <c r="H389"/>
  <c r="E389"/>
  <c r="D389"/>
  <c r="C389"/>
  <c r="B389"/>
  <c r="K388"/>
  <c r="J388"/>
  <c r="I388"/>
  <c r="H388"/>
  <c r="E388"/>
  <c r="D388"/>
  <c r="C388"/>
  <c r="B388"/>
  <c r="K387"/>
  <c r="J387"/>
  <c r="I387"/>
  <c r="H387"/>
  <c r="E387"/>
  <c r="D387"/>
  <c r="C387"/>
  <c r="B387"/>
  <c r="K386"/>
  <c r="J386"/>
  <c r="I386"/>
  <c r="H386"/>
  <c r="E386"/>
  <c r="D386"/>
  <c r="C386"/>
  <c r="B386"/>
  <c r="K385"/>
  <c r="J385"/>
  <c r="I385"/>
  <c r="H385"/>
  <c r="E385"/>
  <c r="D385"/>
  <c r="C385"/>
  <c r="B385"/>
  <c r="K384"/>
  <c r="J384"/>
  <c r="I384"/>
  <c r="H384"/>
  <c r="E384"/>
  <c r="D384"/>
  <c r="C384"/>
  <c r="B384"/>
  <c r="K383"/>
  <c r="J383"/>
  <c r="I383"/>
  <c r="H383"/>
  <c r="E383"/>
  <c r="D383"/>
  <c r="C383"/>
  <c r="B383"/>
  <c r="K382"/>
  <c r="J382"/>
  <c r="I382"/>
  <c r="H382"/>
  <c r="E382"/>
  <c r="D382"/>
  <c r="C382"/>
  <c r="B382"/>
  <c r="K381"/>
  <c r="J381"/>
  <c r="I381"/>
  <c r="H381"/>
  <c r="E381"/>
  <c r="D381"/>
  <c r="C381"/>
  <c r="B381"/>
  <c r="K380"/>
  <c r="J380"/>
  <c r="I380"/>
  <c r="H380"/>
  <c r="E380"/>
  <c r="D380"/>
  <c r="C380"/>
  <c r="B380"/>
  <c r="K379"/>
  <c r="J379"/>
  <c r="I379"/>
  <c r="H379"/>
  <c r="E379"/>
  <c r="D379"/>
  <c r="C379"/>
  <c r="B379"/>
  <c r="K378"/>
  <c r="J378"/>
  <c r="I378"/>
  <c r="H378"/>
  <c r="E378"/>
  <c r="D378"/>
  <c r="C378"/>
  <c r="B378"/>
  <c r="K377"/>
  <c r="J377"/>
  <c r="I377"/>
  <c r="H377"/>
  <c r="E377"/>
  <c r="D377"/>
  <c r="C377"/>
  <c r="B377"/>
  <c r="K376"/>
  <c r="J376"/>
  <c r="I376"/>
  <c r="H376"/>
  <c r="E376"/>
  <c r="D376"/>
  <c r="C376"/>
  <c r="B376"/>
  <c r="K375"/>
  <c r="J375"/>
  <c r="I375"/>
  <c r="H375"/>
  <c r="E375"/>
  <c r="D375"/>
  <c r="C375"/>
  <c r="B375"/>
  <c r="K374"/>
  <c r="J374"/>
  <c r="I374"/>
  <c r="H374"/>
  <c r="E374"/>
  <c r="D374"/>
  <c r="C374"/>
  <c r="B374"/>
  <c r="K373"/>
  <c r="J373"/>
  <c r="I373"/>
  <c r="H373"/>
  <c r="E373"/>
  <c r="D373"/>
  <c r="C373"/>
  <c r="B373"/>
  <c r="K372"/>
  <c r="J372"/>
  <c r="I372"/>
  <c r="H372"/>
  <c r="E372"/>
  <c r="D372"/>
  <c r="C372"/>
  <c r="B372"/>
  <c r="K371"/>
  <c r="J371"/>
  <c r="I371"/>
  <c r="H371"/>
  <c r="E371"/>
  <c r="D371"/>
  <c r="C371"/>
  <c r="B371"/>
  <c r="K370"/>
  <c r="J370"/>
  <c r="I370"/>
  <c r="H370"/>
  <c r="E370"/>
  <c r="D370"/>
  <c r="C370"/>
  <c r="B370"/>
  <c r="K369"/>
  <c r="J369"/>
  <c r="I369"/>
  <c r="H369"/>
  <c r="E369"/>
  <c r="D369"/>
  <c r="C369"/>
  <c r="B369"/>
  <c r="K368"/>
  <c r="J368"/>
  <c r="I368"/>
  <c r="H368"/>
  <c r="E368"/>
  <c r="D368"/>
  <c r="C368"/>
  <c r="B368"/>
  <c r="K367"/>
  <c r="J367"/>
  <c r="I367"/>
  <c r="H367"/>
  <c r="E367"/>
  <c r="D367"/>
  <c r="C367"/>
  <c r="B367"/>
  <c r="K366"/>
  <c r="J366"/>
  <c r="I366"/>
  <c r="H366"/>
  <c r="E366"/>
  <c r="D366"/>
  <c r="C366"/>
  <c r="B366"/>
  <c r="K365"/>
  <c r="J365"/>
  <c r="I365"/>
  <c r="H365"/>
  <c r="E365"/>
  <c r="D365"/>
  <c r="C365"/>
  <c r="B365"/>
  <c r="K364"/>
  <c r="J364"/>
  <c r="I364"/>
  <c r="H364"/>
  <c r="E364"/>
  <c r="D364"/>
  <c r="C364"/>
  <c r="B364"/>
  <c r="K363"/>
  <c r="J363"/>
  <c r="I363"/>
  <c r="H363"/>
  <c r="E363"/>
  <c r="D363"/>
  <c r="C363"/>
  <c r="B363"/>
  <c r="K362"/>
  <c r="J362"/>
  <c r="I362"/>
  <c r="H362"/>
  <c r="E362"/>
  <c r="D362"/>
  <c r="C362"/>
  <c r="B362"/>
  <c r="K361"/>
  <c r="J361"/>
  <c r="I361"/>
  <c r="H361"/>
  <c r="E361"/>
  <c r="D361"/>
  <c r="C361"/>
  <c r="B361"/>
  <c r="K360"/>
  <c r="J360"/>
  <c r="I360"/>
  <c r="H360"/>
  <c r="E360"/>
  <c r="D360"/>
  <c r="C360"/>
  <c r="B360"/>
  <c r="K359"/>
  <c r="J359"/>
  <c r="I359"/>
  <c r="H359"/>
  <c r="E359"/>
  <c r="D359"/>
  <c r="C359"/>
  <c r="B359"/>
  <c r="K358"/>
  <c r="J358"/>
  <c r="I358"/>
  <c r="H358"/>
  <c r="E358"/>
  <c r="D358"/>
  <c r="C358"/>
  <c r="B358"/>
  <c r="K357"/>
  <c r="J357"/>
  <c r="I357"/>
  <c r="H357"/>
  <c r="E357"/>
  <c r="D357"/>
  <c r="C357"/>
  <c r="B357"/>
  <c r="K356"/>
  <c r="J356"/>
  <c r="I356"/>
  <c r="H356"/>
  <c r="E356"/>
  <c r="D356"/>
  <c r="C356"/>
  <c r="B356"/>
  <c r="K355"/>
  <c r="J355"/>
  <c r="I355"/>
  <c r="H355"/>
  <c r="E355"/>
  <c r="D355"/>
  <c r="C355"/>
  <c r="B355"/>
  <c r="K354"/>
  <c r="J354"/>
  <c r="I354"/>
  <c r="H354"/>
  <c r="E354"/>
  <c r="D354"/>
  <c r="C354"/>
  <c r="B354"/>
  <c r="K353"/>
  <c r="J353"/>
  <c r="I353"/>
  <c r="H353"/>
  <c r="E353"/>
  <c r="D353"/>
  <c r="C353"/>
  <c r="B353"/>
  <c r="K352"/>
  <c r="J352"/>
  <c r="I352"/>
  <c r="H352"/>
  <c r="E352"/>
  <c r="D352"/>
  <c r="C352"/>
  <c r="B352"/>
  <c r="K351"/>
  <c r="J351"/>
  <c r="I351"/>
  <c r="H351"/>
  <c r="E351"/>
  <c r="D351"/>
  <c r="C351"/>
  <c r="B351"/>
  <c r="K350"/>
  <c r="J350"/>
  <c r="I350"/>
  <c r="H350"/>
  <c r="E350"/>
  <c r="D350"/>
  <c r="C350"/>
  <c r="B350"/>
  <c r="K349"/>
  <c r="J349"/>
  <c r="I349"/>
  <c r="H349"/>
  <c r="E349"/>
  <c r="D349"/>
  <c r="C349"/>
  <c r="B349"/>
  <c r="K348"/>
  <c r="J348"/>
  <c r="I348"/>
  <c r="H348"/>
  <c r="E348"/>
  <c r="D348"/>
  <c r="C348"/>
  <c r="B348"/>
  <c r="K347"/>
  <c r="J347"/>
  <c r="I347"/>
  <c r="H347"/>
  <c r="E347"/>
  <c r="D347"/>
  <c r="C347"/>
  <c r="B347"/>
  <c r="K346"/>
  <c r="J346"/>
  <c r="I346"/>
  <c r="H346"/>
  <c r="E346"/>
  <c r="D346"/>
  <c r="C346"/>
  <c r="B346"/>
  <c r="K345"/>
  <c r="J345"/>
  <c r="I345"/>
  <c r="H345"/>
  <c r="E345"/>
  <c r="D345"/>
  <c r="C345"/>
  <c r="B345"/>
  <c r="K344"/>
  <c r="J344"/>
  <c r="I344"/>
  <c r="H344"/>
  <c r="E344"/>
  <c r="D344"/>
  <c r="C344"/>
  <c r="B344"/>
  <c r="K343"/>
  <c r="J343"/>
  <c r="I343"/>
  <c r="H343"/>
  <c r="E343"/>
  <c r="D343"/>
  <c r="C343"/>
  <c r="B343"/>
  <c r="K342"/>
  <c r="J342"/>
  <c r="I342"/>
  <c r="H342"/>
  <c r="E342"/>
  <c r="D342"/>
  <c r="C342"/>
  <c r="B342"/>
  <c r="K341"/>
  <c r="J341"/>
  <c r="I341"/>
  <c r="H341"/>
  <c r="E341"/>
  <c r="D341"/>
  <c r="C341"/>
  <c r="B341"/>
  <c r="K340"/>
  <c r="J340"/>
  <c r="I340"/>
  <c r="H340"/>
  <c r="E340"/>
  <c r="D340"/>
  <c r="C340"/>
  <c r="B340"/>
  <c r="K339"/>
  <c r="J339"/>
  <c r="I339"/>
  <c r="H339"/>
  <c r="E339"/>
  <c r="D339"/>
  <c r="C339"/>
  <c r="B339"/>
  <c r="K338"/>
  <c r="J338"/>
  <c r="I338"/>
  <c r="H338"/>
  <c r="E338"/>
  <c r="D338"/>
  <c r="C338"/>
  <c r="B338"/>
  <c r="K337"/>
  <c r="J337"/>
  <c r="I337"/>
  <c r="H337"/>
  <c r="E337"/>
  <c r="D337"/>
  <c r="C337"/>
  <c r="B337"/>
  <c r="K336"/>
  <c r="J336"/>
  <c r="I336"/>
  <c r="H336"/>
  <c r="E336"/>
  <c r="D336"/>
  <c r="C336"/>
  <c r="B336"/>
  <c r="K335"/>
  <c r="J335"/>
  <c r="I335"/>
  <c r="H335"/>
  <c r="E335"/>
  <c r="D335"/>
  <c r="C335"/>
  <c r="B335"/>
  <c r="K334"/>
  <c r="J334"/>
  <c r="I334"/>
  <c r="H334"/>
  <c r="E334"/>
  <c r="D334"/>
  <c r="C334"/>
  <c r="B334"/>
  <c r="K333"/>
  <c r="J333"/>
  <c r="I333"/>
  <c r="H333"/>
  <c r="E333"/>
  <c r="D333"/>
  <c r="C333"/>
  <c r="B333"/>
  <c r="K332"/>
  <c r="J332"/>
  <c r="I332"/>
  <c r="H332"/>
  <c r="E332"/>
  <c r="D332"/>
  <c r="C332"/>
  <c r="B332"/>
  <c r="K331"/>
  <c r="J331"/>
  <c r="I331"/>
  <c r="H331"/>
  <c r="E331"/>
  <c r="D331"/>
  <c r="C331"/>
  <c r="B331"/>
  <c r="K330"/>
  <c r="J330"/>
  <c r="I330"/>
  <c r="H330"/>
  <c r="E330"/>
  <c r="D330"/>
  <c r="C330"/>
  <c r="B330"/>
  <c r="K329"/>
  <c r="J329"/>
  <c r="I329"/>
  <c r="H329"/>
  <c r="E329"/>
  <c r="D329"/>
  <c r="C329"/>
  <c r="B329"/>
  <c r="K328"/>
  <c r="J328"/>
  <c r="I328"/>
  <c r="H328"/>
  <c r="E328"/>
  <c r="D328"/>
  <c r="C328"/>
  <c r="B328"/>
  <c r="K327"/>
  <c r="J327"/>
  <c r="I327"/>
  <c r="H327"/>
  <c r="E327"/>
  <c r="D327"/>
  <c r="C327"/>
  <c r="B327"/>
  <c r="K326"/>
  <c r="J326"/>
  <c r="I326"/>
  <c r="H326"/>
  <c r="E326"/>
  <c r="D326"/>
  <c r="C326"/>
  <c r="B326"/>
  <c r="K325"/>
  <c r="J325"/>
  <c r="I325"/>
  <c r="H325"/>
  <c r="E325"/>
  <c r="D325"/>
  <c r="C325"/>
  <c r="B325"/>
  <c r="K324"/>
  <c r="J324"/>
  <c r="I324"/>
  <c r="H324"/>
  <c r="E324"/>
  <c r="D324"/>
  <c r="C324"/>
  <c r="B324"/>
  <c r="K323"/>
  <c r="J323"/>
  <c r="I323"/>
  <c r="H323"/>
  <c r="E323"/>
  <c r="D323"/>
  <c r="C323"/>
  <c r="B323"/>
  <c r="K322"/>
  <c r="J322"/>
  <c r="I322"/>
  <c r="H322"/>
  <c r="E322"/>
  <c r="D322"/>
  <c r="C322"/>
  <c r="B322"/>
  <c r="K321"/>
  <c r="J321"/>
  <c r="I321"/>
  <c r="H321"/>
  <c r="E321"/>
  <c r="D321"/>
  <c r="C321"/>
  <c r="B321"/>
  <c r="K320"/>
  <c r="J320"/>
  <c r="I320"/>
  <c r="H320"/>
  <c r="E320"/>
  <c r="D320"/>
  <c r="C320"/>
  <c r="B320"/>
  <c r="K319"/>
  <c r="J319"/>
  <c r="I319"/>
  <c r="H319"/>
  <c r="E319"/>
  <c r="D319"/>
  <c r="C319"/>
  <c r="B319"/>
  <c r="K318"/>
  <c r="J318"/>
  <c r="I318"/>
  <c r="H318"/>
  <c r="E318"/>
  <c r="D318"/>
  <c r="C318"/>
  <c r="B318"/>
  <c r="K317"/>
  <c r="J317"/>
  <c r="I317"/>
  <c r="H317"/>
  <c r="E317"/>
  <c r="D317"/>
  <c r="C317"/>
  <c r="B317"/>
  <c r="K316"/>
  <c r="J316"/>
  <c r="I316"/>
  <c r="H316"/>
  <c r="E316"/>
  <c r="D316"/>
  <c r="C316"/>
  <c r="B316"/>
  <c r="K315"/>
  <c r="J315"/>
  <c r="I315"/>
  <c r="H315"/>
  <c r="E315"/>
  <c r="D315"/>
  <c r="C315"/>
  <c r="B315"/>
  <c r="K314"/>
  <c r="J314"/>
  <c r="I314"/>
  <c r="H314"/>
  <c r="E314"/>
  <c r="D314"/>
  <c r="C314"/>
  <c r="B314"/>
  <c r="K313"/>
  <c r="J313"/>
  <c r="I313"/>
  <c r="H313"/>
  <c r="E313"/>
  <c r="D313"/>
  <c r="C313"/>
  <c r="B313"/>
  <c r="K312"/>
  <c r="J312"/>
  <c r="I312"/>
  <c r="H312"/>
  <c r="E312"/>
  <c r="D312"/>
  <c r="C312"/>
  <c r="B312"/>
  <c r="K311"/>
  <c r="J311"/>
  <c r="I311"/>
  <c r="H311"/>
  <c r="E311"/>
  <c r="D311"/>
  <c r="C311"/>
  <c r="B311"/>
  <c r="K310"/>
  <c r="J310"/>
  <c r="I310"/>
  <c r="H310"/>
  <c r="E310"/>
  <c r="D310"/>
  <c r="C310"/>
  <c r="B310"/>
  <c r="K309"/>
  <c r="J309"/>
  <c r="I309"/>
  <c r="H309"/>
  <c r="E309"/>
  <c r="D309"/>
  <c r="C309"/>
  <c r="B309"/>
  <c r="K308"/>
  <c r="J308"/>
  <c r="I308"/>
  <c r="H308"/>
  <c r="E308"/>
  <c r="D308"/>
  <c r="C308"/>
  <c r="B308"/>
  <c r="K307"/>
  <c r="J307"/>
  <c r="I307"/>
  <c r="H307"/>
  <c r="E307"/>
  <c r="D307"/>
  <c r="C307"/>
  <c r="B307"/>
  <c r="K306"/>
  <c r="J306"/>
  <c r="I306"/>
  <c r="H306"/>
  <c r="E306"/>
  <c r="D306"/>
  <c r="C306"/>
  <c r="B306"/>
  <c r="K305"/>
  <c r="J305"/>
  <c r="I305"/>
  <c r="H305"/>
  <c r="E305"/>
  <c r="D305"/>
  <c r="C305"/>
  <c r="B305"/>
  <c r="K304"/>
  <c r="J304"/>
  <c r="I304"/>
  <c r="H304"/>
  <c r="E304"/>
  <c r="D304"/>
  <c r="C304"/>
  <c r="B304"/>
  <c r="K303"/>
  <c r="J303"/>
  <c r="I303"/>
  <c r="H303"/>
  <c r="E303"/>
  <c r="D303"/>
  <c r="C303"/>
  <c r="B303"/>
  <c r="K302"/>
  <c r="J302"/>
  <c r="I302"/>
  <c r="H302"/>
  <c r="E302"/>
  <c r="D302"/>
  <c r="C302"/>
  <c r="B302"/>
  <c r="K301"/>
  <c r="J301"/>
  <c r="I301"/>
  <c r="H301"/>
  <c r="E301"/>
  <c r="D301"/>
  <c r="C301"/>
  <c r="B301"/>
  <c r="K300"/>
  <c r="J300"/>
  <c r="I300"/>
  <c r="H300"/>
  <c r="E300"/>
  <c r="D300"/>
  <c r="C300"/>
  <c r="B300"/>
  <c r="K299"/>
  <c r="J299"/>
  <c r="I299"/>
  <c r="H299"/>
  <c r="E299"/>
  <c r="D299"/>
  <c r="C299"/>
  <c r="B299"/>
  <c r="K298"/>
  <c r="J298"/>
  <c r="I298"/>
  <c r="H298"/>
  <c r="E298"/>
  <c r="D298"/>
  <c r="C298"/>
  <c r="B298"/>
  <c r="K297"/>
  <c r="J297"/>
  <c r="I297"/>
  <c r="H297"/>
  <c r="E297"/>
  <c r="D297"/>
  <c r="C297"/>
  <c r="B297"/>
  <c r="K296"/>
  <c r="J296"/>
  <c r="I296"/>
  <c r="H296"/>
  <c r="E296"/>
  <c r="D296"/>
  <c r="C296"/>
  <c r="B296"/>
  <c r="K295"/>
  <c r="J295"/>
  <c r="I295"/>
  <c r="H295"/>
  <c r="E295"/>
  <c r="D295"/>
  <c r="C295"/>
  <c r="B295"/>
  <c r="K294"/>
  <c r="J294"/>
  <c r="I294"/>
  <c r="H294"/>
  <c r="E294"/>
  <c r="D294"/>
  <c r="C294"/>
  <c r="B294"/>
  <c r="K293"/>
  <c r="J293"/>
  <c r="I293"/>
  <c r="H293"/>
  <c r="E293"/>
  <c r="D293"/>
  <c r="C293"/>
  <c r="B293"/>
  <c r="K292"/>
  <c r="J292"/>
  <c r="I292"/>
  <c r="H292"/>
  <c r="E292"/>
  <c r="D292"/>
  <c r="C292"/>
  <c r="B292"/>
  <c r="K291"/>
  <c r="J291"/>
  <c r="I291"/>
  <c r="H291"/>
  <c r="E291"/>
  <c r="D291"/>
  <c r="C291"/>
  <c r="B291"/>
  <c r="K290"/>
  <c r="J290"/>
  <c r="I290"/>
  <c r="H290"/>
  <c r="E290"/>
  <c r="D290"/>
  <c r="C290"/>
  <c r="B290"/>
  <c r="K289"/>
  <c r="J289"/>
  <c r="I289"/>
  <c r="H289"/>
  <c r="E289"/>
  <c r="D289"/>
  <c r="C289"/>
  <c r="B289"/>
  <c r="K288"/>
  <c r="J288"/>
  <c r="I288"/>
  <c r="H288"/>
  <c r="E288"/>
  <c r="D288"/>
  <c r="C288"/>
  <c r="B288"/>
  <c r="K287"/>
  <c r="J287"/>
  <c r="I287"/>
  <c r="H287"/>
  <c r="E287"/>
  <c r="D287"/>
  <c r="C287"/>
  <c r="B287"/>
  <c r="K286"/>
  <c r="J286"/>
  <c r="I286"/>
  <c r="H286"/>
  <c r="E286"/>
  <c r="D286"/>
  <c r="C286"/>
  <c r="B286"/>
  <c r="K285"/>
  <c r="J285"/>
  <c r="I285"/>
  <c r="H285"/>
  <c r="E285"/>
  <c r="D285"/>
  <c r="C285"/>
  <c r="B285"/>
  <c r="K284"/>
  <c r="J284"/>
  <c r="I284"/>
  <c r="H284"/>
  <c r="E284"/>
  <c r="D284"/>
  <c r="C284"/>
  <c r="B284"/>
  <c r="K283"/>
  <c r="J283"/>
  <c r="I283"/>
  <c r="H283"/>
  <c r="E283"/>
  <c r="D283"/>
  <c r="C283"/>
  <c r="B283"/>
  <c r="K282"/>
  <c r="J282"/>
  <c r="I282"/>
  <c r="H282"/>
  <c r="E282"/>
  <c r="D282"/>
  <c r="C282"/>
  <c r="B282"/>
  <c r="K281"/>
  <c r="J281"/>
  <c r="I281"/>
  <c r="H281"/>
  <c r="E281"/>
  <c r="D281"/>
  <c r="C281"/>
  <c r="B281"/>
  <c r="K280"/>
  <c r="J280"/>
  <c r="I280"/>
  <c r="H280"/>
  <c r="E280"/>
  <c r="D280"/>
  <c r="C280"/>
  <c r="B280"/>
  <c r="K279"/>
  <c r="J279"/>
  <c r="I279"/>
  <c r="H279"/>
  <c r="E279"/>
  <c r="D279"/>
  <c r="C279"/>
  <c r="B279"/>
  <c r="K278"/>
  <c r="J278"/>
  <c r="I278"/>
  <c r="H278"/>
  <c r="E278"/>
  <c r="D278"/>
  <c r="C278"/>
  <c r="B278"/>
  <c r="K277"/>
  <c r="J277"/>
  <c r="I277"/>
  <c r="H277"/>
  <c r="E277"/>
  <c r="D277"/>
  <c r="C277"/>
  <c r="B277"/>
  <c r="K276"/>
  <c r="J276"/>
  <c r="I276"/>
  <c r="H276"/>
  <c r="E276"/>
  <c r="D276"/>
  <c r="C276"/>
  <c r="B276"/>
  <c r="K275"/>
  <c r="J275"/>
  <c r="I275"/>
  <c r="H275"/>
  <c r="E275"/>
  <c r="D275"/>
  <c r="C275"/>
  <c r="B275"/>
  <c r="K274"/>
  <c r="J274"/>
  <c r="I274"/>
  <c r="H274"/>
  <c r="E274"/>
  <c r="D274"/>
  <c r="C274"/>
  <c r="B274"/>
  <c r="K273"/>
  <c r="J273"/>
  <c r="I273"/>
  <c r="H273"/>
  <c r="E273"/>
  <c r="D273"/>
  <c r="C273"/>
  <c r="B273"/>
  <c r="K272"/>
  <c r="J272"/>
  <c r="I272"/>
  <c r="H272"/>
  <c r="E272"/>
  <c r="D272"/>
  <c r="C272"/>
  <c r="B272"/>
  <c r="K271"/>
  <c r="J271"/>
  <c r="I271"/>
  <c r="H271"/>
  <c r="E271"/>
  <c r="D271"/>
  <c r="C271"/>
  <c r="B271"/>
  <c r="K270"/>
  <c r="J270"/>
  <c r="I270"/>
  <c r="H270"/>
  <c r="E270"/>
  <c r="D270"/>
  <c r="C270"/>
  <c r="B270"/>
  <c r="K269"/>
  <c r="J269"/>
  <c r="I269"/>
  <c r="H269"/>
  <c r="E269"/>
  <c r="D269"/>
  <c r="C269"/>
  <c r="B269"/>
  <c r="K268"/>
  <c r="J268"/>
  <c r="I268"/>
  <c r="H268"/>
  <c r="E268"/>
  <c r="D268"/>
  <c r="C268"/>
  <c r="B268"/>
  <c r="K267"/>
  <c r="J267"/>
  <c r="I267"/>
  <c r="H267"/>
  <c r="E267"/>
  <c r="D267"/>
  <c r="C267"/>
  <c r="B267"/>
  <c r="K266"/>
  <c r="J266"/>
  <c r="I266"/>
  <c r="H266"/>
  <c r="E266"/>
  <c r="D266"/>
  <c r="C266"/>
  <c r="B266"/>
  <c r="K265"/>
  <c r="J265"/>
  <c r="I265"/>
  <c r="H265"/>
  <c r="E265"/>
  <c r="D265"/>
  <c r="C265"/>
  <c r="B265"/>
  <c r="K264"/>
  <c r="J264"/>
  <c r="I264"/>
  <c r="H264"/>
  <c r="E264"/>
  <c r="D264"/>
  <c r="C264"/>
  <c r="B264"/>
  <c r="K263"/>
  <c r="J263"/>
  <c r="I263"/>
  <c r="H263"/>
  <c r="E263"/>
  <c r="D263"/>
  <c r="C263"/>
  <c r="B263"/>
  <c r="K262"/>
  <c r="J262"/>
  <c r="I262"/>
  <c r="H262"/>
  <c r="E262"/>
  <c r="D262"/>
  <c r="C262"/>
  <c r="B262"/>
  <c r="K261"/>
  <c r="J261"/>
  <c r="I261"/>
  <c r="H261"/>
  <c r="E261"/>
  <c r="D261"/>
  <c r="C261"/>
  <c r="B261"/>
  <c r="K260"/>
  <c r="J260"/>
  <c r="I260"/>
  <c r="H260"/>
  <c r="E260"/>
  <c r="D260"/>
  <c r="C260"/>
  <c r="B260"/>
  <c r="K259"/>
  <c r="J259"/>
  <c r="I259"/>
  <c r="H259"/>
  <c r="E259"/>
  <c r="D259"/>
  <c r="C259"/>
  <c r="B259"/>
  <c r="K258"/>
  <c r="J258"/>
  <c r="I258"/>
  <c r="H258"/>
  <c r="E258"/>
  <c r="D258"/>
  <c r="C258"/>
  <c r="B258"/>
  <c r="K257"/>
  <c r="J257"/>
  <c r="I257"/>
  <c r="H257"/>
  <c r="E257"/>
  <c r="D257"/>
  <c r="C257"/>
  <c r="B257"/>
  <c r="K256"/>
  <c r="J256"/>
  <c r="I256"/>
  <c r="H256"/>
  <c r="E256"/>
  <c r="D256"/>
  <c r="C256"/>
  <c r="B256"/>
  <c r="K255"/>
  <c r="J255"/>
  <c r="I255"/>
  <c r="H255"/>
  <c r="E255"/>
  <c r="D255"/>
  <c r="C255"/>
  <c r="B255"/>
  <c r="K254"/>
  <c r="J254"/>
  <c r="I254"/>
  <c r="H254"/>
  <c r="E254"/>
  <c r="D254"/>
  <c r="C254"/>
  <c r="B254"/>
  <c r="K253"/>
  <c r="J253"/>
  <c r="I253"/>
  <c r="H253"/>
  <c r="E253"/>
  <c r="D253"/>
  <c r="C253"/>
  <c r="B253"/>
  <c r="K252"/>
  <c r="J252"/>
  <c r="I252"/>
  <c r="H252"/>
  <c r="E252"/>
  <c r="D252"/>
  <c r="C252"/>
  <c r="B252"/>
  <c r="K251"/>
  <c r="J251"/>
  <c r="I251"/>
  <c r="H251"/>
  <c r="E251"/>
  <c r="D251"/>
  <c r="C251"/>
  <c r="B251"/>
  <c r="K250"/>
  <c r="J250"/>
  <c r="I250"/>
  <c r="H250"/>
  <c r="E250"/>
  <c r="D250"/>
  <c r="C250"/>
  <c r="B250"/>
  <c r="K249"/>
  <c r="J249"/>
  <c r="I249"/>
  <c r="H249"/>
  <c r="E249"/>
  <c r="D249"/>
  <c r="C249"/>
  <c r="B249"/>
  <c r="K248"/>
  <c r="J248"/>
  <c r="I248"/>
  <c r="H248"/>
  <c r="E248"/>
  <c r="D248"/>
  <c r="C248"/>
  <c r="B248"/>
  <c r="K247"/>
  <c r="J247"/>
  <c r="I247"/>
  <c r="H247"/>
  <c r="E247"/>
  <c r="D247"/>
  <c r="C247"/>
  <c r="B247"/>
  <c r="K246"/>
  <c r="J246"/>
  <c r="I246"/>
  <c r="H246"/>
  <c r="E246"/>
  <c r="D246"/>
  <c r="C246"/>
  <c r="B246"/>
  <c r="K245"/>
  <c r="J245"/>
  <c r="I245"/>
  <c r="H245"/>
  <c r="E245"/>
  <c r="D245"/>
  <c r="C245"/>
  <c r="B245"/>
  <c r="K244"/>
  <c r="J244"/>
  <c r="I244"/>
  <c r="H244"/>
  <c r="E244"/>
  <c r="D244"/>
  <c r="C244"/>
  <c r="B244"/>
  <c r="K243"/>
  <c r="J243"/>
  <c r="I243"/>
  <c r="H243"/>
  <c r="E243"/>
  <c r="D243"/>
  <c r="C243"/>
  <c r="B243"/>
  <c r="K242"/>
  <c r="J242"/>
  <c r="I242"/>
  <c r="H242"/>
  <c r="E242"/>
  <c r="D242"/>
  <c r="C242"/>
  <c r="B242"/>
  <c r="K241"/>
  <c r="J241"/>
  <c r="I241"/>
  <c r="H241"/>
  <c r="E241"/>
  <c r="D241"/>
  <c r="C241"/>
  <c r="B241"/>
  <c r="K240"/>
  <c r="J240"/>
  <c r="I240"/>
  <c r="H240"/>
  <c r="E240"/>
  <c r="D240"/>
  <c r="C240"/>
  <c r="B240"/>
  <c r="K239"/>
  <c r="J239"/>
  <c r="I239"/>
  <c r="H239"/>
  <c r="E239"/>
  <c r="D239"/>
  <c r="C239"/>
  <c r="B239"/>
  <c r="K238"/>
  <c r="J238"/>
  <c r="I238"/>
  <c r="H238"/>
  <c r="E238"/>
  <c r="D238"/>
  <c r="C238"/>
  <c r="B238"/>
  <c r="K237"/>
  <c r="J237"/>
  <c r="I237"/>
  <c r="H237"/>
  <c r="E237"/>
  <c r="D237"/>
  <c r="C237"/>
  <c r="B237"/>
  <c r="K236"/>
  <c r="J236"/>
  <c r="I236"/>
  <c r="H236"/>
  <c r="E236"/>
  <c r="D236"/>
  <c r="C236"/>
  <c r="B236"/>
  <c r="K235"/>
  <c r="J235"/>
  <c r="I235"/>
  <c r="H235"/>
  <c r="E235"/>
  <c r="D235"/>
  <c r="C235"/>
  <c r="B235"/>
  <c r="K234"/>
  <c r="J234"/>
  <c r="I234"/>
  <c r="H234"/>
  <c r="E234"/>
  <c r="D234"/>
  <c r="C234"/>
  <c r="B234"/>
  <c r="K233"/>
  <c r="J233"/>
  <c r="I233"/>
  <c r="H233"/>
  <c r="E233"/>
  <c r="D233"/>
  <c r="C233"/>
  <c r="B233"/>
  <c r="K232"/>
  <c r="J232"/>
  <c r="I232"/>
  <c r="H232"/>
  <c r="E232"/>
  <c r="D232"/>
  <c r="C232"/>
  <c r="B232"/>
  <c r="K231"/>
  <c r="J231"/>
  <c r="I231"/>
  <c r="H231"/>
  <c r="E231"/>
  <c r="D231"/>
  <c r="C231"/>
  <c r="B231"/>
  <c r="K230"/>
  <c r="J230"/>
  <c r="I230"/>
  <c r="H230"/>
  <c r="E230"/>
  <c r="D230"/>
  <c r="C230"/>
  <c r="B230"/>
  <c r="K229"/>
  <c r="J229"/>
  <c r="I229"/>
  <c r="H229"/>
  <c r="E229"/>
  <c r="D229"/>
  <c r="C229"/>
  <c r="B229"/>
  <c r="K228"/>
  <c r="J228"/>
  <c r="I228"/>
  <c r="H228"/>
  <c r="E228"/>
  <c r="D228"/>
  <c r="C228"/>
  <c r="B228"/>
  <c r="K227"/>
  <c r="J227"/>
  <c r="I227"/>
  <c r="H227"/>
  <c r="E227"/>
  <c r="D227"/>
  <c r="C227"/>
  <c r="B227"/>
  <c r="K226"/>
  <c r="J226"/>
  <c r="I226"/>
  <c r="H226"/>
  <c r="E226"/>
  <c r="D226"/>
  <c r="C226"/>
  <c r="B226"/>
  <c r="K225"/>
  <c r="J225"/>
  <c r="I225"/>
  <c r="H225"/>
  <c r="E225"/>
  <c r="D225"/>
  <c r="C225"/>
  <c r="B225"/>
  <c r="K224"/>
  <c r="J224"/>
  <c r="I224"/>
  <c r="H224"/>
  <c r="E224"/>
  <c r="D224"/>
  <c r="C224"/>
  <c r="B224"/>
  <c r="K223"/>
  <c r="J223"/>
  <c r="I223"/>
  <c r="H223"/>
  <c r="E223"/>
  <c r="D223"/>
  <c r="C223"/>
  <c r="B223"/>
  <c r="K222"/>
  <c r="J222"/>
  <c r="I222"/>
  <c r="H222"/>
  <c r="E222"/>
  <c r="D222"/>
  <c r="C222"/>
  <c r="B222"/>
  <c r="K221"/>
  <c r="J221"/>
  <c r="I221"/>
  <c r="H221"/>
  <c r="E221"/>
  <c r="D221"/>
  <c r="C221"/>
  <c r="B221"/>
  <c r="K220"/>
  <c r="J220"/>
  <c r="I220"/>
  <c r="H220"/>
  <c r="E220"/>
  <c r="D220"/>
  <c r="C220"/>
  <c r="B220"/>
  <c r="K219"/>
  <c r="J219"/>
  <c r="I219"/>
  <c r="H219"/>
  <c r="E219"/>
  <c r="D219"/>
  <c r="C219"/>
  <c r="B219"/>
  <c r="K218"/>
  <c r="J218"/>
  <c r="I218"/>
  <c r="H218"/>
  <c r="E218"/>
  <c r="D218"/>
  <c r="C218"/>
  <c r="B218"/>
  <c r="K217"/>
  <c r="J217"/>
  <c r="I217"/>
  <c r="H217"/>
  <c r="E217"/>
  <c r="D217"/>
  <c r="C217"/>
  <c r="B217"/>
  <c r="K216"/>
  <c r="J216"/>
  <c r="I216"/>
  <c r="H216"/>
  <c r="E216"/>
  <c r="D216"/>
  <c r="C216"/>
  <c r="B216"/>
  <c r="K215"/>
  <c r="J215"/>
  <c r="I215"/>
  <c r="H215"/>
  <c r="E215"/>
  <c r="D215"/>
  <c r="C215"/>
  <c r="B215"/>
  <c r="K214"/>
  <c r="J214"/>
  <c r="I214"/>
  <c r="H214"/>
  <c r="E214"/>
  <c r="D214"/>
  <c r="C214"/>
  <c r="B214"/>
  <c r="K213"/>
  <c r="J213"/>
  <c r="I213"/>
  <c r="H213"/>
  <c r="E213"/>
  <c r="D213"/>
  <c r="C213"/>
  <c r="B213"/>
  <c r="K212"/>
  <c r="J212"/>
  <c r="I212"/>
  <c r="H212"/>
  <c r="E212"/>
  <c r="D212"/>
  <c r="C212"/>
  <c r="B212"/>
  <c r="K211"/>
  <c r="J211"/>
  <c r="I211"/>
  <c r="H211"/>
  <c r="E211"/>
  <c r="D211"/>
  <c r="C211"/>
  <c r="B211"/>
  <c r="K210"/>
  <c r="J210"/>
  <c r="I210"/>
  <c r="H210"/>
  <c r="E210"/>
  <c r="D210"/>
  <c r="C210"/>
  <c r="B210"/>
  <c r="K209"/>
  <c r="J209"/>
  <c r="I209"/>
  <c r="H209"/>
  <c r="E209"/>
  <c r="D209"/>
  <c r="C209"/>
  <c r="B209"/>
  <c r="K208"/>
  <c r="J208"/>
  <c r="I208"/>
  <c r="H208"/>
  <c r="E208"/>
  <c r="D208"/>
  <c r="C208"/>
  <c r="B208"/>
  <c r="K207"/>
  <c r="J207"/>
  <c r="I207"/>
  <c r="H207"/>
  <c r="E207"/>
  <c r="D207"/>
  <c r="C207"/>
  <c r="B207"/>
  <c r="K206"/>
  <c r="J206"/>
  <c r="I206"/>
  <c r="H206"/>
  <c r="E206"/>
  <c r="D206"/>
  <c r="C206"/>
  <c r="B206"/>
  <c r="K205"/>
  <c r="J205"/>
  <c r="I205"/>
  <c r="H205"/>
  <c r="E205"/>
  <c r="D205"/>
  <c r="C205"/>
  <c r="B205"/>
  <c r="K204"/>
  <c r="J204"/>
  <c r="I204"/>
  <c r="H204"/>
  <c r="E204"/>
  <c r="D204"/>
  <c r="C204"/>
  <c r="B204"/>
  <c r="K203"/>
  <c r="J203"/>
  <c r="I203"/>
  <c r="H203"/>
  <c r="E203"/>
  <c r="D203"/>
  <c r="C203"/>
  <c r="B203"/>
  <c r="K202"/>
  <c r="J202"/>
  <c r="I202"/>
  <c r="H202"/>
  <c r="E202"/>
  <c r="D202"/>
  <c r="C202"/>
  <c r="B202"/>
  <c r="K201"/>
  <c r="J201"/>
  <c r="I201"/>
  <c r="H201"/>
  <c r="E201"/>
  <c r="D201"/>
  <c r="C201"/>
  <c r="B201"/>
  <c r="K200"/>
  <c r="J200"/>
  <c r="I200"/>
  <c r="H200"/>
  <c r="E200"/>
  <c r="D200"/>
  <c r="C200"/>
  <c r="B200"/>
  <c r="K199"/>
  <c r="J199"/>
  <c r="I199"/>
  <c r="H199"/>
  <c r="E199"/>
  <c r="D199"/>
  <c r="C199"/>
  <c r="B199"/>
  <c r="K198"/>
  <c r="J198"/>
  <c r="I198"/>
  <c r="H198"/>
  <c r="E198"/>
  <c r="D198"/>
  <c r="C198"/>
  <c r="B198"/>
  <c r="K197"/>
  <c r="J197"/>
  <c r="I197"/>
  <c r="H197"/>
  <c r="E197"/>
  <c r="D197"/>
  <c r="C197"/>
  <c r="B197"/>
  <c r="K196"/>
  <c r="J196"/>
  <c r="I196"/>
  <c r="H196"/>
  <c r="E196"/>
  <c r="D196"/>
  <c r="C196"/>
  <c r="B196"/>
  <c r="K195"/>
  <c r="J195"/>
  <c r="I195"/>
  <c r="H195"/>
  <c r="E195"/>
  <c r="D195"/>
  <c r="C195"/>
  <c r="B195"/>
  <c r="K194"/>
  <c r="J194"/>
  <c r="I194"/>
  <c r="H194"/>
  <c r="E194"/>
  <c r="D194"/>
  <c r="C194"/>
  <c r="B194"/>
  <c r="K193"/>
  <c r="J193"/>
  <c r="I193"/>
  <c r="H193"/>
  <c r="E193"/>
  <c r="D193"/>
  <c r="C193"/>
  <c r="B193"/>
  <c r="K192"/>
  <c r="J192"/>
  <c r="I192"/>
  <c r="H192"/>
  <c r="E192"/>
  <c r="D192"/>
  <c r="C192"/>
  <c r="B192"/>
  <c r="K191"/>
  <c r="J191"/>
  <c r="I191"/>
  <c r="H191"/>
  <c r="E191"/>
  <c r="D191"/>
  <c r="C191"/>
  <c r="B191"/>
  <c r="K190"/>
  <c r="J190"/>
  <c r="I190"/>
  <c r="H190"/>
  <c r="E190"/>
  <c r="D190"/>
  <c r="C190"/>
  <c r="B190"/>
  <c r="K189"/>
  <c r="J189"/>
  <c r="I189"/>
  <c r="H189"/>
  <c r="E189"/>
  <c r="D189"/>
  <c r="C189"/>
  <c r="B189"/>
  <c r="K188"/>
  <c r="J188"/>
  <c r="I188"/>
  <c r="H188"/>
  <c r="E188"/>
  <c r="D188"/>
  <c r="C188"/>
  <c r="B188"/>
  <c r="K187"/>
  <c r="J187"/>
  <c r="I187"/>
  <c r="H187"/>
  <c r="E187"/>
  <c r="D187"/>
  <c r="C187"/>
  <c r="B187"/>
  <c r="K186"/>
  <c r="J186"/>
  <c r="I186"/>
  <c r="H186"/>
  <c r="E186"/>
  <c r="D186"/>
  <c r="C186"/>
  <c r="B186"/>
  <c r="K185"/>
  <c r="J185"/>
  <c r="I185"/>
  <c r="H185"/>
  <c r="E185"/>
  <c r="D185"/>
  <c r="C185"/>
  <c r="B185"/>
  <c r="K184"/>
  <c r="J184"/>
  <c r="I184"/>
  <c r="H184"/>
  <c r="E184"/>
  <c r="D184"/>
  <c r="C184"/>
  <c r="B184"/>
  <c r="K183"/>
  <c r="J183"/>
  <c r="I183"/>
  <c r="H183"/>
  <c r="E183"/>
  <c r="D183"/>
  <c r="C183"/>
  <c r="B183"/>
  <c r="K182"/>
  <c r="J182"/>
  <c r="I182"/>
  <c r="H182"/>
  <c r="E182"/>
  <c r="D182"/>
  <c r="C182"/>
  <c r="B182"/>
  <c r="K181"/>
  <c r="J181"/>
  <c r="I181"/>
  <c r="H181"/>
  <c r="E181"/>
  <c r="D181"/>
  <c r="C181"/>
  <c r="B181"/>
  <c r="K180"/>
  <c r="J180"/>
  <c r="I180"/>
  <c r="H180"/>
  <c r="E180"/>
  <c r="D180"/>
  <c r="C180"/>
  <c r="B180"/>
  <c r="K179"/>
  <c r="J179"/>
  <c r="I179"/>
  <c r="H179"/>
  <c r="E179"/>
  <c r="D179"/>
  <c r="C179"/>
  <c r="B179"/>
  <c r="K178"/>
  <c r="J178"/>
  <c r="I178"/>
  <c r="H178"/>
  <c r="E178"/>
  <c r="D178"/>
  <c r="C178"/>
  <c r="B178"/>
  <c r="K177"/>
  <c r="J177"/>
  <c r="I177"/>
  <c r="H177"/>
  <c r="E177"/>
  <c r="D177"/>
  <c r="C177"/>
  <c r="B177"/>
  <c r="K176"/>
  <c r="J176"/>
  <c r="I176"/>
  <c r="H176"/>
  <c r="E176"/>
  <c r="D176"/>
  <c r="C176"/>
  <c r="B176"/>
  <c r="K175"/>
  <c r="J175"/>
  <c r="I175"/>
  <c r="H175"/>
  <c r="E175"/>
  <c r="D175"/>
  <c r="C175"/>
  <c r="B175"/>
  <c r="K174"/>
  <c r="J174"/>
  <c r="I174"/>
  <c r="H174"/>
  <c r="E174"/>
  <c r="D174"/>
  <c r="C174"/>
  <c r="B174"/>
  <c r="K173"/>
  <c r="J173"/>
  <c r="I173"/>
  <c r="H173"/>
  <c r="E173"/>
  <c r="D173"/>
  <c r="C173"/>
  <c r="B173"/>
  <c r="K172"/>
  <c r="J172"/>
  <c r="I172"/>
  <c r="H172"/>
  <c r="E172"/>
  <c r="D172"/>
  <c r="C172"/>
  <c r="B172"/>
  <c r="K171"/>
  <c r="J171"/>
  <c r="I171"/>
  <c r="H171"/>
  <c r="E171"/>
  <c r="D171"/>
  <c r="C171"/>
  <c r="B171"/>
  <c r="K170"/>
  <c r="J170"/>
  <c r="I170"/>
  <c r="H170"/>
  <c r="E170"/>
  <c r="D170"/>
  <c r="C170"/>
  <c r="B170"/>
  <c r="K169"/>
  <c r="J169"/>
  <c r="I169"/>
  <c r="H169"/>
  <c r="E169"/>
  <c r="D169"/>
  <c r="C169"/>
  <c r="B169"/>
  <c r="K168"/>
  <c r="J168"/>
  <c r="I168"/>
  <c r="H168"/>
  <c r="E168"/>
  <c r="D168"/>
  <c r="C168"/>
  <c r="B168"/>
  <c r="K167"/>
  <c r="J167"/>
  <c r="I167"/>
  <c r="H167"/>
  <c r="E167"/>
  <c r="D167"/>
  <c r="C167"/>
  <c r="B167"/>
  <c r="K166"/>
  <c r="J166"/>
  <c r="I166"/>
  <c r="H166"/>
  <c r="E166"/>
  <c r="D166"/>
  <c r="C166"/>
  <c r="B166"/>
  <c r="K165"/>
  <c r="J165"/>
  <c r="I165"/>
  <c r="H165"/>
  <c r="E165"/>
  <c r="D165"/>
  <c r="C165"/>
  <c r="B165"/>
  <c r="K164"/>
  <c r="J164"/>
  <c r="I164"/>
  <c r="H164"/>
  <c r="E164"/>
  <c r="D164"/>
  <c r="C164"/>
  <c r="B164"/>
  <c r="K163"/>
  <c r="J163"/>
  <c r="I163"/>
  <c r="H163"/>
  <c r="E163"/>
  <c r="D163"/>
  <c r="C163"/>
  <c r="B163"/>
  <c r="K162"/>
  <c r="J162"/>
  <c r="I162"/>
  <c r="H162"/>
  <c r="E162"/>
  <c r="D162"/>
  <c r="C162"/>
  <c r="B162"/>
  <c r="K161"/>
  <c r="J161"/>
  <c r="I161"/>
  <c r="H161"/>
  <c r="E161"/>
  <c r="D161"/>
  <c r="C161"/>
  <c r="B161"/>
  <c r="K160"/>
  <c r="J160"/>
  <c r="I160"/>
  <c r="H160"/>
  <c r="E160"/>
  <c r="D160"/>
  <c r="C160"/>
  <c r="B160"/>
  <c r="K159"/>
  <c r="J159"/>
  <c r="I159"/>
  <c r="H159"/>
  <c r="E159"/>
  <c r="D159"/>
  <c r="C159"/>
  <c r="B159"/>
  <c r="K158"/>
  <c r="J158"/>
  <c r="I158"/>
  <c r="H158"/>
  <c r="E158"/>
  <c r="D158"/>
  <c r="C158"/>
  <c r="B158"/>
  <c r="K157"/>
  <c r="J157"/>
  <c r="I157"/>
  <c r="H157"/>
  <c r="E157"/>
  <c r="D157"/>
  <c r="C157"/>
  <c r="B157"/>
  <c r="K156"/>
  <c r="J156"/>
  <c r="I156"/>
  <c r="H156"/>
  <c r="E156"/>
  <c r="D156"/>
  <c r="C156"/>
  <c r="B156"/>
  <c r="K155"/>
  <c r="J155"/>
  <c r="I155"/>
  <c r="H155"/>
  <c r="E155"/>
  <c r="D155"/>
  <c r="C155"/>
  <c r="B155"/>
  <c r="K154"/>
  <c r="J154"/>
  <c r="I154"/>
  <c r="H154"/>
  <c r="E154"/>
  <c r="D154"/>
  <c r="C154"/>
  <c r="B154"/>
  <c r="K153"/>
  <c r="J153"/>
  <c r="I153"/>
  <c r="H153"/>
  <c r="E153"/>
  <c r="D153"/>
  <c r="C153"/>
  <c r="B153"/>
  <c r="K152"/>
  <c r="J152"/>
  <c r="I152"/>
  <c r="H152"/>
  <c r="E152"/>
  <c r="D152"/>
  <c r="C152"/>
  <c r="B152"/>
  <c r="K151"/>
  <c r="J151"/>
  <c r="I151"/>
  <c r="H151"/>
  <c r="E151"/>
  <c r="D151"/>
  <c r="C151"/>
  <c r="B151"/>
  <c r="K150"/>
  <c r="J150"/>
  <c r="I150"/>
  <c r="H150"/>
  <c r="E150"/>
  <c r="D150"/>
  <c r="C150"/>
  <c r="B150"/>
  <c r="K149"/>
  <c r="J149"/>
  <c r="I149"/>
  <c r="H149"/>
  <c r="E149"/>
  <c r="D149"/>
  <c r="C149"/>
  <c r="B149"/>
  <c r="K148"/>
  <c r="J148"/>
  <c r="I148"/>
  <c r="H148"/>
  <c r="E148"/>
  <c r="D148"/>
  <c r="C148"/>
  <c r="B148"/>
  <c r="K147"/>
  <c r="J147"/>
  <c r="I147"/>
  <c r="H147"/>
  <c r="E147"/>
  <c r="D147"/>
  <c r="C147"/>
  <c r="B147"/>
  <c r="K146"/>
  <c r="J146"/>
  <c r="I146"/>
  <c r="H146"/>
  <c r="E146"/>
  <c r="D146"/>
  <c r="C146"/>
  <c r="B146"/>
  <c r="K145"/>
  <c r="J145"/>
  <c r="I145"/>
  <c r="H145"/>
  <c r="E145"/>
  <c r="D145"/>
  <c r="C145"/>
  <c r="B145"/>
  <c r="K144"/>
  <c r="J144"/>
  <c r="I144"/>
  <c r="H144"/>
  <c r="E144"/>
  <c r="D144"/>
  <c r="C144"/>
  <c r="B144"/>
  <c r="K143"/>
  <c r="J143"/>
  <c r="I143"/>
  <c r="H143"/>
  <c r="E143"/>
  <c r="D143"/>
  <c r="C143"/>
  <c r="B143"/>
  <c r="K142"/>
  <c r="J142"/>
  <c r="I142"/>
  <c r="H142"/>
  <c r="E142"/>
  <c r="D142"/>
  <c r="C142"/>
  <c r="B142"/>
  <c r="K141"/>
  <c r="J141"/>
  <c r="I141"/>
  <c r="H141"/>
  <c r="E141"/>
  <c r="D141"/>
  <c r="C141"/>
  <c r="B141"/>
  <c r="K140"/>
  <c r="J140"/>
  <c r="I140"/>
  <c r="H140"/>
  <c r="E140"/>
  <c r="D140"/>
  <c r="C140"/>
  <c r="B140"/>
  <c r="K139"/>
  <c r="J139"/>
  <c r="I139"/>
  <c r="H139"/>
  <c r="E139"/>
  <c r="D139"/>
  <c r="C139"/>
  <c r="B139"/>
  <c r="K138"/>
  <c r="J138"/>
  <c r="I138"/>
  <c r="H138"/>
  <c r="E138"/>
  <c r="D138"/>
  <c r="C138"/>
  <c r="B138"/>
  <c r="K137"/>
  <c r="J137"/>
  <c r="I137"/>
  <c r="H137"/>
  <c r="E137"/>
  <c r="D137"/>
  <c r="C137"/>
  <c r="B137"/>
  <c r="K136"/>
  <c r="J136"/>
  <c r="I136"/>
  <c r="H136"/>
  <c r="E136"/>
  <c r="D136"/>
  <c r="C136"/>
  <c r="B136"/>
  <c r="K135"/>
  <c r="J135"/>
  <c r="I135"/>
  <c r="H135"/>
  <c r="E135"/>
  <c r="D135"/>
  <c r="C135"/>
  <c r="B135"/>
  <c r="K134"/>
  <c r="J134"/>
  <c r="I134"/>
  <c r="H134"/>
  <c r="E134"/>
  <c r="D134"/>
  <c r="C134"/>
  <c r="B134"/>
  <c r="K133"/>
  <c r="J133"/>
  <c r="I133"/>
  <c r="H133"/>
  <c r="E133"/>
  <c r="D133"/>
  <c r="C133"/>
  <c r="B133"/>
  <c r="K132"/>
  <c r="J132"/>
  <c r="I132"/>
  <c r="H132"/>
  <c r="E132"/>
  <c r="D132"/>
  <c r="C132"/>
  <c r="B132"/>
  <c r="K131"/>
  <c r="J131"/>
  <c r="I131"/>
  <c r="H131"/>
  <c r="E131"/>
  <c r="D131"/>
  <c r="C131"/>
  <c r="B131"/>
  <c r="K130"/>
  <c r="J130"/>
  <c r="I130"/>
  <c r="H130"/>
  <c r="E130"/>
  <c r="D130"/>
  <c r="C130"/>
  <c r="B130"/>
  <c r="K129"/>
  <c r="J129"/>
  <c r="I129"/>
  <c r="H129"/>
  <c r="E129"/>
  <c r="D129"/>
  <c r="C129"/>
  <c r="B129"/>
  <c r="K128"/>
  <c r="J128"/>
  <c r="I128"/>
  <c r="H128"/>
  <c r="E128"/>
  <c r="D128"/>
  <c r="C128"/>
  <c r="B128"/>
  <c r="K127"/>
  <c r="J127"/>
  <c r="I127"/>
  <c r="H127"/>
  <c r="E127"/>
  <c r="D127"/>
  <c r="C127"/>
  <c r="B127"/>
  <c r="K126"/>
  <c r="J126"/>
  <c r="I126"/>
  <c r="H126"/>
  <c r="E126"/>
  <c r="D126"/>
  <c r="C126"/>
  <c r="B126"/>
  <c r="K125"/>
  <c r="J125"/>
  <c r="I125"/>
  <c r="H125"/>
  <c r="E125"/>
  <c r="D125"/>
  <c r="C125"/>
  <c r="B125"/>
  <c r="K124"/>
  <c r="J124"/>
  <c r="I124"/>
  <c r="H124"/>
  <c r="E124"/>
  <c r="D124"/>
  <c r="C124"/>
  <c r="B124"/>
  <c r="K123"/>
  <c r="J123"/>
  <c r="I123"/>
  <c r="H123"/>
  <c r="E123"/>
  <c r="D123"/>
  <c r="C123"/>
  <c r="B123"/>
  <c r="K122"/>
  <c r="J122"/>
  <c r="I122"/>
  <c r="H122"/>
  <c r="E122"/>
  <c r="D122"/>
  <c r="C122"/>
  <c r="B122"/>
  <c r="K121"/>
  <c r="J121"/>
  <c r="I121"/>
  <c r="H121"/>
  <c r="E121"/>
  <c r="D121"/>
  <c r="C121"/>
  <c r="B121"/>
  <c r="K120"/>
  <c r="J120"/>
  <c r="I120"/>
  <c r="H120"/>
  <c r="E120"/>
  <c r="D120"/>
  <c r="C120"/>
  <c r="B120"/>
  <c r="K119"/>
  <c r="J119"/>
  <c r="I119"/>
  <c r="H119"/>
  <c r="E119"/>
  <c r="D119"/>
  <c r="C119"/>
  <c r="B119"/>
  <c r="K118"/>
  <c r="J118"/>
  <c r="I118"/>
  <c r="H118"/>
  <c r="E118"/>
  <c r="D118"/>
  <c r="C118"/>
  <c r="B118"/>
  <c r="K117"/>
  <c r="J117"/>
  <c r="I117"/>
  <c r="H117"/>
  <c r="E117"/>
  <c r="D117"/>
  <c r="C117"/>
  <c r="B117"/>
  <c r="K116"/>
  <c r="J116"/>
  <c r="I116"/>
  <c r="H116"/>
  <c r="E116"/>
  <c r="D116"/>
  <c r="C116"/>
  <c r="B116"/>
  <c r="K115"/>
  <c r="J115"/>
  <c r="I115"/>
  <c r="H115"/>
  <c r="E115"/>
  <c r="D115"/>
  <c r="C115"/>
  <c r="B115"/>
  <c r="K114"/>
  <c r="J114"/>
  <c r="I114"/>
  <c r="H114"/>
  <c r="E114"/>
  <c r="D114"/>
  <c r="C114"/>
  <c r="B114"/>
  <c r="K113"/>
  <c r="J113"/>
  <c r="I113"/>
  <c r="H113"/>
  <c r="E113"/>
  <c r="D113"/>
  <c r="C113"/>
  <c r="B113"/>
  <c r="K112"/>
  <c r="J112"/>
  <c r="I112"/>
  <c r="H112"/>
  <c r="E112"/>
  <c r="D112"/>
  <c r="C112"/>
  <c r="B112"/>
  <c r="K111"/>
  <c r="J111"/>
  <c r="I111"/>
  <c r="H111"/>
  <c r="E111"/>
  <c r="D111"/>
  <c r="C111"/>
  <c r="B111"/>
  <c r="K110"/>
  <c r="J110"/>
  <c r="I110"/>
  <c r="H110"/>
  <c r="E110"/>
  <c r="D110"/>
  <c r="C110"/>
  <c r="B110"/>
  <c r="K109"/>
  <c r="J109"/>
  <c r="I109"/>
  <c r="H109"/>
  <c r="E109"/>
  <c r="D109"/>
  <c r="C109"/>
  <c r="B109"/>
  <c r="K108"/>
  <c r="J108"/>
  <c r="I108"/>
  <c r="H108"/>
  <c r="E108"/>
  <c r="D108"/>
  <c r="C108"/>
  <c r="B108"/>
  <c r="K107"/>
  <c r="J107"/>
  <c r="I107"/>
  <c r="H107"/>
  <c r="E107"/>
  <c r="D107"/>
  <c r="C107"/>
  <c r="B107"/>
  <c r="K106"/>
  <c r="J106"/>
  <c r="I106"/>
  <c r="H106"/>
  <c r="E106"/>
  <c r="D106"/>
  <c r="C106"/>
  <c r="B106"/>
  <c r="K105"/>
  <c r="J105"/>
  <c r="I105"/>
  <c r="H105"/>
  <c r="E105"/>
  <c r="D105"/>
  <c r="C105"/>
  <c r="B105"/>
  <c r="K104"/>
  <c r="J104"/>
  <c r="I104"/>
  <c r="H104"/>
  <c r="E104"/>
  <c r="D104"/>
  <c r="C104"/>
  <c r="B104"/>
  <c r="K103"/>
  <c r="J103"/>
  <c r="I103"/>
  <c r="H103"/>
  <c r="E103"/>
  <c r="D103"/>
  <c r="C103"/>
  <c r="B103"/>
  <c r="K102"/>
  <c r="J102"/>
  <c r="I102"/>
  <c r="H102"/>
  <c r="E102"/>
  <c r="D102"/>
  <c r="C102"/>
  <c r="B102"/>
  <c r="K101"/>
  <c r="J101"/>
  <c r="I101"/>
  <c r="H101"/>
  <c r="E101"/>
  <c r="D101"/>
  <c r="C101"/>
  <c r="B101"/>
  <c r="K100"/>
  <c r="J100"/>
  <c r="I100"/>
  <c r="H100"/>
  <c r="E100"/>
  <c r="D100"/>
  <c r="C100"/>
  <c r="B100"/>
  <c r="K99"/>
  <c r="J99"/>
  <c r="I99"/>
  <c r="H99"/>
  <c r="E99"/>
  <c r="D99"/>
  <c r="C99"/>
  <c r="B99"/>
  <c r="K98"/>
  <c r="J98"/>
  <c r="I98"/>
  <c r="H98"/>
  <c r="E98"/>
  <c r="D98"/>
  <c r="C98"/>
  <c r="B98"/>
  <c r="K97"/>
  <c r="J97"/>
  <c r="I97"/>
  <c r="H97"/>
  <c r="E97"/>
  <c r="D97"/>
  <c r="C97"/>
  <c r="B97"/>
  <c r="K96"/>
  <c r="J96"/>
  <c r="I96"/>
  <c r="H96"/>
  <c r="E96"/>
  <c r="D96"/>
  <c r="C96"/>
  <c r="B96"/>
  <c r="K95"/>
  <c r="J95"/>
  <c r="I95"/>
  <c r="H95"/>
  <c r="E95"/>
  <c r="D95"/>
  <c r="C95"/>
  <c r="B95"/>
  <c r="K94"/>
  <c r="J94"/>
  <c r="I94"/>
  <c r="H94"/>
  <c r="E94"/>
  <c r="D94"/>
  <c r="C94"/>
  <c r="B94"/>
  <c r="K93"/>
  <c r="J93"/>
  <c r="I93"/>
  <c r="H93"/>
  <c r="E93"/>
  <c r="D93"/>
  <c r="C93"/>
  <c r="B93"/>
  <c r="K92"/>
  <c r="J92"/>
  <c r="I92"/>
  <c r="H92"/>
  <c r="E92"/>
  <c r="D92"/>
  <c r="C92"/>
  <c r="B92"/>
  <c r="K91"/>
  <c r="J91"/>
  <c r="I91"/>
  <c r="H91"/>
  <c r="E91"/>
  <c r="D91"/>
  <c r="C91"/>
  <c r="B91"/>
  <c r="K90"/>
  <c r="J90"/>
  <c r="I90"/>
  <c r="H90"/>
  <c r="E90"/>
  <c r="D90"/>
  <c r="C90"/>
  <c r="B90"/>
  <c r="K89"/>
  <c r="J89"/>
  <c r="I89"/>
  <c r="H89"/>
  <c r="E89"/>
  <c r="D89"/>
  <c r="C89"/>
  <c r="B89"/>
  <c r="K88"/>
  <c r="J88"/>
  <c r="I88"/>
  <c r="H88"/>
  <c r="E88"/>
  <c r="D88"/>
  <c r="C88"/>
  <c r="B88"/>
  <c r="K87"/>
  <c r="J87"/>
  <c r="I87"/>
  <c r="H87"/>
  <c r="E87"/>
  <c r="D87"/>
  <c r="C87"/>
  <c r="B87"/>
  <c r="K86"/>
  <c r="J86"/>
  <c r="I86"/>
  <c r="H86"/>
  <c r="E86"/>
  <c r="D86"/>
  <c r="C86"/>
  <c r="B86"/>
  <c r="K85"/>
  <c r="J85"/>
  <c r="I85"/>
  <c r="H85"/>
  <c r="E85"/>
  <c r="D85"/>
  <c r="C85"/>
  <c r="B85"/>
  <c r="K84"/>
  <c r="J84"/>
  <c r="I84"/>
  <c r="H84"/>
  <c r="E84"/>
  <c r="D84"/>
  <c r="C84"/>
  <c r="B84"/>
  <c r="K83"/>
  <c r="J83"/>
  <c r="I83"/>
  <c r="H83"/>
  <c r="E83"/>
  <c r="D83"/>
  <c r="C83"/>
  <c r="B83"/>
  <c r="K82"/>
  <c r="J82"/>
  <c r="I82"/>
  <c r="H82"/>
  <c r="E82"/>
  <c r="D82"/>
  <c r="C82"/>
  <c r="B82"/>
  <c r="K81"/>
  <c r="J81"/>
  <c r="I81"/>
  <c r="H81"/>
  <c r="E81"/>
  <c r="D81"/>
  <c r="C81"/>
  <c r="B81"/>
  <c r="K80"/>
  <c r="J80"/>
  <c r="I80"/>
  <c r="H80"/>
  <c r="E80"/>
  <c r="D80"/>
  <c r="C80"/>
  <c r="B80"/>
  <c r="K79"/>
  <c r="J79"/>
  <c r="I79"/>
  <c r="H79"/>
  <c r="E79"/>
  <c r="D79"/>
  <c r="C79"/>
  <c r="B79"/>
  <c r="K78"/>
  <c r="J78"/>
  <c r="I78"/>
  <c r="H78"/>
  <c r="E78"/>
  <c r="D78"/>
  <c r="C78"/>
  <c r="B78"/>
  <c r="K77"/>
  <c r="J77"/>
  <c r="I77"/>
  <c r="H77"/>
  <c r="E77"/>
  <c r="D77"/>
  <c r="C77"/>
  <c r="B77"/>
  <c r="K76"/>
  <c r="J76"/>
  <c r="I76"/>
  <c r="H76"/>
  <c r="E76"/>
  <c r="D76"/>
  <c r="C76"/>
  <c r="B76"/>
  <c r="K75"/>
  <c r="J75"/>
  <c r="I75"/>
  <c r="H75"/>
  <c r="E75"/>
  <c r="D75"/>
  <c r="C75"/>
  <c r="B75"/>
  <c r="K74"/>
  <c r="J74"/>
  <c r="I74"/>
  <c r="H74"/>
  <c r="E74"/>
  <c r="D74"/>
  <c r="C74"/>
  <c r="B74"/>
  <c r="K73"/>
  <c r="J73"/>
  <c r="I73"/>
  <c r="H73"/>
  <c r="E73"/>
  <c r="D73"/>
  <c r="C73"/>
  <c r="B73"/>
  <c r="K72"/>
  <c r="J72"/>
  <c r="I72"/>
  <c r="H72"/>
  <c r="E72"/>
  <c r="D72"/>
  <c r="C72"/>
  <c r="B72"/>
  <c r="K71"/>
  <c r="J71"/>
  <c r="I71"/>
  <c r="H71"/>
  <c r="E71"/>
  <c r="D71"/>
  <c r="C71"/>
  <c r="B71"/>
  <c r="K70"/>
  <c r="J70"/>
  <c r="I70"/>
  <c r="H70"/>
  <c r="E70"/>
  <c r="D70"/>
  <c r="C70"/>
  <c r="B70"/>
  <c r="K69"/>
  <c r="J69"/>
  <c r="I69"/>
  <c r="H69"/>
  <c r="E69"/>
  <c r="D69"/>
  <c r="C69"/>
  <c r="B69"/>
  <c r="K68"/>
  <c r="J68"/>
  <c r="I68"/>
  <c r="H68"/>
  <c r="E68"/>
  <c r="D68"/>
  <c r="C68"/>
  <c r="B68"/>
  <c r="K67"/>
  <c r="J67"/>
  <c r="I67"/>
  <c r="H67"/>
  <c r="E67"/>
  <c r="D67"/>
  <c r="C67"/>
  <c r="B67"/>
  <c r="K66"/>
  <c r="J66"/>
  <c r="I66"/>
  <c r="H66"/>
  <c r="E66"/>
  <c r="D66"/>
  <c r="C66"/>
  <c r="B66"/>
  <c r="K65"/>
  <c r="J65"/>
  <c r="I65"/>
  <c r="H65"/>
  <c r="E65"/>
  <c r="D65"/>
  <c r="C65"/>
  <c r="B65"/>
  <c r="K64"/>
  <c r="J64"/>
  <c r="I64"/>
  <c r="H64"/>
  <c r="E64"/>
  <c r="D64"/>
  <c r="C64"/>
  <c r="B64"/>
  <c r="K63"/>
  <c r="E63"/>
  <c r="D56"/>
  <c r="C56"/>
  <c r="B56"/>
  <c r="D55"/>
  <c r="C55"/>
  <c r="B55"/>
  <c r="D54"/>
  <c r="C54"/>
  <c r="B54"/>
  <c r="D53"/>
  <c r="C53"/>
  <c r="B53"/>
  <c r="D52"/>
  <c r="C52"/>
  <c r="B52"/>
  <c r="D51"/>
  <c r="C51"/>
  <c r="B51"/>
  <c r="D50"/>
  <c r="C50"/>
  <c r="B50"/>
  <c r="D49"/>
  <c r="C49"/>
  <c r="B49"/>
  <c r="D48"/>
  <c r="C48"/>
  <c r="B48"/>
  <c r="D47"/>
  <c r="C47"/>
  <c r="B47"/>
  <c r="D46"/>
  <c r="C46"/>
  <c r="B46"/>
  <c r="D45"/>
  <c r="C45"/>
  <c r="B45"/>
  <c r="D44"/>
  <c r="C44"/>
  <c r="B44"/>
  <c r="D43"/>
  <c r="C43"/>
  <c r="B43"/>
  <c r="D42"/>
  <c r="C42"/>
  <c r="B42"/>
  <c r="D41"/>
  <c r="C41"/>
  <c r="B41"/>
  <c r="D40"/>
  <c r="C40"/>
  <c r="B40"/>
  <c r="D39"/>
  <c r="C39"/>
  <c r="B39"/>
  <c r="D38"/>
  <c r="C38"/>
  <c r="B38"/>
  <c r="D37"/>
  <c r="C37"/>
  <c r="B37"/>
  <c r="D36"/>
  <c r="C36"/>
  <c r="B36"/>
  <c r="D35"/>
  <c r="C35"/>
  <c r="B35"/>
  <c r="D34"/>
  <c r="C34"/>
  <c r="B34"/>
  <c r="D33"/>
  <c r="C33"/>
  <c r="B33"/>
  <c r="D32"/>
  <c r="C32"/>
  <c r="B32"/>
  <c r="D31"/>
  <c r="C31"/>
  <c r="B31"/>
  <c r="D30"/>
  <c r="C30"/>
  <c r="B30"/>
  <c r="D29"/>
  <c r="C29"/>
  <c r="B29"/>
  <c r="D28"/>
  <c r="C28"/>
  <c r="B28"/>
  <c r="D27"/>
  <c r="C27"/>
  <c r="B27"/>
  <c r="D26"/>
  <c r="C26"/>
  <c r="B26"/>
  <c r="D25"/>
  <c r="C25"/>
  <c r="B25"/>
  <c r="D24"/>
  <c r="C24"/>
  <c r="B24"/>
  <c r="D23"/>
  <c r="C23"/>
  <c r="B23"/>
  <c r="D22"/>
  <c r="C22"/>
  <c r="B22"/>
  <c r="D21"/>
  <c r="C21"/>
  <c r="B21"/>
  <c r="D20"/>
  <c r="C20"/>
  <c r="B20"/>
  <c r="D19"/>
  <c r="C19"/>
  <c r="B19"/>
  <c r="D18"/>
  <c r="C18"/>
  <c r="B18"/>
  <c r="D17"/>
  <c r="C17"/>
  <c r="B17"/>
  <c r="C11"/>
  <c r="C12" s="1"/>
  <c r="E5"/>
  <c r="E11" s="1"/>
  <c r="E12" s="1"/>
  <c r="D5"/>
  <c r="D11" s="1"/>
  <c r="D12" s="1"/>
  <c r="H49" i="3"/>
  <c r="M37"/>
  <c r="D87" i="8" s="1"/>
  <c r="M36" i="3"/>
  <c r="M35"/>
  <c r="K26" i="8" s="1"/>
  <c r="M34" i="3"/>
  <c r="M33"/>
  <c r="M32"/>
  <c r="S29"/>
  <c r="S11"/>
  <c r="S3"/>
  <c r="R141" i="18"/>
  <c r="P152" i="7"/>
  <c r="H59"/>
  <c r="M45"/>
  <c r="M44"/>
  <c r="J27"/>
  <c r="A3" i="37" s="1"/>
  <c r="L26" i="7"/>
  <c r="J7"/>
  <c r="A2" i="37"/>
  <c r="E33" i="15" l="1"/>
  <c r="N52" i="6"/>
  <c r="A82" i="36"/>
  <c r="N49" i="6"/>
  <c r="M49"/>
  <c r="G25" i="8"/>
  <c r="K83"/>
  <c r="P254" i="11"/>
  <c r="P129" i="15"/>
  <c r="P146" s="1"/>
  <c r="P148" s="1"/>
  <c r="P150" s="1"/>
  <c r="M129"/>
  <c r="M146" s="1"/>
  <c r="M148" s="1"/>
  <c r="M150" s="1"/>
  <c r="F114"/>
  <c r="C115"/>
  <c r="F113"/>
  <c r="A1" i="3"/>
  <c r="S1" s="1"/>
  <c r="J28" i="7"/>
  <c r="I3" i="29"/>
  <c r="H54" i="8"/>
  <c r="K84"/>
  <c r="C84"/>
  <c r="H55"/>
  <c r="I26"/>
  <c r="J84"/>
  <c r="B84"/>
  <c r="G55"/>
  <c r="H26"/>
  <c r="D84"/>
  <c r="I55"/>
  <c r="J26"/>
  <c r="B26"/>
  <c r="H84"/>
  <c r="C55"/>
  <c r="D26"/>
  <c r="G84"/>
  <c r="B55"/>
  <c r="C26"/>
  <c r="F84"/>
  <c r="E84"/>
  <c r="K55"/>
  <c r="A3" i="41"/>
  <c r="D55" i="8"/>
  <c r="A1" i="7"/>
  <c r="D37" i="3"/>
  <c r="A1" i="36"/>
  <c r="T1" s="1"/>
  <c r="F25" i="8"/>
  <c r="E55"/>
  <c r="I28" i="7"/>
  <c r="A58" i="26"/>
  <c r="A1" i="42"/>
  <c r="G58" i="26"/>
  <c r="A1" i="15"/>
  <c r="V1" s="1"/>
  <c r="E25" i="8"/>
  <c r="F55"/>
  <c r="N48" i="6"/>
  <c r="M48"/>
  <c r="K53"/>
  <c r="A1" i="11"/>
  <c r="A1" i="6"/>
  <c r="A1" i="29"/>
  <c r="A1" i="25"/>
  <c r="A1" i="8"/>
  <c r="M1" s="1"/>
  <c r="A50" i="25"/>
  <c r="F83" i="8"/>
  <c r="K54"/>
  <c r="C54"/>
  <c r="K25"/>
  <c r="C25"/>
  <c r="E83"/>
  <c r="J54"/>
  <c r="B54"/>
  <c r="J25"/>
  <c r="B25"/>
  <c r="G83"/>
  <c r="D54"/>
  <c r="D25"/>
  <c r="H83"/>
  <c r="D83"/>
  <c r="C83"/>
  <c r="I25"/>
  <c r="B83"/>
  <c r="I54"/>
  <c r="H25"/>
  <c r="I84"/>
  <c r="A1" i="18"/>
  <c r="E26" i="8"/>
  <c r="E54"/>
  <c r="J55"/>
  <c r="I83"/>
  <c r="A1" i="26"/>
  <c r="F26" i="8"/>
  <c r="F54"/>
  <c r="J83"/>
  <c r="N51" i="6"/>
  <c r="M50"/>
  <c r="P264" i="11"/>
  <c r="O267"/>
  <c r="P267"/>
  <c r="P250"/>
  <c r="P260"/>
  <c r="O252"/>
  <c r="O260"/>
  <c r="P252"/>
  <c r="O250"/>
  <c r="O254"/>
  <c r="F87" i="8"/>
  <c r="B58"/>
  <c r="E87"/>
  <c r="L26" i="3"/>
  <c r="C58" i="8"/>
  <c r="G87"/>
  <c r="I58"/>
  <c r="J58"/>
  <c r="K58"/>
  <c r="D58"/>
  <c r="H87"/>
  <c r="E58"/>
  <c r="I87"/>
  <c r="F58"/>
  <c r="B87"/>
  <c r="J87"/>
  <c r="G58"/>
  <c r="C87"/>
  <c r="K87"/>
  <c r="H58"/>
  <c r="S129" i="15"/>
  <c r="J129"/>
  <c r="J146" s="1"/>
  <c r="J148" s="1"/>
  <c r="J150" s="1"/>
  <c r="F36"/>
  <c r="F34"/>
  <c r="G129"/>
  <c r="I206" i="11" s="1"/>
  <c r="I207" s="1"/>
  <c r="O188" s="1"/>
  <c r="O180" s="1"/>
  <c r="E81" i="8"/>
  <c r="G52"/>
  <c r="G23"/>
  <c r="K81"/>
  <c r="E52"/>
  <c r="D81"/>
  <c r="F52"/>
  <c r="F23"/>
  <c r="C81"/>
  <c r="E23"/>
  <c r="J81"/>
  <c r="B81"/>
  <c r="D52"/>
  <c r="D23"/>
  <c r="I81"/>
  <c r="K52"/>
  <c r="C52"/>
  <c r="K23"/>
  <c r="C23"/>
  <c r="B23"/>
  <c r="B36" s="1"/>
  <c r="H52"/>
  <c r="F81"/>
  <c r="H23"/>
  <c r="I52"/>
  <c r="G81"/>
  <c r="I23"/>
  <c r="J52"/>
  <c r="H81"/>
  <c r="J23"/>
  <c r="B52"/>
  <c r="B43" i="15"/>
  <c r="F46" s="1"/>
  <c r="F35"/>
  <c r="L25" i="3"/>
  <c r="J161" i="15"/>
  <c r="GE48" i="36"/>
  <c r="H87" s="1"/>
  <c r="EZ48"/>
  <c r="CZ48"/>
  <c r="J99" s="1"/>
  <c r="FU48"/>
  <c r="H85" s="1"/>
  <c r="DA48"/>
  <c r="K99" s="1"/>
  <c r="BE48"/>
  <c r="BM48"/>
  <c r="K69" s="1"/>
  <c r="EG48"/>
  <c r="H78" s="1"/>
  <c r="BD48"/>
  <c r="L64" s="1"/>
  <c r="EF48"/>
  <c r="AB48"/>
  <c r="I57" s="1"/>
  <c r="CF48"/>
  <c r="J95" s="1"/>
  <c r="DL48"/>
  <c r="L73" s="1"/>
  <c r="HD48"/>
  <c r="CY48"/>
  <c r="I99" s="1"/>
  <c r="FC48"/>
  <c r="J89" s="1"/>
  <c r="FK48"/>
  <c r="H91" s="1"/>
  <c r="FS48"/>
  <c r="K90" s="1"/>
  <c r="GA48"/>
  <c r="I86" s="1"/>
  <c r="GI48"/>
  <c r="L87" s="1"/>
  <c r="CE48"/>
  <c r="I95" s="1"/>
  <c r="HC48"/>
  <c r="FZ48"/>
  <c r="H86" s="1"/>
  <c r="AK48"/>
  <c r="H59" s="1"/>
  <c r="CO48"/>
  <c r="I97" s="1"/>
  <c r="DU48"/>
  <c r="K75" s="1"/>
  <c r="FA48"/>
  <c r="H89" s="1"/>
  <c r="HE48"/>
  <c r="V48"/>
  <c r="H56" s="1"/>
  <c r="AD48"/>
  <c r="K57" s="1"/>
  <c r="AL48"/>
  <c r="I59" s="1"/>
  <c r="AT48"/>
  <c r="CH48"/>
  <c r="L95" s="1"/>
  <c r="CP48"/>
  <c r="J97" s="1"/>
  <c r="DN48"/>
  <c r="DV48"/>
  <c r="L75" s="1"/>
  <c r="FB48"/>
  <c r="I89" s="1"/>
  <c r="FJ48"/>
  <c r="L92" s="1"/>
  <c r="GH48"/>
  <c r="K87" s="1"/>
  <c r="GP48"/>
  <c r="AC48"/>
  <c r="J57" s="1"/>
  <c r="CG48"/>
  <c r="K95" s="1"/>
  <c r="DM48"/>
  <c r="GG48"/>
  <c r="J87" s="1"/>
  <c r="CW48"/>
  <c r="FI48"/>
  <c r="K92" s="1"/>
  <c r="FQ48"/>
  <c r="I90" s="1"/>
  <c r="BV48"/>
  <c r="J61" s="1"/>
  <c r="FV48"/>
  <c r="I85" s="1"/>
  <c r="CX48"/>
  <c r="H99" s="1"/>
  <c r="FR48"/>
  <c r="J90" s="1"/>
  <c r="BW48"/>
  <c r="K61" s="1"/>
  <c r="FO48"/>
  <c r="L91" s="1"/>
  <c r="BX48"/>
  <c r="L61" s="1"/>
  <c r="FP48"/>
  <c r="H90" s="1"/>
  <c r="FX48"/>
  <c r="K85" s="1"/>
  <c r="BT48"/>
  <c r="H61" s="1"/>
  <c r="EV48"/>
  <c r="FD48"/>
  <c r="K89" s="1"/>
  <c r="FL48"/>
  <c r="I91" s="1"/>
  <c r="FT48"/>
  <c r="L90" s="1"/>
  <c r="GB48"/>
  <c r="J86" s="1"/>
  <c r="GJ48"/>
  <c r="H88" s="1"/>
  <c r="FY48"/>
  <c r="L85" s="1"/>
  <c r="CU48"/>
  <c r="EY48"/>
  <c r="FG48"/>
  <c r="I92" s="1"/>
  <c r="GM48"/>
  <c r="K88" s="1"/>
  <c r="BU48"/>
  <c r="I61" s="1"/>
  <c r="CS48"/>
  <c r="EW48"/>
  <c r="FE48"/>
  <c r="L89" s="1"/>
  <c r="FM48"/>
  <c r="J91" s="1"/>
  <c r="GC48"/>
  <c r="K86" s="1"/>
  <c r="GK48"/>
  <c r="I88" s="1"/>
  <c r="A48"/>
  <c r="A7" s="1"/>
  <c r="CV48"/>
  <c r="FH48"/>
  <c r="J92" s="1"/>
  <c r="GN48"/>
  <c r="L88" s="1"/>
  <c r="AA48"/>
  <c r="H57" s="1"/>
  <c r="AI48"/>
  <c r="AQ48"/>
  <c r="AY48"/>
  <c r="L65" s="1"/>
  <c r="CM48"/>
  <c r="DS48"/>
  <c r="I75" s="1"/>
  <c r="EA48"/>
  <c r="L76" s="1"/>
  <c r="GU48"/>
  <c r="HK48"/>
  <c r="AZ48"/>
  <c r="H64" s="1"/>
  <c r="EB48"/>
  <c r="AJ48"/>
  <c r="AR48"/>
  <c r="CN48"/>
  <c r="H97" s="1"/>
  <c r="GV48"/>
  <c r="BG48"/>
  <c r="BO48"/>
  <c r="H68" s="1"/>
  <c r="DC48"/>
  <c r="H72" s="1"/>
  <c r="EI48"/>
  <c r="J78" s="1"/>
  <c r="EQ48"/>
  <c r="BH48"/>
  <c r="BP48"/>
  <c r="I68" s="1"/>
  <c r="DD48"/>
  <c r="I72" s="1"/>
  <c r="EJ48"/>
  <c r="K78" s="1"/>
  <c r="ER48"/>
  <c r="AS48"/>
  <c r="BA48"/>
  <c r="I64" s="1"/>
  <c r="BI48"/>
  <c r="EK48"/>
  <c r="L78" s="1"/>
  <c r="GW48"/>
  <c r="HM48"/>
  <c r="BF48"/>
  <c r="BN48"/>
  <c r="L69" s="1"/>
  <c r="DJ48"/>
  <c r="J73" s="1"/>
  <c r="EH48"/>
  <c r="I78" s="1"/>
  <c r="EP48"/>
  <c r="L79" s="1"/>
  <c r="BJ48"/>
  <c r="H69" s="1"/>
  <c r="AE48"/>
  <c r="L57" s="1"/>
  <c r="AU48"/>
  <c r="H65" s="1"/>
  <c r="BK48"/>
  <c r="I69" s="1"/>
  <c r="CA48"/>
  <c r="J94" s="1"/>
  <c r="CQ48"/>
  <c r="K97" s="1"/>
  <c r="DO48"/>
  <c r="EE48"/>
  <c r="EU48"/>
  <c r="GQ48"/>
  <c r="GY48"/>
  <c r="HG48"/>
  <c r="X48"/>
  <c r="J56" s="1"/>
  <c r="AF48"/>
  <c r="AN48"/>
  <c r="K59" s="1"/>
  <c r="AV48"/>
  <c r="I65" s="1"/>
  <c r="BL48"/>
  <c r="J69" s="1"/>
  <c r="CB48"/>
  <c r="K94" s="1"/>
  <c r="CJ48"/>
  <c r="CR48"/>
  <c r="L97" s="1"/>
  <c r="DH48"/>
  <c r="H73" s="1"/>
  <c r="DP48"/>
  <c r="DX48"/>
  <c r="I76" s="1"/>
  <c r="EN48"/>
  <c r="J79" s="1"/>
  <c r="GR48"/>
  <c r="GZ48"/>
  <c r="HH48"/>
  <c r="BQ48"/>
  <c r="J68" s="1"/>
  <c r="BY48"/>
  <c r="H94" s="1"/>
  <c r="DE48"/>
  <c r="J72" s="1"/>
  <c r="ES48"/>
  <c r="BB48"/>
  <c r="J64" s="1"/>
  <c r="BR48"/>
  <c r="K68" s="1"/>
  <c r="DF48"/>
  <c r="K72" s="1"/>
  <c r="ED48"/>
  <c r="W48"/>
  <c r="I56" s="1"/>
  <c r="AM48"/>
  <c r="J59" s="1"/>
  <c r="BC48"/>
  <c r="K64" s="1"/>
  <c r="BS48"/>
  <c r="L68" s="1"/>
  <c r="CI48"/>
  <c r="DG48"/>
  <c r="L72" s="1"/>
  <c r="DW48"/>
  <c r="H76" s="1"/>
  <c r="EM48"/>
  <c r="I79" s="1"/>
  <c r="Y48"/>
  <c r="K56" s="1"/>
  <c r="AG48"/>
  <c r="AO48"/>
  <c r="L59" s="1"/>
  <c r="AW48"/>
  <c r="J65" s="1"/>
  <c r="CC48"/>
  <c r="L94" s="1"/>
  <c r="CK48"/>
  <c r="DI48"/>
  <c r="I73" s="1"/>
  <c r="DQ48"/>
  <c r="DY48"/>
  <c r="J76" s="1"/>
  <c r="EO48"/>
  <c r="K79" s="1"/>
  <c r="GS48"/>
  <c r="HA48"/>
  <c r="HI48"/>
  <c r="BZ48"/>
  <c r="I94" s="1"/>
  <c r="ET48"/>
  <c r="Z48"/>
  <c r="L56" s="1"/>
  <c r="AH48"/>
  <c r="AP48"/>
  <c r="AX48"/>
  <c r="K65" s="1"/>
  <c r="CD48"/>
  <c r="H95" s="1"/>
  <c r="CL48"/>
  <c r="CT48"/>
  <c r="DR48"/>
  <c r="H75" s="1"/>
  <c r="DZ48"/>
  <c r="K76" s="1"/>
  <c r="EX48"/>
  <c r="FF48"/>
  <c r="H92" s="1"/>
  <c r="GD48"/>
  <c r="L86" s="1"/>
  <c r="GL48"/>
  <c r="J88" s="1"/>
  <c r="GT48"/>
  <c r="L48"/>
  <c r="L49" s="1"/>
  <c r="HB48"/>
  <c r="DB48"/>
  <c r="L99" s="1"/>
  <c r="DT48"/>
  <c r="J75" s="1"/>
  <c r="GF48"/>
  <c r="I87" s="1"/>
  <c r="HL48"/>
  <c r="FN48"/>
  <c r="K91" s="1"/>
  <c r="DK48"/>
  <c r="K73" s="1"/>
  <c r="EC48"/>
  <c r="GO48"/>
  <c r="HJ48"/>
  <c r="FW48"/>
  <c r="J85" s="1"/>
  <c r="EL48"/>
  <c r="H79" s="1"/>
  <c r="GX48"/>
  <c r="HF48"/>
  <c r="N53" i="6" l="1"/>
  <c r="O259" i="11"/>
  <c r="P6" i="36"/>
  <c r="N6"/>
  <c r="P249" i="11"/>
  <c r="O249"/>
  <c r="O248" s="1"/>
  <c r="P259"/>
  <c r="L27" i="3"/>
  <c r="B40" i="8"/>
  <c r="H50" i="3"/>
  <c r="O42" s="1"/>
  <c r="C36" i="8"/>
  <c r="J270" i="11"/>
  <c r="L207"/>
  <c r="P188" s="1"/>
  <c r="P180" s="1"/>
  <c r="L96" i="36"/>
  <c r="L98" s="1"/>
  <c r="L100" s="1"/>
  <c r="L66"/>
  <c r="H84"/>
  <c r="K58"/>
  <c r="K60" s="1"/>
  <c r="K62" s="1"/>
  <c r="F51" i="6" s="1"/>
  <c r="J96" i="36"/>
  <c r="J98" s="1"/>
  <c r="J100" s="1"/>
  <c r="L77"/>
  <c r="K70"/>
  <c r="H58"/>
  <c r="H60" s="1"/>
  <c r="I96"/>
  <c r="I98" s="1"/>
  <c r="I100" s="1"/>
  <c r="J58"/>
  <c r="J60" s="1"/>
  <c r="J62" s="1"/>
  <c r="F50" i="6" s="1"/>
  <c r="H50" s="1"/>
  <c r="K96" i="36"/>
  <c r="K98" s="1"/>
  <c r="K100" s="1"/>
  <c r="M57"/>
  <c r="H50" i="7" s="1"/>
  <c r="I58" i="36"/>
  <c r="I60" s="1"/>
  <c r="I62" s="1"/>
  <c r="F49" i="6" s="1"/>
  <c r="H66" i="36"/>
  <c r="L74"/>
  <c r="K80"/>
  <c r="M89"/>
  <c r="Q89" s="1"/>
  <c r="M90"/>
  <c r="Q90" s="1"/>
  <c r="M61"/>
  <c r="H54" i="7" s="1"/>
  <c r="M87" i="36"/>
  <c r="M95"/>
  <c r="Q95" s="1"/>
  <c r="I74"/>
  <c r="M92"/>
  <c r="Q92" s="1"/>
  <c r="L84"/>
  <c r="H70"/>
  <c r="M91"/>
  <c r="Q91" s="1"/>
  <c r="I70"/>
  <c r="H74"/>
  <c r="L70"/>
  <c r="J77"/>
  <c r="M86"/>
  <c r="M99"/>
  <c r="Q99" s="1"/>
  <c r="M88"/>
  <c r="J84"/>
  <c r="H77"/>
  <c r="M59"/>
  <c r="H52" i="7" s="1"/>
  <c r="I80" i="36"/>
  <c r="K84"/>
  <c r="H96"/>
  <c r="L58"/>
  <c r="M97"/>
  <c r="Q97" s="1"/>
  <c r="M73"/>
  <c r="Q73" s="1"/>
  <c r="M68"/>
  <c r="Q68" s="1"/>
  <c r="M79"/>
  <c r="Q79" s="1"/>
  <c r="I77"/>
  <c r="J74"/>
  <c r="K74"/>
  <c r="M72"/>
  <c r="Q72" s="1"/>
  <c r="M76"/>
  <c r="Q76" s="1"/>
  <c r="J80"/>
  <c r="M78"/>
  <c r="Q78" s="1"/>
  <c r="J66"/>
  <c r="M56"/>
  <c r="Q56" s="1"/>
  <c r="M64"/>
  <c r="I51" i="7" s="1"/>
  <c r="M69" i="36"/>
  <c r="Q69" s="1"/>
  <c r="L80"/>
  <c r="K66"/>
  <c r="I66"/>
  <c r="J70"/>
  <c r="M94"/>
  <c r="Q94" s="1"/>
  <c r="K77"/>
  <c r="M85"/>
  <c r="M65"/>
  <c r="I84"/>
  <c r="M75"/>
  <c r="Q75" s="1"/>
  <c r="H80"/>
  <c r="B14" i="8"/>
  <c r="H104" i="36"/>
  <c r="O104" s="1"/>
  <c r="P248" i="11" l="1"/>
  <c r="Q12" i="36"/>
  <c r="Q14"/>
  <c r="Q10"/>
  <c r="Q15"/>
  <c r="Q11"/>
  <c r="Q13"/>
  <c r="O41" i="3"/>
  <c r="O43" s="1"/>
  <c r="C40" i="8"/>
  <c r="H51" i="3"/>
  <c r="D36" i="8"/>
  <c r="Q61" i="36"/>
  <c r="M58"/>
  <c r="Q58" s="1"/>
  <c r="H51" i="6"/>
  <c r="Q57" i="36"/>
  <c r="I49" i="6"/>
  <c r="M96" i="36"/>
  <c r="Q96" s="1"/>
  <c r="Q64"/>
  <c r="M70"/>
  <c r="Q70" s="1"/>
  <c r="P52" i="7"/>
  <c r="H98" i="36"/>
  <c r="M98" s="1"/>
  <c r="H49" i="6"/>
  <c r="I51"/>
  <c r="L60" i="36"/>
  <c r="L62" s="1"/>
  <c r="F52" i="6" s="1"/>
  <c r="I52" s="1"/>
  <c r="M74" i="36"/>
  <c r="Q59"/>
  <c r="M84"/>
  <c r="Q84" s="1"/>
  <c r="I50" i="6"/>
  <c r="M77" i="36"/>
  <c r="F46" i="7" s="1"/>
  <c r="P50"/>
  <c r="H51"/>
  <c r="H49" s="1"/>
  <c r="H53" s="1"/>
  <c r="H55" s="1"/>
  <c r="M66" i="36"/>
  <c r="Q66" s="1"/>
  <c r="M80"/>
  <c r="I50" i="7"/>
  <c r="Q65" i="36"/>
  <c r="H62"/>
  <c r="G72" i="8"/>
  <c r="F72"/>
  <c r="K72"/>
  <c r="C72"/>
  <c r="I43"/>
  <c r="J14"/>
  <c r="D72"/>
  <c r="F43"/>
  <c r="E14"/>
  <c r="B72"/>
  <c r="E43"/>
  <c r="J72"/>
  <c r="K43"/>
  <c r="B43"/>
  <c r="I14"/>
  <c r="H43"/>
  <c r="G14"/>
  <c r="I72"/>
  <c r="G43"/>
  <c r="F14"/>
  <c r="H72"/>
  <c r="D43"/>
  <c r="D14"/>
  <c r="B15"/>
  <c r="B16" s="1"/>
  <c r="K5" s="1"/>
  <c r="C43"/>
  <c r="K14"/>
  <c r="J43"/>
  <c r="C14"/>
  <c r="H14"/>
  <c r="E72"/>
  <c r="B20" l="1"/>
  <c r="K7" s="1"/>
  <c r="D40"/>
  <c r="E36"/>
  <c r="P49" i="7"/>
  <c r="P51" s="1"/>
  <c r="P53" s="1"/>
  <c r="P58" s="1"/>
  <c r="H100" i="36"/>
  <c r="M100" s="1"/>
  <c r="G43" i="15" s="1"/>
  <c r="Q74" i="36"/>
  <c r="F44" i="7"/>
  <c r="M60" i="36"/>
  <c r="H52" i="6"/>
  <c r="Q80" i="36"/>
  <c r="F45" i="7"/>
  <c r="Q77" i="36"/>
  <c r="R12" i="24"/>
  <c r="M62" i="36"/>
  <c r="R11" i="24"/>
  <c r="F48" i="6"/>
  <c r="E73" i="8"/>
  <c r="E74" s="1"/>
  <c r="D73"/>
  <c r="D74" s="1"/>
  <c r="I73"/>
  <c r="I74" s="1"/>
  <c r="G44"/>
  <c r="G45" s="1"/>
  <c r="H15"/>
  <c r="H16" s="1"/>
  <c r="G73"/>
  <c r="G74" s="1"/>
  <c r="E44"/>
  <c r="E45" s="1"/>
  <c r="D15"/>
  <c r="F73"/>
  <c r="D44"/>
  <c r="J44"/>
  <c r="J45" s="1"/>
  <c r="I15"/>
  <c r="I16" s="1"/>
  <c r="B73"/>
  <c r="B74" s="1"/>
  <c r="J15"/>
  <c r="J16" s="1"/>
  <c r="K44"/>
  <c r="G15"/>
  <c r="I44"/>
  <c r="F15"/>
  <c r="F16" s="1"/>
  <c r="J73"/>
  <c r="J74" s="1"/>
  <c r="F44"/>
  <c r="F45" s="1"/>
  <c r="H73"/>
  <c r="H74" s="1"/>
  <c r="C44"/>
  <c r="C45" s="1"/>
  <c r="K73"/>
  <c r="K74" s="1"/>
  <c r="H44"/>
  <c r="H45" s="1"/>
  <c r="C73"/>
  <c r="C74" s="1"/>
  <c r="B44"/>
  <c r="B45" s="1"/>
  <c r="K15"/>
  <c r="K16" s="1"/>
  <c r="E15"/>
  <c r="E16" s="1"/>
  <c r="C15"/>
  <c r="Q98" i="36"/>
  <c r="E43" i="15"/>
  <c r="I78" i="8" l="1"/>
  <c r="J78"/>
  <c r="J49"/>
  <c r="F49"/>
  <c r="G49"/>
  <c r="G78"/>
  <c r="D78"/>
  <c r="E49"/>
  <c r="C49"/>
  <c r="P147" i="36"/>
  <c r="P157" s="1"/>
  <c r="F118" i="15" s="1"/>
  <c r="H78" i="8"/>
  <c r="E20"/>
  <c r="I20"/>
  <c r="K20"/>
  <c r="C78"/>
  <c r="J20"/>
  <c r="F20"/>
  <c r="B78"/>
  <c r="B49"/>
  <c r="H20"/>
  <c r="H49"/>
  <c r="E78"/>
  <c r="K78"/>
  <c r="E40"/>
  <c r="F36"/>
  <c r="Q100" i="36"/>
  <c r="P137" i="7"/>
  <c r="G131" i="15"/>
  <c r="M151"/>
  <c r="M152" s="1"/>
  <c r="M154" s="1"/>
  <c r="L31" i="11"/>
  <c r="P151" i="15"/>
  <c r="P152" s="1"/>
  <c r="P154" s="1"/>
  <c r="P138" i="7"/>
  <c r="L32" i="11"/>
  <c r="Q60" i="36"/>
  <c r="J151" i="15"/>
  <c r="J152" s="1"/>
  <c r="J154" s="1"/>
  <c r="E42"/>
  <c r="I45" i="8"/>
  <c r="I49" s="1"/>
  <c r="G16"/>
  <c r="G20" s="1"/>
  <c r="C16"/>
  <c r="C20" s="1"/>
  <c r="F74"/>
  <c r="F78" s="1"/>
  <c r="J157" i="36"/>
  <c r="P160"/>
  <c r="Q62"/>
  <c r="F121" i="15"/>
  <c r="J159" i="36"/>
  <c r="J158"/>
  <c r="G42" i="15"/>
  <c r="P71" i="7"/>
  <c r="P67"/>
  <c r="I164" i="11"/>
  <c r="D131" i="15"/>
  <c r="P69" i="7"/>
  <c r="E99" i="15"/>
  <c r="K164" i="11"/>
  <c r="H48" i="6"/>
  <c r="I48"/>
  <c r="I53" s="1"/>
  <c r="P48" s="1"/>
  <c r="F53"/>
  <c r="D16" i="8"/>
  <c r="D20" s="1"/>
  <c r="K45"/>
  <c r="K49" s="1"/>
  <c r="D45"/>
  <c r="D49" s="1"/>
  <c r="N148" i="36" l="1"/>
  <c r="N157"/>
  <c r="N149"/>
  <c r="B19" i="8"/>
  <c r="F40"/>
  <c r="G36"/>
  <c r="P30" i="11"/>
  <c r="J155" i="15"/>
  <c r="O30" i="11"/>
  <c r="O288" s="1"/>
  <c r="Q53" i="36"/>
  <c r="J159" i="15"/>
  <c r="J160" s="1"/>
  <c r="B21" i="8"/>
  <c r="P165" i="36"/>
  <c r="B35" i="8" l="1"/>
  <c r="H19"/>
  <c r="G19"/>
  <c r="C19"/>
  <c r="I48"/>
  <c r="E77"/>
  <c r="K48"/>
  <c r="E19"/>
  <c r="J19"/>
  <c r="F19"/>
  <c r="H48"/>
  <c r="G77"/>
  <c r="K77"/>
  <c r="H77"/>
  <c r="D77"/>
  <c r="J77"/>
  <c r="J48"/>
  <c r="F77"/>
  <c r="D19"/>
  <c r="F48"/>
  <c r="B48"/>
  <c r="C77"/>
  <c r="D48"/>
  <c r="I77"/>
  <c r="E48"/>
  <c r="B77"/>
  <c r="C48"/>
  <c r="G48"/>
  <c r="K19"/>
  <c r="I19"/>
  <c r="G40"/>
  <c r="H36"/>
  <c r="P288" i="11"/>
  <c r="R30"/>
  <c r="L30"/>
  <c r="G159" i="15"/>
  <c r="J162"/>
  <c r="J164" s="1"/>
  <c r="J166" s="1"/>
  <c r="J168" s="1"/>
  <c r="O289" i="11"/>
  <c r="O6"/>
  <c r="I79" i="8"/>
  <c r="H79"/>
  <c r="F50"/>
  <c r="E79"/>
  <c r="K50"/>
  <c r="C50"/>
  <c r="D21"/>
  <c r="D79"/>
  <c r="I50"/>
  <c r="C21"/>
  <c r="C79"/>
  <c r="H50"/>
  <c r="K79"/>
  <c r="D50"/>
  <c r="H21"/>
  <c r="E50"/>
  <c r="G21"/>
  <c r="B50"/>
  <c r="F21"/>
  <c r="E21"/>
  <c r="G50"/>
  <c r="B79"/>
  <c r="K21"/>
  <c r="J21"/>
  <c r="J79"/>
  <c r="I21"/>
  <c r="G79"/>
  <c r="F79"/>
  <c r="J50"/>
  <c r="B22"/>
  <c r="G64" l="1"/>
  <c r="G93"/>
  <c r="F64"/>
  <c r="C93"/>
  <c r="F35"/>
  <c r="H64"/>
  <c r="B51"/>
  <c r="B60" s="1"/>
  <c r="B80"/>
  <c r="B90" s="1"/>
  <c r="C22"/>
  <c r="C31" s="1"/>
  <c r="H93"/>
  <c r="E93"/>
  <c r="K35"/>
  <c r="K93"/>
  <c r="F93"/>
  <c r="H22"/>
  <c r="H31" s="1"/>
  <c r="D64"/>
  <c r="D93"/>
  <c r="K64"/>
  <c r="G22"/>
  <c r="G31" s="1"/>
  <c r="I51"/>
  <c r="I22"/>
  <c r="I31" s="1"/>
  <c r="C51"/>
  <c r="E22"/>
  <c r="H80"/>
  <c r="I80"/>
  <c r="J22"/>
  <c r="J31" s="1"/>
  <c r="E51"/>
  <c r="J80"/>
  <c r="J89" s="1"/>
  <c r="D22"/>
  <c r="J51"/>
  <c r="C64"/>
  <c r="G51"/>
  <c r="B93"/>
  <c r="H35"/>
  <c r="F80"/>
  <c r="H51"/>
  <c r="G80"/>
  <c r="F22"/>
  <c r="C80"/>
  <c r="F51"/>
  <c r="I93"/>
  <c r="J93"/>
  <c r="E35"/>
  <c r="I35"/>
  <c r="D80"/>
  <c r="B64"/>
  <c r="D51"/>
  <c r="G35"/>
  <c r="C35"/>
  <c r="I64"/>
  <c r="K22"/>
  <c r="D35"/>
  <c r="K80"/>
  <c r="K51"/>
  <c r="E80"/>
  <c r="E64"/>
  <c r="J64"/>
  <c r="J35"/>
  <c r="H40"/>
  <c r="I36"/>
  <c r="P289" i="11"/>
  <c r="P6"/>
  <c r="B31" i="8"/>
  <c r="J172" i="15"/>
  <c r="M170"/>
  <c r="B89" i="8" l="1"/>
  <c r="C32"/>
  <c r="C30"/>
  <c r="I60"/>
  <c r="E30"/>
  <c r="F89"/>
  <c r="F30"/>
  <c r="B34"/>
  <c r="B33"/>
  <c r="B37"/>
  <c r="F119" i="15"/>
  <c r="K89" i="8"/>
  <c r="B30"/>
  <c r="E90"/>
  <c r="D30"/>
  <c r="B32"/>
  <c r="C60"/>
  <c r="H61"/>
  <c r="I32"/>
  <c r="C33"/>
  <c r="C34"/>
  <c r="B92"/>
  <c r="B91"/>
  <c r="G30"/>
  <c r="B62"/>
  <c r="B63"/>
  <c r="E60"/>
  <c r="K24"/>
  <c r="B61"/>
  <c r="H60"/>
  <c r="K31"/>
  <c r="H89"/>
  <c r="E31"/>
  <c r="I89"/>
  <c r="J60"/>
  <c r="E89"/>
  <c r="D60"/>
  <c r="D31"/>
  <c r="C89"/>
  <c r="F60"/>
  <c r="G60"/>
  <c r="D89"/>
  <c r="F31"/>
  <c r="G89"/>
  <c r="K60"/>
  <c r="I40"/>
  <c r="J36"/>
  <c r="J41" i="3"/>
  <c r="L41" s="1"/>
  <c r="J6" i="7"/>
  <c r="J40" i="3"/>
  <c r="L40" s="1"/>
  <c r="E98" i="15"/>
  <c r="E32" i="8" l="1"/>
  <c r="D32"/>
  <c r="K33"/>
  <c r="K34"/>
  <c r="J33"/>
  <c r="J34"/>
  <c r="H92"/>
  <c r="H91"/>
  <c r="H34"/>
  <c r="H33"/>
  <c r="H30"/>
  <c r="K32"/>
  <c r="J32"/>
  <c r="K63"/>
  <c r="K62"/>
  <c r="G91"/>
  <c r="G92"/>
  <c r="K92"/>
  <c r="K91"/>
  <c r="H90"/>
  <c r="H32"/>
  <c r="E62"/>
  <c r="E63"/>
  <c r="K61"/>
  <c r="G90"/>
  <c r="K90"/>
  <c r="G63"/>
  <c r="G62"/>
  <c r="D62"/>
  <c r="D63"/>
  <c r="E61"/>
  <c r="I34"/>
  <c r="I33"/>
  <c r="I30"/>
  <c r="E92"/>
  <c r="E91"/>
  <c r="E34"/>
  <c r="E33"/>
  <c r="G61"/>
  <c r="D61"/>
  <c r="K30"/>
  <c r="J62"/>
  <c r="J63"/>
  <c r="F63"/>
  <c r="F62"/>
  <c r="I62"/>
  <c r="I63"/>
  <c r="J92"/>
  <c r="J91"/>
  <c r="C63"/>
  <c r="C62"/>
  <c r="J61"/>
  <c r="C92"/>
  <c r="C91"/>
  <c r="F61"/>
  <c r="I61"/>
  <c r="J30"/>
  <c r="I91"/>
  <c r="I92"/>
  <c r="G34"/>
  <c r="G33"/>
  <c r="J90"/>
  <c r="C61"/>
  <c r="F33"/>
  <c r="F34"/>
  <c r="C90"/>
  <c r="D92"/>
  <c r="D91"/>
  <c r="F92"/>
  <c r="F91"/>
  <c r="I90"/>
  <c r="G32"/>
  <c r="C37"/>
  <c r="H63"/>
  <c r="H62"/>
  <c r="D34"/>
  <c r="D33"/>
  <c r="F32"/>
  <c r="D90"/>
  <c r="F90"/>
  <c r="B59"/>
  <c r="J40"/>
  <c r="K36"/>
  <c r="D37" l="1"/>
  <c r="C59"/>
  <c r="K40"/>
  <c r="B65"/>
  <c r="E37" l="1"/>
  <c r="D59"/>
  <c r="B69"/>
  <c r="C65"/>
  <c r="F37" l="1"/>
  <c r="E59"/>
  <c r="C69"/>
  <c r="D65"/>
  <c r="G37" l="1"/>
  <c r="F59"/>
  <c r="D69"/>
  <c r="E65"/>
  <c r="H37" l="1"/>
  <c r="G59"/>
  <c r="E69"/>
  <c r="F65"/>
  <c r="I37" l="1"/>
  <c r="H59"/>
  <c r="F69"/>
  <c r="G65"/>
  <c r="J37" l="1"/>
  <c r="I59"/>
  <c r="G69"/>
  <c r="H65"/>
  <c r="K37" l="1"/>
  <c r="J59"/>
  <c r="H69"/>
  <c r="I65"/>
  <c r="B66" l="1"/>
  <c r="B86"/>
  <c r="K59"/>
  <c r="I69"/>
  <c r="J65"/>
  <c r="C66" l="1"/>
  <c r="C86"/>
  <c r="B88"/>
  <c r="J69"/>
  <c r="K65"/>
  <c r="D66" l="1"/>
  <c r="D86"/>
  <c r="C88"/>
  <c r="K69"/>
  <c r="B94"/>
  <c r="E66" l="1"/>
  <c r="E86"/>
  <c r="D88"/>
  <c r="B98"/>
  <c r="C94"/>
  <c r="F66" l="1"/>
  <c r="F86"/>
  <c r="E88"/>
  <c r="C98"/>
  <c r="D94"/>
  <c r="G66" l="1"/>
  <c r="G86"/>
  <c r="F88"/>
  <c r="D98"/>
  <c r="E94"/>
  <c r="H66" l="1"/>
  <c r="H86"/>
  <c r="G88"/>
  <c r="E98"/>
  <c r="F94"/>
  <c r="I66" l="1"/>
  <c r="I86"/>
  <c r="H88"/>
  <c r="F98"/>
  <c r="G94"/>
  <c r="J66" l="1"/>
  <c r="J86"/>
  <c r="I88"/>
  <c r="G98"/>
  <c r="H94"/>
  <c r="K66" l="1"/>
  <c r="K86"/>
  <c r="J88"/>
  <c r="H98"/>
  <c r="I94"/>
  <c r="B95" l="1"/>
  <c r="K88"/>
  <c r="I98"/>
  <c r="J94"/>
  <c r="C95" l="1"/>
  <c r="J98"/>
  <c r="K94"/>
  <c r="D95" l="1"/>
  <c r="K98"/>
  <c r="E95" l="1"/>
  <c r="F95" l="1"/>
  <c r="G95" l="1"/>
  <c r="H95" l="1"/>
  <c r="I95" l="1"/>
  <c r="J95" l="1"/>
  <c r="K95" l="1"/>
</calcChain>
</file>

<file path=xl/sharedStrings.xml><?xml version="1.0" encoding="utf-8"?>
<sst xmlns="http://schemas.openxmlformats.org/spreadsheetml/2006/main" count="8101" uniqueCount="4172">
  <si>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</si>
  <si>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</si>
  <si>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</si>
  <si>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</si>
  <si>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</si>
  <si>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</si>
  <si>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</si>
  <si>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</si>
  <si>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</si>
  <si>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</si>
  <si>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</si>
  <si>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</si>
  <si>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</si>
  <si>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</si>
  <si>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</si>
  <si>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</si>
  <si>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</si>
  <si>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</si>
  <si>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</si>
  <si>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</si>
  <si>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</si>
  <si>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</si>
  <si>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</si>
  <si>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</si>
  <si>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</si>
  <si>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</si>
  <si>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</si>
  <si>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</si>
  <si>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</si>
  <si>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</si>
  <si>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</si>
  <si>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</si>
  <si>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</si>
  <si>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</si>
  <si>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</si>
  <si>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</si>
  <si>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</si>
  <si>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</si>
  <si>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</si>
  <si>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</si>
  <si>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</si>
  <si>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</si>
  <si>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</si>
  <si>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</si>
  <si>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</si>
  <si>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</si>
  <si>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</si>
  <si>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</si>
  <si>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</si>
  <si>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</si>
  <si>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</si>
  <si>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</si>
  <si>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</si>
  <si>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</si>
  <si>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</si>
  <si>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</si>
  <si>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</si>
  <si>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</si>
  <si>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</si>
  <si>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</si>
  <si>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</si>
  <si>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</si>
  <si>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</si>
  <si>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</si>
  <si>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</si>
  <si>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</si>
  <si>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</si>
  <si>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</si>
  <si>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</si>
  <si>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</si>
  <si>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</si>
  <si>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</si>
  <si>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</si>
  <si>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</si>
  <si>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</si>
  <si>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</si>
  <si>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</si>
  <si>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</si>
  <si>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</si>
  <si>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</si>
  <si>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</si>
  <si>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</si>
  <si>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</si>
  <si>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</si>
  <si>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</si>
  <si>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</si>
  <si>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</si>
  <si>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</si>
  <si>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</si>
  <si>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</si>
  <si>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</si>
  <si>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</si>
  <si>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</si>
  <si>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</si>
  <si>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</si>
  <si>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</si>
  <si>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</si>
  <si>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</si>
  <si>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</si>
  <si>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</si>
  <si>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</si>
  <si>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</si>
  <si>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</si>
  <si>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</si>
  <si>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</si>
  <si>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</si>
  <si>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</si>
  <si>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</si>
  <si>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</si>
  <si>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</si>
  <si>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</si>
  <si>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</si>
  <si>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</si>
  <si>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</si>
  <si>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</si>
  <si>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</si>
  <si>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</si>
  <si>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</si>
  <si>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</si>
  <si>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</si>
  <si>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</si>
  <si>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</si>
  <si>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</si>
  <si>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</si>
  <si>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</si>
  <si>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</si>
  <si>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</si>
  <si>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</si>
  <si>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</si>
  <si>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</si>
  <si>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</si>
  <si>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</si>
  <si>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</si>
  <si>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</si>
  <si>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</si>
  <si>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</si>
  <si>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</si>
  <si>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</si>
  <si>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</si>
  <si>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</si>
  <si>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</si>
  <si>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</si>
  <si>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</si>
  <si>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</si>
  <si>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</si>
  <si>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</si>
  <si>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</si>
  <si>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</si>
  <si>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</si>
  <si>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</si>
  <si>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</si>
  <si>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</si>
  <si>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</si>
  <si>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</si>
  <si>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</si>
  <si>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</si>
  <si>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</si>
  <si>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</si>
  <si>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</si>
  <si>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</si>
  <si>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</si>
  <si>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</si>
  <si>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</si>
  <si>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</si>
  <si>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</si>
  <si>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</si>
  <si>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</si>
  <si>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</si>
  <si>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</si>
  <si>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</si>
  <si>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</si>
  <si>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</si>
  <si>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</si>
  <si>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</si>
  <si>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</si>
  <si>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</si>
  <si>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</si>
  <si>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</si>
  <si>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</si>
  <si>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</si>
  <si>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</si>
  <si>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</si>
  <si>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</si>
  <si>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</si>
  <si>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</si>
  <si>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</si>
  <si>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</si>
  <si>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</si>
  <si>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</si>
  <si>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</si>
  <si>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</si>
  <si>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</si>
  <si>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</si>
  <si>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</si>
  <si>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</si>
  <si>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</si>
  <si>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</si>
  <si>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</si>
  <si>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</si>
  <si>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</si>
  <si>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</si>
  <si>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</si>
  <si>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</si>
  <si>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</si>
  <si>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</si>
  <si>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</si>
  <si>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</si>
  <si>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</si>
  <si>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</si>
  <si>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</si>
  <si>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</si>
  <si>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</si>
  <si>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</si>
  <si>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</si>
  <si>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</si>
  <si>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</si>
  <si>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</si>
  <si>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</si>
  <si>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</si>
  <si>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</si>
  <si>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</si>
  <si>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</si>
  <si>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</si>
  <si>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</si>
  <si>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</si>
  <si>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</si>
  <si>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</si>
  <si>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</si>
  <si>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</si>
  <si>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</si>
  <si>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</si>
  <si>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</si>
  <si>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</si>
  <si>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</si>
  <si>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</si>
  <si>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</si>
  <si>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</si>
  <si>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</si>
  <si>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</si>
  <si>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</si>
  <si>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</si>
  <si>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</si>
  <si>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</si>
  <si>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</si>
  <si>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</si>
  <si>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</si>
  <si>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</si>
  <si>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</si>
  <si>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</si>
  <si>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</si>
  <si>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</si>
  <si>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</si>
  <si>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</si>
  <si>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</si>
  <si>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</si>
  <si>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</si>
  <si>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</si>
  <si>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</si>
  <si>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</si>
  <si>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</si>
  <si>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</si>
  <si>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</si>
  <si>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</si>
  <si>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</si>
  <si>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</si>
  <si>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</si>
  <si>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</si>
  <si>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</si>
  <si>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</si>
  <si>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</si>
  <si>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</si>
  <si>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</si>
  <si>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</si>
  <si>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</si>
  <si>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</si>
  <si>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</si>
  <si>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</si>
  <si>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</si>
  <si>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</si>
  <si>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</si>
  <si>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</si>
  <si>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</si>
  <si>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</si>
  <si>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</si>
  <si>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</si>
  <si>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</si>
  <si>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</si>
  <si>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</si>
  <si>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</si>
  <si>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</si>
  <si>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</si>
  <si>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</si>
  <si>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</si>
  <si>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</si>
  <si>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</si>
  <si>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</si>
  <si>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</si>
  <si>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</si>
  <si>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</si>
  <si>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</si>
  <si>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</si>
  <si>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</si>
  <si>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</si>
  <si>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</si>
  <si>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</si>
  <si>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</si>
  <si>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</si>
  <si>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</si>
  <si>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</si>
  <si>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</si>
  <si>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</si>
  <si>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</si>
  <si>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</si>
  <si>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</si>
  <si>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</si>
  <si>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</si>
  <si>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</si>
  <si>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</si>
  <si>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</si>
  <si>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</si>
  <si>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</si>
  <si>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</si>
  <si>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</si>
  <si>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</si>
  <si>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</si>
  <si>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</si>
  <si>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</si>
  <si>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</si>
  <si>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</si>
  <si>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</si>
  <si>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</si>
  <si>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</si>
  <si>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</si>
  <si>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</si>
  <si>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</si>
  <si>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</si>
  <si>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</si>
  <si>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</si>
  <si>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</si>
  <si>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</si>
  <si>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</si>
  <si>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</si>
  <si>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</si>
  <si>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</si>
  <si>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</si>
  <si>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</si>
  <si>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</si>
  <si>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</si>
  <si>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</si>
  <si>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</si>
  <si>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</si>
  <si>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</si>
  <si>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</si>
  <si>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</si>
  <si>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</si>
  <si>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</si>
  <si>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</si>
  <si>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</si>
  <si>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</si>
  <si>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</si>
  <si>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</si>
  <si>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</si>
  <si>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</si>
  <si>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</si>
  <si>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</si>
  <si>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</si>
  <si>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</si>
  <si>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</si>
  <si>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</si>
  <si>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</si>
  <si>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</si>
  <si>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</si>
  <si>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</si>
  <si>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</si>
  <si>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</si>
  <si>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</si>
  <si>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</si>
  <si>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</si>
  <si>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</si>
  <si>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</si>
  <si>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</si>
  <si>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</si>
  <si>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</si>
  <si>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</si>
  <si>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</si>
  <si>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</si>
  <si>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</si>
  <si>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</si>
  <si>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</si>
  <si>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</si>
  <si>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</si>
  <si>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</si>
  <si>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</si>
  <si>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</si>
  <si>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</si>
  <si>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</si>
  <si>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</si>
  <si>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</si>
  <si>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</si>
  <si>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</si>
  <si>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</si>
  <si>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</si>
  <si>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</si>
  <si>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</si>
  <si>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</si>
  <si>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</si>
  <si>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</si>
  <si>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</si>
  <si>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</si>
  <si>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</si>
  <si>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</si>
  <si>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</si>
  <si>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</si>
  <si>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</si>
  <si>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</si>
  <si>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</si>
  <si>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</si>
  <si>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</si>
  <si>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</si>
  <si>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</si>
  <si>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</si>
  <si>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</si>
  <si>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</si>
  <si>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</si>
  <si>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</si>
  <si>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</si>
  <si>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</si>
  <si>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</si>
  <si>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</si>
  <si>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</si>
  <si>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</si>
  <si>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</si>
  <si>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</si>
  <si>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</si>
  <si>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</si>
  <si>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</si>
  <si>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</si>
  <si>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</si>
  <si>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</si>
  <si>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</si>
  <si>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</si>
  <si>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</si>
  <si>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</si>
  <si>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</si>
  <si>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</si>
  <si>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</si>
  <si>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</si>
  <si>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</si>
  <si>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</si>
  <si>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</si>
  <si>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</si>
  <si>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</si>
  <si>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</si>
  <si>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</si>
  <si>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</si>
  <si>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</si>
  <si>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</si>
  <si>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</si>
  <si>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</si>
  <si>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</si>
  <si>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</si>
  <si>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</si>
  <si>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</si>
  <si>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</si>
  <si>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</si>
  <si>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</si>
  <si>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</si>
  <si>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</si>
  <si>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</si>
  <si>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</si>
  <si>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</si>
  <si>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</si>
  <si>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</si>
  <si>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</si>
  <si>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</si>
  <si>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</si>
  <si>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</si>
  <si>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</si>
  <si>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</si>
  <si>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</si>
  <si>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</si>
  <si>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</si>
  <si>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</si>
  <si>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</si>
  <si>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</si>
  <si>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</si>
  <si>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</si>
  <si>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</si>
  <si>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</si>
  <si>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</si>
  <si>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</si>
  <si>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</si>
  <si>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</si>
  <si>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</si>
  <si>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</si>
  <si>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</si>
  <si>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</si>
  <si>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</si>
  <si>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</si>
  <si>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</si>
  <si>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</si>
  <si>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</si>
  <si>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</si>
  <si>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</si>
  <si>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</si>
  <si>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</si>
  <si>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</si>
  <si>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</si>
  <si>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</si>
  <si>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</si>
  <si>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</si>
  <si>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</si>
  <si>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</si>
  <si>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</si>
  <si>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</si>
  <si>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</si>
  <si>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</si>
  <si>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</si>
  <si>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</si>
  <si>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</si>
  <si>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</si>
  <si>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</si>
  <si>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</si>
  <si>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</si>
  <si>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</si>
  <si>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</si>
  <si>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</si>
  <si>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</si>
  <si>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</si>
  <si>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</si>
  <si>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</si>
  <si>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</si>
  <si>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</si>
  <si>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</si>
  <si>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</si>
  <si>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</si>
  <si>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</si>
  <si>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</si>
  <si>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</si>
  <si>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</si>
  <si>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</si>
  <si>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</si>
  <si>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</si>
  <si>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</si>
  <si>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</si>
  <si>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</si>
  <si>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</si>
  <si>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</si>
  <si>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</si>
  <si>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</si>
  <si>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</si>
  <si>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</si>
  <si>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</si>
  <si>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</si>
  <si>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</si>
  <si>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</si>
  <si>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</si>
  <si>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</si>
  <si>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</si>
  <si>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</si>
  <si>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</si>
  <si>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</si>
  <si>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</si>
  <si>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</si>
  <si>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</si>
  <si>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</si>
  <si>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</si>
  <si>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</si>
  <si>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</si>
  <si>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</si>
  <si>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</si>
  <si>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</si>
  <si>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</si>
  <si>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</si>
  <si>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</si>
  <si>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</si>
  <si>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</si>
  <si>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</si>
  <si>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</si>
  <si>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</si>
  <si>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</si>
  <si>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</si>
  <si>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</si>
  <si>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</si>
  <si>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</si>
  <si>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</si>
  <si>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</si>
  <si>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</si>
  <si>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</si>
  <si>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</si>
  <si>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</si>
  <si>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</si>
  <si>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</si>
  <si>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</si>
  <si>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</si>
  <si>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</si>
  <si>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</si>
  <si>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</si>
  <si>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</si>
  <si>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</si>
  <si>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</si>
  <si>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</si>
  <si>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</si>
  <si>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</si>
  <si>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</si>
  <si>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</si>
  <si>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</si>
  <si>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</si>
  <si>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</si>
  <si>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</si>
  <si>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</si>
  <si>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</si>
  <si>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</si>
  <si>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</si>
  <si>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</si>
  <si>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</si>
  <si>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</si>
  <si>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</si>
  <si>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</si>
  <si>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</si>
  <si>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</si>
  <si>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</si>
  <si>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</si>
  <si>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</si>
  <si>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</si>
  <si>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</si>
  <si>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</si>
  <si>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</si>
  <si>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</si>
  <si>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</si>
  <si>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</si>
  <si>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</si>
  <si>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</si>
  <si>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</si>
  <si>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</si>
  <si>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</si>
  <si>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</si>
  <si>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</si>
  <si>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</si>
  <si>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</si>
  <si>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</si>
  <si>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</si>
  <si>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</si>
  <si>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</si>
  <si>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</si>
  <si>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</si>
  <si>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</si>
  <si>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</si>
  <si>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</si>
  <si>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</si>
  <si>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</si>
  <si>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</si>
  <si>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</si>
  <si>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</si>
  <si>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</si>
  <si>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</si>
  <si>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</si>
  <si>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</si>
  <si>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</si>
  <si>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</si>
  <si>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</si>
  <si>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</si>
  <si>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</si>
  <si>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</si>
  <si>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</si>
  <si>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</si>
  <si>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</si>
  <si>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</si>
  <si>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</si>
  <si>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</si>
  <si>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</si>
  <si>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</si>
  <si>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</si>
  <si>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</si>
  <si>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</si>
  <si>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</si>
  <si>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</si>
  <si>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</si>
  <si>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</si>
  <si>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</si>
  <si>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</si>
  <si>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</si>
  <si>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</si>
  <si>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</si>
  <si>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</si>
  <si>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</si>
  <si>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</si>
  <si>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</si>
  <si>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</si>
  <si>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</si>
  <si>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</si>
  <si>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</si>
  <si>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</si>
  <si>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</si>
  <si>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</si>
  <si>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</si>
  <si>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</si>
  <si>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</si>
  <si>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</si>
  <si>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</si>
  <si>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</si>
  <si>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</si>
  <si>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</si>
  <si>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</si>
  <si>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</si>
  <si>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</si>
  <si>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</si>
  <si>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</si>
  <si>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</si>
  <si>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</si>
  <si>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</si>
  <si>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</si>
  <si>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</si>
  <si>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</si>
  <si>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</si>
  <si>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</si>
  <si>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</si>
  <si>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</si>
  <si>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</si>
  <si>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</si>
  <si>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</si>
  <si>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</si>
  <si>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</si>
  <si>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</si>
  <si>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</si>
  <si>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</si>
  <si>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</si>
  <si>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</si>
  <si>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</si>
  <si>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</si>
  <si>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</si>
  <si>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</si>
  <si>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</si>
  <si>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</si>
  <si>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</si>
  <si>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</si>
  <si>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</si>
  <si>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</si>
  <si>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</si>
  <si>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</si>
  <si>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</si>
  <si>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</si>
  <si>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</si>
  <si>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</si>
  <si>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</si>
  <si>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</si>
  <si>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</si>
  <si>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</si>
  <si>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</si>
  <si>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</si>
  <si>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</si>
  <si>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</si>
  <si>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</si>
  <si>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</si>
  <si>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</si>
  <si>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</si>
  <si>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</si>
  <si>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</si>
  <si>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</si>
  <si>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</si>
  <si>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</si>
  <si>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</si>
  <si>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</si>
  <si>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</si>
  <si>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</si>
  <si>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</si>
  <si>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</si>
  <si>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</si>
  <si>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</si>
  <si>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</si>
  <si>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</si>
  <si>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</si>
  <si>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</si>
  <si>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</si>
  <si>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</si>
  <si>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</si>
  <si>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</si>
  <si>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</si>
  <si>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</si>
  <si>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</si>
  <si>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</si>
  <si>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</si>
  <si>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</si>
  <si>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</si>
  <si>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</si>
  <si>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</si>
  <si>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</si>
  <si>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</si>
  <si>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</si>
  <si>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</si>
  <si>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</si>
  <si>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</si>
  <si>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</si>
  <si>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</si>
  <si>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</si>
  <si>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</si>
  <si>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</si>
  <si>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</si>
  <si>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</si>
  <si>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</si>
  <si>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</si>
  <si>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</si>
  <si>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</si>
  <si>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</si>
  <si>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</si>
  <si>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</si>
  <si>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</si>
  <si>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</si>
  <si>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</si>
  <si>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</si>
  <si>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</si>
  <si>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</si>
  <si>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</si>
  <si>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</si>
  <si>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</si>
  <si>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</si>
  <si>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</si>
  <si>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</si>
  <si>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</si>
  <si>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</si>
  <si>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</si>
  <si>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</si>
  <si>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</si>
  <si>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</si>
  <si>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</si>
  <si>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</si>
  <si>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</si>
  <si>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</si>
  <si>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</si>
  <si>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</si>
  <si>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</si>
  <si>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</si>
  <si>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</si>
  <si>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</si>
  <si>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</si>
  <si>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</si>
  <si>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</si>
  <si>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</si>
  <si>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</si>
  <si>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</si>
  <si>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</si>
  <si>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</si>
  <si>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</si>
  <si>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</si>
  <si>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</si>
  <si>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</si>
  <si>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</si>
  <si>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</si>
  <si>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</si>
  <si>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</si>
  <si>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</si>
  <si>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</si>
  <si>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</si>
  <si>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</si>
  <si>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</si>
  <si>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</si>
  <si>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</si>
  <si>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</si>
  <si>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</si>
  <si>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</si>
  <si>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</si>
  <si>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</si>
  <si>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</si>
  <si>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</si>
  <si>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</si>
  <si>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</si>
  <si>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</si>
  <si>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</si>
  <si>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</si>
  <si>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</si>
  <si>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</si>
  <si>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</si>
  <si>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</si>
  <si>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</si>
  <si>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</si>
  <si>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</si>
  <si>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</si>
  <si>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</si>
  <si>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</si>
  <si>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</si>
  <si>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</si>
  <si>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</si>
  <si>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</si>
  <si>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</si>
  <si>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</si>
  <si>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</si>
  <si>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</si>
  <si>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</si>
  <si>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</si>
  <si>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</si>
  <si>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</si>
  <si>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</si>
  <si>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</si>
  <si>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</si>
  <si>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</si>
  <si>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</si>
  <si>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</si>
  <si>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</si>
  <si>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</si>
  <si>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</si>
  <si>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</si>
  <si>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</si>
  <si>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</si>
  <si>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</si>
  <si>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</si>
  <si>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</si>
  <si>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</si>
  <si>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</si>
  <si>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</si>
  <si>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</si>
  <si>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</si>
  <si>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</si>
  <si>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</si>
  <si>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</si>
  <si>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</si>
  <si>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</si>
  <si>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</si>
  <si>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</si>
  <si>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</si>
  <si>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</si>
  <si>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</si>
  <si>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</si>
  <si>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</si>
  <si>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</si>
  <si>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</si>
  <si>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</si>
  <si>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</si>
  <si>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</si>
  <si>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</si>
  <si>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</si>
  <si>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</si>
  <si>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</si>
  <si>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</si>
  <si>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</si>
  <si>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</si>
  <si>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</si>
  <si>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</si>
  <si>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</si>
  <si>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</si>
  <si>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</si>
  <si>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</si>
  <si>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</si>
  <si>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</si>
  <si>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</si>
  <si>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</si>
  <si>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</si>
  <si>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</si>
  <si>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</si>
  <si>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</si>
  <si>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</si>
  <si>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</si>
  <si>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</si>
  <si>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</si>
  <si>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</si>
  <si>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</si>
  <si>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</si>
  <si>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</si>
  <si>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</si>
  <si>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</si>
  <si>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</si>
  <si>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</si>
  <si>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</si>
  <si>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</si>
  <si>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</si>
  <si>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</si>
  <si>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</si>
  <si>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</si>
  <si>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</si>
  <si>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</si>
  <si>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</si>
  <si>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</si>
  <si>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</si>
  <si>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</si>
  <si>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</si>
  <si>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</si>
  <si>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</si>
  <si>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</si>
  <si>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</si>
  <si>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</si>
  <si>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</si>
  <si>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</si>
  <si>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</si>
  <si>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</si>
  <si>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</si>
  <si>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</si>
  <si>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</si>
  <si>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</si>
  <si>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</si>
  <si>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</si>
  <si>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</si>
  <si>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</si>
  <si>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</si>
  <si>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</si>
  <si>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</si>
  <si>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</si>
  <si>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</si>
  <si>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</si>
  <si>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</si>
  <si>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</si>
  <si>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</si>
  <si>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</si>
  <si>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</si>
  <si>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</si>
  <si>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</si>
  <si>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</si>
  <si>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</si>
  <si>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</si>
  <si>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</si>
  <si>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</si>
  <si>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</si>
  <si>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</si>
  <si>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</si>
  <si>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</si>
  <si>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</si>
  <si>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</si>
  <si>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</si>
  <si>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</si>
  <si>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</si>
  <si>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</si>
  <si>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</si>
  <si>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</si>
  <si>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</si>
  <si>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</si>
  <si>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</si>
  <si>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</si>
  <si>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</si>
  <si>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</si>
  <si>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</si>
  <si>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</si>
  <si>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</si>
  <si>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</si>
  <si>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</si>
  <si>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</si>
  <si>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</si>
  <si>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</si>
  <si>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</si>
  <si>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</si>
  <si>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</si>
  <si>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</si>
  <si>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</si>
  <si>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</si>
  <si>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</si>
  <si>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</si>
  <si>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</si>
  <si>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</si>
  <si>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</si>
  <si>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</si>
  <si>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</si>
  <si>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</si>
  <si>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</si>
  <si>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</si>
  <si>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</si>
  <si>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</si>
  <si>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</si>
  <si>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</si>
  <si>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</si>
  <si>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</si>
  <si>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</si>
  <si>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</si>
  <si>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</si>
  <si>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</si>
  <si>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</si>
  <si>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</si>
  <si>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</si>
  <si>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</si>
  <si>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</si>
  <si>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</si>
  <si>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</si>
  <si>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</si>
  <si>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</si>
  <si>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</si>
  <si>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</si>
  <si>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</si>
  <si>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</si>
  <si>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</si>
  <si>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</si>
  <si>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</si>
  <si>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</si>
  <si>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</si>
  <si>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</si>
  <si>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</si>
  <si>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</si>
  <si>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</si>
  <si>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</si>
  <si>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</si>
  <si>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</si>
  <si>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</si>
  <si>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</si>
  <si>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</si>
  <si>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</si>
  <si>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</si>
  <si>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</si>
  <si>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</si>
  <si>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</si>
  <si>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</si>
  <si>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</si>
  <si>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</si>
  <si>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</si>
  <si>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</si>
  <si>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</si>
  <si>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</si>
  <si>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</si>
  <si>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</si>
  <si>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</si>
  <si>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</si>
  <si>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</si>
  <si>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</si>
  <si>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</si>
  <si>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</si>
  <si>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</si>
  <si>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</si>
  <si>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</si>
  <si>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</si>
  <si>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</si>
  <si>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</si>
  <si>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</si>
  <si>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</si>
  <si>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</si>
  <si>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</si>
  <si>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</si>
  <si>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</si>
  <si>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</si>
  <si>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</si>
  <si>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</si>
  <si>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</si>
  <si>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</si>
  <si>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</si>
  <si>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</si>
  <si>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</si>
  <si>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</si>
  <si>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</si>
  <si>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</si>
  <si>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</si>
  <si>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</si>
  <si>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</si>
  <si>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</si>
  <si>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</si>
  <si>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</si>
  <si>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</si>
  <si>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</si>
  <si>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</si>
  <si>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</si>
  <si>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</si>
  <si>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</si>
  <si>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</si>
  <si>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</si>
  <si>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</si>
  <si>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</si>
  <si>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</si>
  <si>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</si>
  <si>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</si>
  <si>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</si>
  <si>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</si>
  <si>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</si>
  <si>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</si>
  <si>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</si>
  <si>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</si>
  <si>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</si>
  <si>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</si>
  <si>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</si>
  <si>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</si>
  <si>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</si>
  <si>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</si>
  <si>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</si>
  <si>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</si>
  <si>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</si>
  <si>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</si>
  <si>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</si>
  <si>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</si>
  <si>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</si>
  <si>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</si>
  <si>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</si>
  <si>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</si>
  <si>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</si>
  <si>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</si>
  <si>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</si>
  <si>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</si>
  <si>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</si>
  <si>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</si>
  <si>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</si>
  <si>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</si>
  <si>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</si>
  <si>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</si>
  <si>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</si>
  <si>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</si>
  <si>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</si>
  <si>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</si>
  <si>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</si>
  <si>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</si>
  <si>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</si>
  <si>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</si>
  <si>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</si>
  <si>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</si>
  <si>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</si>
  <si>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</si>
  <si>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</si>
  <si>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</si>
  <si>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</si>
  <si>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</si>
  <si>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</si>
  <si>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</si>
  <si>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</si>
  <si>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</si>
  <si>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</si>
  <si>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</si>
  <si>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</si>
  <si>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</si>
  <si>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</si>
  <si>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</si>
  <si>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</si>
  <si>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</si>
  <si>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</si>
  <si>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</si>
  <si>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</si>
  <si>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</si>
  <si>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</si>
  <si>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</si>
  <si>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</si>
  <si>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</si>
  <si>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</si>
  <si>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</si>
  <si>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</si>
  <si>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</si>
  <si>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</si>
  <si>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</si>
  <si>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</si>
  <si>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</si>
  <si>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</si>
  <si>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</si>
  <si>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</si>
  <si>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</si>
  <si>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</si>
  <si>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</si>
  <si>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</si>
  <si>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</si>
  <si>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</si>
  <si>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</si>
  <si>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</si>
  <si>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</si>
  <si>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</si>
  <si>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</si>
  <si>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</si>
  <si>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</si>
  <si>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</si>
  <si>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</si>
  <si>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</si>
  <si>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</si>
  <si>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</si>
  <si>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</si>
  <si>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</si>
  <si>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</si>
  <si>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</si>
  <si>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</si>
  <si>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</si>
  <si>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</si>
  <si>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</si>
  <si>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</si>
  <si>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</si>
  <si>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</si>
  <si>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</si>
  <si>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</si>
  <si>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</si>
  <si>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</si>
  <si>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</si>
  <si>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</si>
  <si>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</si>
  <si>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</si>
  <si>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</si>
  <si>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</si>
  <si>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</si>
  <si>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</si>
  <si>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</si>
  <si>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</si>
  <si>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</si>
  <si>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</si>
  <si>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</si>
  <si>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</si>
  <si>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</si>
  <si>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</si>
  <si>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</si>
  <si>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</si>
  <si>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</si>
  <si>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</si>
  <si>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</si>
  <si>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</si>
  <si>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</si>
  <si>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</si>
  <si>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</si>
  <si>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</si>
  <si>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</si>
  <si>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</si>
  <si>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</si>
  <si>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</si>
  <si>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</si>
  <si>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</si>
  <si>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</si>
  <si>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</si>
  <si>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</si>
  <si>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</si>
  <si>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</si>
  <si>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</si>
  <si>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</si>
  <si>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</si>
  <si>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</si>
  <si>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</si>
  <si>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</si>
  <si>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</si>
  <si>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</si>
  <si>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</si>
  <si>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</si>
  <si>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</si>
  <si>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</si>
  <si>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</si>
  <si>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</si>
  <si>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</si>
  <si>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</si>
  <si>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</si>
  <si>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</si>
  <si>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</si>
  <si>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</si>
  <si>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</si>
  <si>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</si>
  <si>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</si>
  <si>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</si>
  <si>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</si>
  <si>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</si>
  <si>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</si>
  <si>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</si>
  <si>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</si>
  <si>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</si>
  <si>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</si>
  <si>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</si>
  <si>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</si>
  <si>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</si>
  <si>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</si>
  <si>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</si>
  <si>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</si>
  <si>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</si>
  <si>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</si>
  <si>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</si>
  <si>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</si>
  <si>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</si>
  <si>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</si>
  <si>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</si>
  <si>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</si>
  <si>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</si>
  <si>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</si>
  <si>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</si>
  <si>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</si>
  <si>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</si>
  <si>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</si>
  <si>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</si>
  <si>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</si>
  <si>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</si>
  <si>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</si>
  <si>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</si>
  <si>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</si>
  <si>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</si>
  <si>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</si>
  <si>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</si>
  <si>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</si>
  <si>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</si>
  <si>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</si>
  <si>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</si>
  <si>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</si>
  <si>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</si>
  <si>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</si>
  <si>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</si>
  <si>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</si>
  <si>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</si>
  <si>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</si>
  <si>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</si>
  <si>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</si>
  <si>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</si>
  <si>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</si>
  <si>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</si>
  <si>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</si>
  <si>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</si>
  <si>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</si>
  <si>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</si>
  <si>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</si>
  <si>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</si>
  <si>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</si>
  <si>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</si>
  <si>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</si>
  <si>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</si>
  <si>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</si>
  <si>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</si>
  <si>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</si>
  <si>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</si>
  <si>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</si>
  <si>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</si>
  <si>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</si>
  <si>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</si>
  <si>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</si>
  <si>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</si>
  <si>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</si>
  <si>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</si>
  <si>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</si>
  <si>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</si>
  <si>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</si>
  <si>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</si>
  <si>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</si>
  <si>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</si>
  <si>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</si>
  <si>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</si>
  <si>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</si>
  <si>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</si>
  <si>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</si>
  <si>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</si>
  <si>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</si>
  <si>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</si>
  <si>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</si>
  <si>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</si>
  <si>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</si>
  <si>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</si>
  <si>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</si>
  <si>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</si>
  <si>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</si>
  <si>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</si>
  <si>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</si>
  <si>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</si>
  <si>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</si>
  <si>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</si>
  <si>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</si>
  <si>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</si>
  <si>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</si>
  <si>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</si>
  <si>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</si>
  <si>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</si>
  <si>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</si>
  <si>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</si>
  <si>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</si>
  <si>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</si>
  <si>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</si>
  <si>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</si>
  <si>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</si>
  <si>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</si>
  <si>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</si>
  <si>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</si>
  <si>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</si>
  <si>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</si>
  <si>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</si>
  <si>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</si>
  <si>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</si>
  <si>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</si>
  <si>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</si>
  <si>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</si>
  <si>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</si>
  <si>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</si>
  <si>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</si>
  <si>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</si>
  <si>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</si>
  <si>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</si>
  <si>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</si>
  <si>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</si>
  <si>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</si>
  <si>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</si>
  <si>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</si>
  <si>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</si>
  <si>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</si>
  <si>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</si>
  <si>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</si>
  <si>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</si>
  <si>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</si>
  <si>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</si>
  <si>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</si>
  <si>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</si>
  <si>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</si>
  <si>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</si>
  <si>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</si>
  <si>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</si>
  <si>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</si>
  <si>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</si>
  <si>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</si>
  <si>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</si>
  <si>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</si>
  <si>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</si>
  <si>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</si>
  <si>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</si>
  <si>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</si>
  <si>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</si>
  <si>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</si>
  <si>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</si>
  <si>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</si>
  <si>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</si>
  <si>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</si>
  <si>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</si>
  <si>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</si>
  <si>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</si>
  <si>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</si>
  <si>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</si>
  <si>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</si>
  <si>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</si>
  <si>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</si>
  <si>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</si>
  <si>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</si>
  <si>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</si>
  <si>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</si>
  <si>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</si>
  <si>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</si>
  <si>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</si>
  <si>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</si>
  <si>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</si>
  <si>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</si>
  <si>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</si>
  <si>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</si>
  <si>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</si>
  <si>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</si>
  <si>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</si>
  <si>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</si>
  <si>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</si>
  <si>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</si>
  <si>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</si>
  <si>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</si>
  <si>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</si>
  <si>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</si>
  <si>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</si>
  <si>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</si>
  <si>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</si>
  <si>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</si>
  <si>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</si>
  <si>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</si>
  <si>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</si>
  <si>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</si>
  <si>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</si>
  <si>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</si>
  <si>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</si>
  <si>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</si>
  <si>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</si>
  <si>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</si>
  <si>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</si>
  <si>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</si>
  <si>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</si>
  <si>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</si>
  <si>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</si>
  <si>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</si>
  <si>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</si>
  <si>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</si>
  <si>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</si>
  <si>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</si>
  <si>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</si>
  <si>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</si>
  <si>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</si>
  <si>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</si>
  <si>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</si>
  <si>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</si>
  <si>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</si>
  <si>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</si>
  <si>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</si>
  <si>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</si>
  <si>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</si>
  <si>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</si>
  <si>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</si>
  <si>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</si>
  <si>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</si>
  <si>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</si>
  <si>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</si>
  <si>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</si>
  <si>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</si>
  <si>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</si>
  <si>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</si>
  <si>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</si>
  <si>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</si>
  <si>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</si>
  <si>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</si>
  <si>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</si>
  <si>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</si>
  <si>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</si>
  <si>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</si>
  <si>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</si>
  <si>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</si>
  <si>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</si>
  <si>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</si>
  <si>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</si>
  <si>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</si>
  <si>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</si>
  <si>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</si>
  <si>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</si>
  <si>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</si>
  <si>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</si>
  <si>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</si>
  <si>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</si>
  <si>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</si>
  <si>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</si>
  <si>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</si>
  <si>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</si>
  <si>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</si>
  <si>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</si>
  <si>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</si>
  <si>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</si>
  <si>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</si>
  <si>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</si>
  <si>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</si>
  <si>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</si>
  <si>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</si>
  <si>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</si>
  <si>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</si>
  <si>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</si>
  <si>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</si>
  <si>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</si>
  <si>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</si>
  <si>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</si>
  <si>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</si>
  <si>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</si>
  <si>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</si>
  <si>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</si>
  <si>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</si>
  <si>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</si>
  <si>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</si>
  <si>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</si>
  <si>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</si>
  <si>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</si>
  <si>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</si>
  <si>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</si>
  <si>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</si>
  <si>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</si>
  <si>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</si>
  <si>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</si>
  <si>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</si>
  <si>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</si>
  <si>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</si>
  <si>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</si>
  <si>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</si>
  <si>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</si>
  <si>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</si>
  <si>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</si>
  <si>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</si>
  <si>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</si>
  <si>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</si>
  <si>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</si>
  <si>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</si>
  <si>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</si>
  <si>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</si>
  <si>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</si>
  <si>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</si>
  <si>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</si>
  <si>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</si>
  <si>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</si>
  <si>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</si>
  <si>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</si>
  <si>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</si>
  <si>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</si>
  <si>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</si>
  <si>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</si>
  <si>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</si>
  <si>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</si>
  <si>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</si>
  <si>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</si>
  <si>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</si>
  <si>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</si>
  <si>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</si>
  <si>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</si>
  <si>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</si>
  <si>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</si>
  <si>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</si>
  <si>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</si>
  <si>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</si>
  <si>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</si>
  <si>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</si>
  <si>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</si>
  <si>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</si>
  <si>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</si>
  <si>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</si>
  <si>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</si>
  <si>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</si>
  <si>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</si>
  <si>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</si>
  <si>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</si>
  <si>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</si>
  <si>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</si>
  <si>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</si>
  <si>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</si>
  <si>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</si>
  <si>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</si>
  <si>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</si>
  <si>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</si>
  <si>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</si>
  <si>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</si>
  <si>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</si>
  <si>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</si>
  <si>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</si>
  <si>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</si>
  <si>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</si>
  <si>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</si>
  <si>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</si>
  <si>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</si>
  <si>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</si>
  <si>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</si>
  <si>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</si>
  <si>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</si>
  <si>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</si>
  <si>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</si>
  <si>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</si>
  <si>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</si>
  <si>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</si>
  <si>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</si>
  <si>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</si>
  <si>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</si>
  <si>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</si>
  <si>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</si>
  <si>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</si>
  <si>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</si>
  <si>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</si>
  <si>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</si>
  <si>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</si>
  <si>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</si>
  <si>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</si>
  <si>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</si>
  <si>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</si>
  <si>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</si>
  <si>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</si>
  <si>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</si>
  <si>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</si>
  <si>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</si>
  <si>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</si>
  <si>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</si>
  <si>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</si>
  <si>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</si>
  <si>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</si>
  <si>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</si>
  <si>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</si>
  <si>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</si>
  <si>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</si>
  <si>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</si>
  <si>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</si>
  <si>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</si>
  <si>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</si>
  <si>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</si>
  <si>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</si>
  <si>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</si>
  <si>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</si>
  <si>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</si>
  <si>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</si>
  <si>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</si>
  <si>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</si>
  <si>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</si>
  <si>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</si>
  <si>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</si>
  <si>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</si>
  <si>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</si>
  <si>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</si>
  <si>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</si>
  <si>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</si>
  <si>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</si>
  <si>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</si>
  <si>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</si>
  <si>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</si>
  <si>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</si>
  <si>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</si>
  <si>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</si>
  <si>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</si>
  <si>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</si>
  <si>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</si>
  <si>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</si>
  <si>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</si>
  <si>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</si>
  <si>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</si>
  <si>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</si>
  <si>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</si>
  <si>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</si>
  <si>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</si>
  <si>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</si>
  <si>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</si>
  <si>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</si>
  <si>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</si>
  <si>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</si>
  <si>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</si>
  <si>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</si>
  <si>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</si>
  <si>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</si>
  <si>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</si>
  <si>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</si>
  <si>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</si>
  <si>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</si>
  <si>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</si>
  <si>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</si>
  <si>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</si>
  <si>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</si>
  <si>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</si>
  <si>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</si>
  <si>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</si>
  <si>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</si>
  <si>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</si>
  <si>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</si>
  <si>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</si>
  <si>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</si>
  <si>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</si>
  <si>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</si>
  <si>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</si>
  <si>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</si>
  <si>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</si>
  <si>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</si>
  <si>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</si>
  <si>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</si>
  <si>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</si>
  <si>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</si>
  <si>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</si>
  <si>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</si>
  <si>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</si>
  <si>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</si>
  <si>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</si>
  <si>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</si>
  <si>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</si>
  <si>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</si>
  <si>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</si>
  <si>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</si>
  <si>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</si>
  <si>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</si>
  <si>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</si>
  <si>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</si>
  <si>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</si>
  <si>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</si>
  <si>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</si>
  <si>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</si>
  <si>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</si>
  <si>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</si>
  <si>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</si>
  <si>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</si>
  <si>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</si>
  <si>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</si>
  <si>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</si>
  <si>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</si>
  <si>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</si>
  <si>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</si>
  <si>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</si>
  <si>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</si>
  <si>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</si>
  <si>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</si>
  <si>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</si>
  <si>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</si>
  <si>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</si>
  <si>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</si>
  <si>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</si>
  <si>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</si>
  <si>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</si>
  <si>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</si>
  <si>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</si>
  <si>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</si>
  <si>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</si>
  <si>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</si>
  <si>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</si>
  <si>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</si>
  <si>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</si>
  <si>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</si>
  <si>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</si>
  <si>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</si>
  <si>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</si>
  <si>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</si>
  <si>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</si>
  <si>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</si>
  <si>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</si>
  <si>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</si>
  <si>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</si>
  <si>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</si>
  <si>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</si>
  <si>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</si>
  <si>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</si>
  <si>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</si>
  <si>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</si>
  <si>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</si>
  <si>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</si>
  <si>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</si>
  <si>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</si>
  <si>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</si>
  <si>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</si>
  <si>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</si>
  <si>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</si>
  <si>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</si>
  <si>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</si>
  <si>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</si>
  <si>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</si>
  <si>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</si>
  <si>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</si>
  <si>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</si>
  <si>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</si>
  <si>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</si>
  <si>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</si>
  <si>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</si>
  <si>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</si>
  <si>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</si>
  <si>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</si>
  <si>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</si>
  <si>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</si>
  <si>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</si>
  <si>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</si>
  <si>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</si>
  <si>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</si>
  <si>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</si>
  <si>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</si>
  <si>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</si>
  <si>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</si>
  <si>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</si>
  <si>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</si>
  <si>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</si>
  <si>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</si>
  <si>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</si>
  <si>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</si>
  <si>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</si>
  <si>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</si>
  <si>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</si>
  <si>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</si>
  <si>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</si>
  <si>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</si>
  <si>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</si>
  <si>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</si>
  <si>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</si>
  <si>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</si>
  <si>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</si>
  <si>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</si>
  <si>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</si>
  <si>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</si>
  <si>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</si>
  <si>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</si>
  <si>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</si>
  <si>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</si>
  <si>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</si>
  <si>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</si>
  <si>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</si>
  <si>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</si>
  <si>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</si>
  <si>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</si>
  <si>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</si>
  <si>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</si>
  <si>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</si>
  <si>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</si>
  <si>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</si>
  <si>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</si>
  <si>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</si>
  <si>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</si>
  <si>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</si>
  <si>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</si>
  <si>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</si>
  <si>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</si>
  <si>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</si>
  <si>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</si>
  <si>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</si>
  <si>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</si>
  <si>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</si>
  <si>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</si>
  <si>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</si>
  <si>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</si>
  <si>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</si>
  <si>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</si>
  <si>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</si>
  <si>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</si>
  <si>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</si>
  <si>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</si>
  <si>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</si>
  <si>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</si>
  <si>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</si>
  <si>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</si>
  <si>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</si>
  <si>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</si>
  <si>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</si>
  <si>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</si>
  <si>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</si>
  <si>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</si>
  <si>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</si>
  <si>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</si>
  <si>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</si>
  <si>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</si>
  <si>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</si>
  <si>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</si>
  <si>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</si>
  <si>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</si>
  <si>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</si>
  <si>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</si>
  <si>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</si>
  <si>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</si>
  <si>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</si>
  <si>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</si>
  <si>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</si>
  <si>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</si>
  <si>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</si>
  <si>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</si>
  <si>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</si>
  <si>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</si>
  <si>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</si>
  <si>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</si>
  <si>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</si>
  <si>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</si>
  <si>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</si>
  <si>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</si>
  <si>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</si>
  <si>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</si>
  <si>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</si>
  <si>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</si>
  <si>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</si>
  <si>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</si>
  <si>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</si>
  <si>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</si>
  <si>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</si>
  <si>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</si>
  <si>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</si>
  <si>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</si>
  <si>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</si>
  <si>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</si>
  <si>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</si>
  <si>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</si>
  <si>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</si>
  <si>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</si>
  <si>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</si>
  <si>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</si>
  <si>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</si>
  <si>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</si>
  <si>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</si>
  <si>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</si>
  <si>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</si>
  <si>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</si>
  <si>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</si>
  <si>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</si>
  <si>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</si>
  <si>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</si>
  <si>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</si>
  <si>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</si>
  <si>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</si>
  <si>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</si>
  <si>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</si>
  <si>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</si>
  <si>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</si>
  <si>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</si>
  <si>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</si>
  <si>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</si>
  <si>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</si>
  <si>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</si>
  <si>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</si>
  <si>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</si>
  <si>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</si>
  <si>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</si>
  <si>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</si>
  <si>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</si>
  <si>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</si>
  <si>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</si>
  <si>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</si>
  <si>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</si>
  <si>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</si>
  <si>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</si>
  <si>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</si>
  <si>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</si>
  <si>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</si>
  <si>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</si>
  <si>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</si>
  <si>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</si>
  <si>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</si>
  <si>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</si>
  <si>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</si>
  <si>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</si>
  <si>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</si>
  <si>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</si>
  <si>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</si>
  <si>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</si>
  <si>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</si>
  <si>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</si>
  <si>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</si>
  <si>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</si>
  <si>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</si>
  <si>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</si>
  <si>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</si>
  <si>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</si>
  <si>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</si>
  <si>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</si>
  <si>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</si>
  <si>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</si>
  <si>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</si>
  <si>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</si>
  <si>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</si>
  <si>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</si>
  <si>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</si>
  <si>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</si>
  <si>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</si>
  <si>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</si>
  <si>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</si>
  <si>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</si>
  <si>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</si>
  <si>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</si>
  <si>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</si>
  <si>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</si>
  <si>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</si>
  <si>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</si>
  <si>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</si>
  <si>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</si>
  <si>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</si>
  <si>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</si>
  <si>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</si>
  <si>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</si>
  <si>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</si>
  <si>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</si>
  <si>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</si>
  <si>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</si>
  <si>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</si>
  <si>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</si>
  <si>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</si>
  <si>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</si>
  <si>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</si>
  <si>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</si>
  <si>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</si>
  <si>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</si>
  <si>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</si>
  <si>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</si>
  <si>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</si>
  <si>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</si>
  <si>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</si>
  <si>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</si>
  <si>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</si>
  <si>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</si>
  <si>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</si>
  <si>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</si>
  <si>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</si>
  <si>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</si>
  <si>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</si>
  <si>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</si>
  <si>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</si>
  <si>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</si>
  <si>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</si>
  <si>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</si>
  <si>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</si>
  <si>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</si>
  <si>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</si>
  <si>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</si>
  <si>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</si>
  <si>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</si>
  <si>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</si>
  <si>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</si>
  <si>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</si>
  <si>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</si>
  <si>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</si>
  <si>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</si>
  <si>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</si>
  <si>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</si>
  <si>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</si>
  <si>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</si>
  <si>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</si>
  <si>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</si>
  <si>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</si>
  <si>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</si>
  <si>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</si>
  <si>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</si>
  <si>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</si>
  <si>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</si>
  <si>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</si>
  <si>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</si>
  <si>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</si>
  <si>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</si>
  <si>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</si>
  <si>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</si>
  <si>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</si>
  <si>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</si>
  <si>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</si>
  <si>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</si>
  <si>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</si>
  <si>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</si>
  <si>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</si>
  <si>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</si>
  <si>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</si>
  <si>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</si>
  <si>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</si>
  <si>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</si>
  <si>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</si>
  <si>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</si>
  <si>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</si>
  <si>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</si>
  <si>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</si>
  <si>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</si>
  <si>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</si>
  <si>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</si>
  <si>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</si>
  <si>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</si>
  <si>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</si>
  <si>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</si>
  <si>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</si>
  <si>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</si>
  <si>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</si>
  <si>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</si>
  <si>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</si>
  <si>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</si>
  <si>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</si>
  <si>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</si>
  <si>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</si>
  <si>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</si>
  <si>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</si>
  <si>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</si>
  <si>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</si>
  <si>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</si>
  <si>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</si>
  <si>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</si>
  <si>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</si>
  <si>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</si>
  <si>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</si>
  <si>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</si>
  <si>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</si>
  <si>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</si>
  <si>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</si>
  <si>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</si>
  <si>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</si>
  <si>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</si>
  <si>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</si>
  <si>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</si>
  <si>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</si>
  <si>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</si>
  <si>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</si>
  <si>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</si>
  <si>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</si>
  <si>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</si>
  <si>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</si>
  <si>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</si>
  <si>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</si>
  <si>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</si>
  <si>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</si>
  <si>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</si>
  <si>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</si>
  <si>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</si>
  <si>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</si>
  <si>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</si>
  <si>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</si>
  <si>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</si>
  <si>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</si>
  <si>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</si>
  <si>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</si>
  <si>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</si>
  <si>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</si>
  <si>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</si>
  <si>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</si>
  <si>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</si>
  <si>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</si>
  <si>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</si>
  <si>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</si>
  <si>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</si>
  <si>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</si>
  <si>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</si>
  <si>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</si>
  <si>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</si>
  <si>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</si>
  <si>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</si>
  <si>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</si>
  <si>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</si>
  <si>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</si>
  <si>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</si>
  <si>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</si>
  <si>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</si>
  <si>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</si>
  <si>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</si>
  <si>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</si>
  <si>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</si>
  <si>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</si>
  <si>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</si>
  <si>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</si>
  <si>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</si>
  <si>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</si>
  <si>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</si>
  <si>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</si>
  <si>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</si>
  <si>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</si>
  <si>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</si>
  <si>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</si>
  <si>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</si>
  <si>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</si>
  <si>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</si>
  <si>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</si>
  <si>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</si>
  <si>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</si>
  <si>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</si>
  <si>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</si>
  <si>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</si>
  <si>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</si>
  <si>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</si>
  <si>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</si>
  <si>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</si>
  <si>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</si>
  <si>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</si>
  <si>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</si>
  <si>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</si>
  <si>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</si>
  <si>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</si>
  <si>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</si>
  <si>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</si>
  <si>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</si>
  <si>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</si>
  <si>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</si>
  <si>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</si>
  <si>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</si>
  <si>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</si>
  <si>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</si>
  <si>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</si>
  <si>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</si>
  <si>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</si>
  <si>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</si>
  <si>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</si>
  <si>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</si>
  <si>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</si>
  <si>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</si>
  <si>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</si>
  <si>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</si>
  <si>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</si>
  <si>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</si>
  <si>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</si>
  <si>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</si>
  <si>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</si>
  <si>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</si>
  <si>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</si>
  <si>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</si>
  <si>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</si>
  <si>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</si>
  <si>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</si>
  <si>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</si>
  <si>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</si>
  <si>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</si>
  <si>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</si>
  <si>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</si>
  <si>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</si>
  <si>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</si>
  <si>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</si>
  <si>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</si>
  <si>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</si>
  <si>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</si>
  <si>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</si>
  <si>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</si>
  <si>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</si>
  <si>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</si>
  <si>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</si>
  <si>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</si>
  <si>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</si>
  <si>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</si>
  <si>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</si>
  <si>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</si>
  <si>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</si>
  <si>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</si>
  <si>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</si>
  <si>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</si>
  <si>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</si>
  <si>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</si>
  <si>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</si>
  <si>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</si>
  <si>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</si>
  <si>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</si>
  <si>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</si>
  <si>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</si>
  <si>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</si>
  <si>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</si>
  <si>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</si>
  <si>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</si>
  <si>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</si>
  <si>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</si>
  <si>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</si>
  <si>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</si>
  <si>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</si>
  <si>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</si>
  <si>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</si>
  <si>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</si>
  <si>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</si>
  <si>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</si>
  <si>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</si>
  <si>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</si>
  <si>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</si>
  <si>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</si>
  <si>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</si>
  <si>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</si>
  <si>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</si>
  <si>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</si>
  <si>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</si>
  <si>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</si>
  <si>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</si>
  <si>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</si>
  <si>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</si>
  <si>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</si>
  <si>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</si>
  <si>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</si>
  <si>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</si>
  <si>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</si>
  <si>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</si>
  <si>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</si>
  <si>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</si>
  <si>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</si>
  <si>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</si>
  <si>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</si>
  <si>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</si>
  <si>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</si>
  <si>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</si>
  <si>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</si>
  <si>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</si>
  <si>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</si>
  <si>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</si>
  <si>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</si>
  <si>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</si>
  <si>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</si>
  <si>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</si>
  <si>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</si>
  <si>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</si>
  <si>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</si>
  <si>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</si>
  <si>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</si>
  <si>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</si>
  <si>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</si>
  <si>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</si>
  <si>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</si>
  <si>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</si>
  <si>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</si>
  <si>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</si>
  <si>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</si>
  <si>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</si>
  <si>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</si>
  <si>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</si>
  <si>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</si>
  <si>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</si>
  <si>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</si>
  <si>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</si>
  <si>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</si>
  <si>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</si>
  <si>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</si>
  <si>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</si>
  <si>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</si>
  <si>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</si>
  <si>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</si>
  <si>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</si>
  <si>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</si>
  <si>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</si>
  <si>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</si>
  <si>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</si>
  <si>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</si>
  <si>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</si>
  <si>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</si>
  <si>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</si>
  <si>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</si>
  <si>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</si>
  <si>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</si>
  <si>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</si>
  <si>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</si>
  <si>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</si>
  <si>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</si>
  <si>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</si>
  <si>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</si>
  <si>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</si>
  <si>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</si>
  <si>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</si>
  <si>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</si>
  <si>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</si>
  <si>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</si>
  <si>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</si>
  <si>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</si>
  <si>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</si>
  <si>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</si>
  <si>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</si>
  <si>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</si>
  <si>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</si>
  <si>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</si>
  <si>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</si>
  <si>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</si>
  <si>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</si>
  <si>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</si>
  <si>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</si>
  <si>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</si>
  <si>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</si>
  <si>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</si>
  <si>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</si>
  <si>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</si>
  <si>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</si>
  <si>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</si>
  <si>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</si>
  <si>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</si>
  <si>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</si>
  <si>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</si>
  <si>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</si>
  <si>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</si>
  <si>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</si>
  <si>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</si>
  <si>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</si>
  <si>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</si>
  <si>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</si>
  <si>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</si>
  <si>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</si>
  <si>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</si>
  <si>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</si>
  <si>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</si>
  <si>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</si>
  <si>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</si>
  <si>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</si>
  <si>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</si>
  <si>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</si>
  <si>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</si>
  <si>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</si>
  <si>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</si>
  <si>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</si>
  <si>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</si>
  <si>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</si>
  <si>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</si>
  <si>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</si>
  <si>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</si>
  <si>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</si>
  <si>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</si>
  <si>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</si>
  <si>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</si>
  <si>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</si>
  <si>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</si>
  <si>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</si>
  <si>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</si>
  <si>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</si>
  <si>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</si>
  <si>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</si>
  <si>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</si>
  <si>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</si>
  <si>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</si>
  <si>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</si>
  <si>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</si>
  <si>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</si>
  <si>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</si>
  <si>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</si>
  <si>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</si>
  <si>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</si>
  <si>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</si>
  <si>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</si>
  <si>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</si>
  <si>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</si>
  <si>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</si>
  <si>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</si>
  <si>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</si>
  <si>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</si>
  <si>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</si>
  <si>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</si>
  <si>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</si>
  <si>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</si>
  <si>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</si>
  <si>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</si>
  <si>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</si>
  <si>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</si>
  <si>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</si>
  <si>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</si>
  <si>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</si>
  <si>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</si>
  <si>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</si>
  <si>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</si>
  <si>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</si>
  <si>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</si>
  <si>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</si>
  <si>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</si>
  <si>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</si>
  <si>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</si>
  <si>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</si>
  <si>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</si>
  <si>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</si>
  <si>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</si>
  <si>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</si>
  <si>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</si>
  <si>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</si>
  <si>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</si>
  <si>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</si>
  <si>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</si>
  <si>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</si>
  <si>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</si>
  <si>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</si>
  <si>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</si>
  <si>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</si>
  <si>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</si>
  <si>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</si>
  <si>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</si>
  <si>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</si>
  <si>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</si>
  <si>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</si>
  <si>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</si>
  <si>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</si>
  <si>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</si>
  <si>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</si>
  <si>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</si>
  <si>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</si>
  <si>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</si>
  <si>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</si>
  <si>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</si>
  <si>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</si>
  <si>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</si>
  <si>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</si>
  <si>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</si>
  <si>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</si>
  <si>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</si>
  <si>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</si>
  <si>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</si>
  <si>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</si>
  <si>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</si>
  <si>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</si>
  <si>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</si>
  <si>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</si>
  <si>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</si>
  <si>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</si>
  <si>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</si>
  <si>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</si>
  <si>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</si>
  <si>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</si>
  <si>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</si>
  <si>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</si>
  <si>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</si>
  <si>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</si>
  <si>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</si>
  <si>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</si>
  <si>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</si>
  <si>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</si>
  <si>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</si>
  <si>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</si>
  <si>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</si>
  <si>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</si>
  <si>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</si>
  <si>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</si>
  <si>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</si>
  <si>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</si>
  <si>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</si>
  <si>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</si>
  <si>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</si>
  <si>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</si>
  <si>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</si>
  <si>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</si>
  <si>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</si>
  <si>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</si>
  <si>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</si>
  <si>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</si>
  <si>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</si>
  <si>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</si>
  <si>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</si>
  <si>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</si>
  <si>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</si>
  <si>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</si>
  <si>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</si>
  <si>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</si>
  <si>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</si>
  <si>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</si>
  <si>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</si>
  <si>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</si>
  <si>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</si>
  <si>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</si>
  <si>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</si>
  <si>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</si>
  <si>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</si>
  <si>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</si>
  <si>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</si>
  <si>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</si>
  <si>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</si>
  <si>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</si>
  <si>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</si>
  <si>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</si>
  <si>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</si>
  <si>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</si>
  <si>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</si>
  <si>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</si>
  <si>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</si>
  <si>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</si>
  <si>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</si>
  <si>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</si>
  <si>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</si>
  <si>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</si>
  <si>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</si>
  <si>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</si>
  <si>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</si>
  <si>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</si>
  <si>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</si>
  <si>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</si>
  <si>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</si>
  <si>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</si>
  <si>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</si>
  <si>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</si>
  <si>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</si>
  <si>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</si>
  <si>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</si>
  <si>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</si>
  <si>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</si>
  <si>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</si>
  <si>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</si>
  <si>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</si>
  <si>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</si>
  <si>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</si>
  <si>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</si>
  <si>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</si>
  <si>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</si>
  <si>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</si>
  <si>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</si>
  <si>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</si>
  <si>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</si>
  <si>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</si>
  <si>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</si>
  <si>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</si>
  <si>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</si>
  <si>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</si>
  <si>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</si>
  <si>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</si>
  <si>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</si>
  <si>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</si>
  <si>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</si>
  <si>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</si>
  <si>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</si>
  <si>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</si>
  <si>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</si>
  <si>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</si>
  <si>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</si>
  <si>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</si>
  <si>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</si>
  <si>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</si>
  <si>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</si>
  <si>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</si>
  <si>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</si>
  <si>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</si>
  <si>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</si>
  <si>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</si>
  <si>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</si>
  <si>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</si>
  <si>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</si>
  <si>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</si>
  <si>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</si>
  <si>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</si>
  <si>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</si>
  <si>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</si>
  <si>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</si>
  <si>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</si>
  <si>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</si>
  <si>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</si>
  <si>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</si>
  <si>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</si>
  <si>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</si>
  <si>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</si>
  <si>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</si>
  <si>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</si>
  <si>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</si>
  <si>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</si>
  <si>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</si>
  <si>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</si>
  <si>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</si>
  <si>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</si>
  <si>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</si>
  <si>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</si>
  <si>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</si>
  <si>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</si>
  <si>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</si>
  <si>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</si>
  <si>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</si>
  <si>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</si>
  <si>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</si>
  <si>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</si>
  <si>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</si>
  <si>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</si>
  <si>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</si>
  <si>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</si>
  <si>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</si>
  <si>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</si>
  <si>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</si>
  <si>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</si>
  <si>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</si>
  <si>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</si>
  <si>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</si>
  <si>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</si>
  <si>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</si>
  <si>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</si>
  <si>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</si>
  <si>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</si>
  <si>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</si>
  <si>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</si>
  <si>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</si>
  <si>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</si>
  <si>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</si>
  <si>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</si>
  <si>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</si>
  <si>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</si>
  <si>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</si>
  <si>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</si>
  <si>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</si>
  <si>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</si>
  <si>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</si>
  <si>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</si>
  <si>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</si>
  <si>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</si>
  <si>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</si>
  <si>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</si>
  <si>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</si>
  <si>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</si>
  <si>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</si>
  <si>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</si>
  <si>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</si>
  <si>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</si>
  <si>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</si>
  <si>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</si>
  <si>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</si>
  <si>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</si>
  <si>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</si>
  <si>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</si>
  <si>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</si>
  <si>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</si>
  <si>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</si>
  <si>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</si>
  <si>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</si>
  <si>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</si>
  <si>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</si>
  <si>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</si>
  <si>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</si>
  <si>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</si>
  <si>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</si>
  <si>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</si>
  <si>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</si>
  <si>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</si>
  <si>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</si>
  <si>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</si>
  <si>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</si>
  <si>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</si>
  <si>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</si>
  <si>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</si>
  <si>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</si>
  <si>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</si>
  <si>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</si>
  <si>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</si>
  <si>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</si>
  <si>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</si>
  <si>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</si>
  <si>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</si>
  <si>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</si>
  <si>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</si>
  <si>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</si>
  <si>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</si>
  <si>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</si>
  <si>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</si>
  <si>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</si>
  <si>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</si>
  <si>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</si>
  <si>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</si>
  <si>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</si>
  <si>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</si>
  <si>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</si>
  <si>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</si>
  <si>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</si>
  <si>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</si>
  <si>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</si>
  <si>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</si>
  <si>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</si>
  <si>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</si>
  <si>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</si>
  <si>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</si>
  <si>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</si>
  <si>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</si>
  <si>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</si>
  <si>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</si>
  <si>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</si>
  <si>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</si>
  <si>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</si>
  <si>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</si>
  <si>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</si>
  <si>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</si>
  <si>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</si>
  <si>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</si>
  <si>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</si>
  <si>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</si>
  <si>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</si>
  <si>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</si>
  <si>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</si>
  <si>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</si>
  <si>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</si>
  <si>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</si>
  <si>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</si>
  <si>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</si>
  <si>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</si>
  <si>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</si>
  <si>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</si>
  <si>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</si>
  <si>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</si>
  <si>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</si>
  <si>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</si>
  <si>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</si>
  <si>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</si>
  <si>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</si>
  <si>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</si>
  <si>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</si>
  <si>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</si>
  <si>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</si>
  <si>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</si>
  <si>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</si>
  <si>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</si>
  <si>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</si>
  <si>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</si>
  <si>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</si>
  <si>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</si>
  <si>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</si>
  <si>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</si>
  <si>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</si>
  <si>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</si>
  <si>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</si>
  <si>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</si>
  <si>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</si>
  <si>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</si>
  <si>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</si>
  <si>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</si>
  <si>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</si>
  <si>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</si>
  <si>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</si>
  <si>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</si>
  <si>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</si>
  <si>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</si>
  <si>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</si>
  <si>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</si>
  <si>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</si>
  <si>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</si>
  <si>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</si>
  <si>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</si>
  <si>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</si>
  <si>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</si>
  <si>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</si>
  <si>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</si>
  <si>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</si>
  <si>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</si>
  <si>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</si>
  <si>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</si>
  <si>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</si>
  <si>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</si>
  <si>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</si>
  <si>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</si>
  <si>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</si>
  <si>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</si>
  <si>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</si>
  <si>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</si>
  <si>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</si>
  <si>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</si>
  <si>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</si>
  <si>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</si>
  <si>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</si>
  <si>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</si>
  <si>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</si>
  <si>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</si>
  <si>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</si>
  <si>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</si>
  <si>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</si>
  <si>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</si>
  <si>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</si>
  <si>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</si>
  <si>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</si>
  <si>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</si>
  <si>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</si>
  <si>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</si>
  <si>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</si>
  <si>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</si>
  <si>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</si>
  <si>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</si>
  <si>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</si>
  <si>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</si>
  <si>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</si>
  <si>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</si>
  <si>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</si>
  <si>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</si>
  <si>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</si>
  <si>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</si>
  <si>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</si>
  <si>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</si>
  <si>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</si>
  <si>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</si>
  <si>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</si>
  <si>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</si>
  <si>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</si>
  <si>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</si>
  <si>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</si>
  <si>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</si>
  <si>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</si>
  <si>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</si>
  <si>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</si>
  <si>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</si>
  <si>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</si>
  <si>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</si>
  <si>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</si>
  <si>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</si>
  <si>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</si>
  <si>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</si>
  <si>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</si>
  <si>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</si>
  <si>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</si>
  <si>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</si>
  <si>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</si>
  <si>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</si>
  <si>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</si>
  <si>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</si>
  <si>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</si>
  <si>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</si>
  <si>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</si>
  <si>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</si>
  <si>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</si>
  <si>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</si>
  <si>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</si>
  <si>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</si>
  <si>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</si>
  <si>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</si>
  <si>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</si>
  <si>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</si>
  <si>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</si>
  <si>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</si>
  <si>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</si>
  <si>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</si>
  <si>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</si>
  <si>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</si>
  <si>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</si>
  <si>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</si>
  <si>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</si>
  <si>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</si>
  <si>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</si>
  <si>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</si>
  <si>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</si>
  <si>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</si>
  <si>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</si>
  <si>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</si>
  <si>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</si>
  <si>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</si>
  <si>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</si>
  <si>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</si>
  <si>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</si>
  <si>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</si>
  <si>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</si>
  <si>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</si>
  <si>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</si>
  <si>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</si>
  <si>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</si>
  <si>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</si>
  <si>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</si>
  <si>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</si>
  <si>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</si>
  <si>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</si>
  <si>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</si>
  <si>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</si>
  <si>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</si>
  <si>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</si>
  <si>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</si>
  <si>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</si>
  <si>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</si>
  <si>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</si>
  <si>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</si>
  <si>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</si>
  <si>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</si>
  <si>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</si>
  <si>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</si>
  <si>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</si>
  <si>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</si>
  <si>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</si>
  <si>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</si>
  <si>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</si>
  <si>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</si>
  <si>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</si>
  <si>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</si>
  <si>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</si>
  <si>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</si>
  <si>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</si>
  <si>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</si>
  <si>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</si>
  <si>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</si>
  <si>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</si>
  <si>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</si>
  <si>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</si>
  <si>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</si>
  <si>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</si>
  <si>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</si>
  <si>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</si>
  <si>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</si>
  <si>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</si>
  <si>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</si>
  <si>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</si>
  <si>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</si>
  <si>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</si>
  <si>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</si>
  <si>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</si>
  <si>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</si>
  <si>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</si>
  <si>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</si>
  <si>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</si>
  <si>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</si>
  <si>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</si>
  <si>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</si>
  <si>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</si>
  <si>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</si>
  <si>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</si>
  <si>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</si>
  <si>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</si>
  <si>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</si>
  <si>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</si>
  <si>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</si>
  <si>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</si>
  <si>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</si>
  <si>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</si>
  <si>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</si>
  <si>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</si>
  <si>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</si>
  <si>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</si>
  <si>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</si>
  <si>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</si>
  <si>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</si>
  <si>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</si>
  <si>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</si>
  <si>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</si>
  <si>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</si>
  <si>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</si>
  <si>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</si>
  <si>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</si>
  <si>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</si>
  <si>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</si>
  <si>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</si>
  <si>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</si>
  <si>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</si>
  <si>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</si>
  <si>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</si>
  <si>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</si>
  <si>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</si>
  <si>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</si>
  <si>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</si>
  <si>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</si>
  <si>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</si>
  <si>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</si>
  <si>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</si>
  <si>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</si>
  <si>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</si>
  <si>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</si>
  <si>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</si>
  <si>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</si>
  <si>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</si>
  <si>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</si>
  <si>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</si>
  <si>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</si>
  <si>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</si>
  <si>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</si>
  <si>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</si>
  <si>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</si>
  <si>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</si>
  <si>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</si>
  <si>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</si>
  <si>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</si>
  <si>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</si>
  <si>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</si>
  <si>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</si>
  <si>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</si>
  <si>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</si>
  <si>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</si>
  <si>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</si>
  <si>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</si>
  <si>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</si>
  <si>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</si>
  <si>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</si>
  <si>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</si>
  <si>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</si>
  <si>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</si>
  <si>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</si>
  <si>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</si>
  <si>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</si>
  <si>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</si>
  <si>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</si>
  <si>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</si>
  <si>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</si>
  <si>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</si>
  <si>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</si>
  <si>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</si>
  <si>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</si>
  <si>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</si>
  <si>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</si>
  <si>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</si>
  <si>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</si>
  <si>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</si>
  <si>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</si>
  <si>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</si>
  <si>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</si>
  <si>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</si>
  <si>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</si>
  <si>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</si>
  <si>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</si>
  <si>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</si>
  <si>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</si>
  <si>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</si>
  <si>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</si>
  <si>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</si>
  <si>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</si>
  <si>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</si>
  <si>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</si>
  <si>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</si>
  <si>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</si>
  <si>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</si>
  <si>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</si>
  <si>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</si>
  <si>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</si>
  <si>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</si>
  <si>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</si>
  <si>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</si>
  <si>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</si>
  <si>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</si>
  <si>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</si>
  <si>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</si>
  <si>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</si>
  <si>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</si>
  <si>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</si>
  <si>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</si>
  <si>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</si>
  <si>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</si>
  <si>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</si>
  <si>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</si>
  <si>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</si>
  <si>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</si>
  <si>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</si>
  <si>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</si>
  <si>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</si>
  <si>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</si>
  <si>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</si>
  <si>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</si>
  <si>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</si>
  <si>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</si>
  <si>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</si>
  <si>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</si>
  <si>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</si>
  <si>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</si>
  <si>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</si>
  <si>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</si>
  <si>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</si>
  <si>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</si>
  <si>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</si>
  <si>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</si>
  <si>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</si>
  <si>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</si>
  <si>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</si>
  <si>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</si>
  <si>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</si>
  <si>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</si>
  <si>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</si>
  <si>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</si>
  <si>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</si>
  <si>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</si>
  <si>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</si>
  <si>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</si>
  <si>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</si>
  <si>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</si>
  <si>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</si>
  <si>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</si>
  <si>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</si>
  <si>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</si>
  <si>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</si>
  <si>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</si>
  <si>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</si>
  <si>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</si>
  <si>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</si>
  <si>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</si>
  <si>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</si>
  <si>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</si>
  <si>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</si>
  <si>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</si>
  <si>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</si>
  <si>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</si>
  <si>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</si>
  <si>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</si>
  <si>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</si>
  <si>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</si>
  <si>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</si>
  <si>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</si>
  <si>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</si>
  <si>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</si>
  <si>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</si>
  <si>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</si>
  <si>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</si>
  <si>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</si>
  <si>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</si>
  <si>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</si>
  <si>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</si>
  <si>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</si>
  <si>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</si>
  <si>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</si>
  <si>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</si>
  <si>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</si>
  <si>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</si>
  <si>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</si>
  <si>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</si>
  <si>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</si>
  <si>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</si>
  <si>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</si>
  <si>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</si>
  <si>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</si>
  <si>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</si>
  <si>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</si>
  <si>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</si>
  <si>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</si>
  <si>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</si>
  <si>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</si>
  <si>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</si>
  <si>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</si>
  <si>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</si>
  <si>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</si>
  <si>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</si>
  <si>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</si>
  <si>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</si>
  <si>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</si>
  <si>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</si>
  <si>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</si>
  <si>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</si>
  <si>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</si>
  <si>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</si>
  <si>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</si>
  <si>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</si>
  <si>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</si>
  <si>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</si>
  <si>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</si>
  <si>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</si>
  <si>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</si>
  <si>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</si>
  <si>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</si>
  <si>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</si>
  <si>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</si>
  <si>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</si>
  <si>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</si>
  <si>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</si>
  <si>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</si>
  <si>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</si>
  <si>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</si>
  <si>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</si>
  <si>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</si>
  <si>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</si>
  <si>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</si>
  <si>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</si>
  <si>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</si>
  <si>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</si>
  <si>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</si>
  <si>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</si>
  <si>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</si>
  <si>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</si>
  <si>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</si>
  <si>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</si>
  <si>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</si>
  <si>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</si>
  <si>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</si>
  <si>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</si>
  <si>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</si>
  <si>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</si>
  <si>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</si>
  <si>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</si>
  <si>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</si>
  <si>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</si>
  <si>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</si>
  <si>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</si>
  <si>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</si>
  <si>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</si>
  <si>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</si>
  <si>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</si>
  <si>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</si>
  <si>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</si>
  <si>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</si>
  <si>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</si>
  <si>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</si>
  <si>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</si>
  <si>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</si>
  <si>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</si>
  <si>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</si>
  <si>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</si>
  <si>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</si>
  <si>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</si>
  <si>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</si>
  <si>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</si>
  <si>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</si>
  <si>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</si>
  <si>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</si>
  <si>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</si>
  <si>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</si>
  <si>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</si>
  <si>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</si>
  <si>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</si>
  <si>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</si>
  <si>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</si>
  <si>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</si>
  <si>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</si>
  <si>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</si>
  <si>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</si>
  <si>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</si>
  <si>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</si>
  <si>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</si>
  <si>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</si>
  <si>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</si>
  <si>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</si>
  <si>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</si>
  <si>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</si>
  <si>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</si>
  <si>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</si>
  <si>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</si>
  <si>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</si>
  <si>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</si>
  <si>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</si>
  <si>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</si>
  <si>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</si>
  <si>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</si>
  <si>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</si>
  <si>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</si>
  <si>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</si>
  <si>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</si>
  <si>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</si>
  <si>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</si>
  <si>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</si>
  <si>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</si>
  <si>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</si>
  <si>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</si>
  <si>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</si>
  <si>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</si>
  <si>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</si>
  <si>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</si>
  <si>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</si>
  <si>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</si>
  <si>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</si>
  <si>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</si>
  <si>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</si>
  <si>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</si>
  <si>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</si>
  <si>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</si>
  <si>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</si>
  <si>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</si>
  <si>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</si>
  <si>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</si>
  <si>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</si>
  <si>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</si>
  <si>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</si>
  <si>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</si>
  <si>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</si>
  <si>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</si>
  <si>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</si>
  <si>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</si>
  <si>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</si>
  <si>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</si>
  <si>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</si>
  <si>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</si>
  <si>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</si>
  <si>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</si>
  <si>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</si>
  <si>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</si>
  <si>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</si>
  <si>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</si>
  <si>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</si>
  <si>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</si>
  <si>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</si>
  <si>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</si>
  <si>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</si>
  <si>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</si>
  <si>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</si>
  <si>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</si>
  <si>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</si>
  <si>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</si>
  <si>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</si>
  <si>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</si>
  <si>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</si>
  <si>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</si>
  <si>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</si>
  <si>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</si>
  <si>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</si>
  <si>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</si>
  <si>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</si>
  <si>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</si>
  <si>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</si>
  <si>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</si>
  <si>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</si>
  <si>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</si>
  <si>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</si>
  <si>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</si>
  <si>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</si>
  <si>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</si>
  <si>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</si>
  <si>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</si>
  <si>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</si>
  <si>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</si>
  <si>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</si>
  <si>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</si>
  <si>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</si>
  <si>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</si>
  <si>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</si>
  <si>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</si>
  <si>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</si>
  <si>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</si>
  <si>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</si>
  <si>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</si>
  <si>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</si>
  <si>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</si>
  <si>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</si>
  <si>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</si>
  <si>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</si>
  <si>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</si>
  <si>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</si>
  <si>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</si>
  <si>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</si>
  <si>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</si>
  <si>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</si>
  <si>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</si>
  <si>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</si>
  <si>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</si>
  <si>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</si>
  <si>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</si>
  <si>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</si>
  <si>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</si>
  <si>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</si>
  <si>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</si>
  <si>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</si>
  <si>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</si>
  <si>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</si>
  <si>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</si>
  <si>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</si>
  <si>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</si>
  <si>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</si>
  <si>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</si>
  <si>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</si>
  <si>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</si>
  <si>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</si>
  <si>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</si>
  <si>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</si>
  <si>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</si>
  <si>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</si>
  <si>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</si>
  <si>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</si>
  <si>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</si>
  <si>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</si>
  <si>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</si>
  <si>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</si>
  <si>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</si>
  <si>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</si>
  <si>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</si>
  <si>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</si>
  <si>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</si>
  <si>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</si>
  <si>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</si>
  <si>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</si>
  <si>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</si>
  <si>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</si>
  <si>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</si>
  <si>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</si>
  <si>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</si>
  <si>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</si>
  <si>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</si>
  <si>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</si>
  <si>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</si>
  <si>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</si>
  <si>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</si>
  <si>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</si>
  <si>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</si>
  <si>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</si>
  <si>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</si>
  <si>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</si>
  <si>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</si>
  <si>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</si>
  <si>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</si>
  <si>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</si>
  <si>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</si>
  <si>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</si>
  <si>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</si>
  <si>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</si>
  <si>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</si>
  <si>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</si>
  <si>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</si>
  <si>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</si>
  <si>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</si>
  <si>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</si>
  <si>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</si>
  <si>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</si>
  <si>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</si>
  <si>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</si>
  <si>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</si>
  <si>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</si>
  <si>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</si>
  <si>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</si>
  <si>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</si>
  <si>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</si>
  <si>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</si>
  <si>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</si>
  <si>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</si>
  <si>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</si>
  <si>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</si>
  <si>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</si>
  <si>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</si>
  <si>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</si>
  <si>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</si>
  <si>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</si>
  <si>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</si>
  <si>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</si>
  <si>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</si>
  <si>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</si>
  <si>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</si>
  <si>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</si>
  <si>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</si>
  <si>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</si>
  <si>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</si>
  <si>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</si>
  <si>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</si>
  <si>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</si>
  <si>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</si>
  <si>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</si>
  <si>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</si>
  <si>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</si>
  <si>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</si>
  <si>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</si>
  <si>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</si>
  <si>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</si>
  <si>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</si>
  <si>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</si>
  <si>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</si>
  <si>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</si>
  <si>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</si>
  <si>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</si>
  <si>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</si>
  <si>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</si>
  <si>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</si>
  <si>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</si>
  <si>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</si>
  <si>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</si>
  <si>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</si>
  <si>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</si>
  <si>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</si>
  <si>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</si>
  <si>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</si>
  <si>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</si>
  <si>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</si>
  <si>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</si>
  <si>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</si>
  <si>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</si>
  <si>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</si>
  <si>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</si>
  <si>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</si>
  <si>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</si>
  <si>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</si>
  <si>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</si>
  <si>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</si>
  <si>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</si>
  <si>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</si>
  <si>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</si>
  <si>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</si>
  <si>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</si>
  <si>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</si>
  <si>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</si>
  <si>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</si>
  <si>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</si>
  <si>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</si>
  <si>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</si>
  <si>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</si>
  <si>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</si>
  <si>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</si>
  <si>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</si>
  <si>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</si>
  <si>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</si>
  <si>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</si>
  <si>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</si>
  <si>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</si>
  <si>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</si>
  <si>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</si>
  <si>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</si>
  <si>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</si>
  <si>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</si>
  <si>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</si>
  <si>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</si>
  <si>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</si>
  <si>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</si>
  <si>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</si>
  <si>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</si>
  <si>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</si>
  <si>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</si>
  <si>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</si>
  <si>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</si>
  <si>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</si>
  <si>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</si>
  <si>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</si>
  <si>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</si>
  <si>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</si>
  <si>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</si>
  <si>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</si>
  <si>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</si>
  <si>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</si>
  <si>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</si>
  <si>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</si>
  <si>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</si>
  <si>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</si>
  <si>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</si>
  <si>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</si>
  <si>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</si>
  <si>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</si>
  <si>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</si>
  <si>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</si>
  <si>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</si>
  <si>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</si>
  <si>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</si>
  <si>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</si>
  <si>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</si>
  <si>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</si>
  <si>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</si>
  <si>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</si>
  <si>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</si>
  <si>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</si>
  <si>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</si>
  <si>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</si>
  <si>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</si>
  <si>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</si>
  <si>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</si>
  <si>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</si>
  <si>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</si>
  <si>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</si>
  <si>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</si>
  <si>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</si>
  <si>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</si>
  <si>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</si>
  <si>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</si>
  <si>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</si>
  <si>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</si>
  <si>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</si>
  <si>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</si>
  <si>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</si>
  <si>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</si>
  <si>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</si>
  <si>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</si>
  <si>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</si>
  <si>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</si>
  <si>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</si>
  <si>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</si>
  <si>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</si>
  <si>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</si>
  <si>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</si>
  <si>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</si>
  <si>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</si>
  <si>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</si>
  <si>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</si>
  <si>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</si>
  <si>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</si>
  <si>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</si>
  <si>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</si>
  <si>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</si>
  <si>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</si>
  <si>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</si>
  <si>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</si>
  <si>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</si>
  <si>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</si>
  <si>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</si>
  <si>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</si>
  <si>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</si>
  <si>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</si>
  <si>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</si>
  <si>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</si>
  <si>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</si>
  <si>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</si>
  <si>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</si>
  <si>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</si>
  <si>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</si>
  <si>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</si>
  <si>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</si>
  <si>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</si>
  <si>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</si>
  <si>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</si>
  <si>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</si>
  <si>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</si>
  <si>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</si>
  <si>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</si>
  <si>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</si>
  <si>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</si>
  <si>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</si>
  <si>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</si>
  <si>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</si>
  <si>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</si>
  <si>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</si>
  <si>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</si>
  <si>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</si>
  <si>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</si>
  <si>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</si>
  <si>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</si>
  <si>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</si>
  <si>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</si>
  <si>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</si>
  <si>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</si>
  <si>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</si>
  <si>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</si>
  <si>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</si>
  <si>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</si>
  <si>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</si>
  <si>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</si>
  <si>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</si>
  <si>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</si>
  <si>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</si>
  <si>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</si>
  <si>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</si>
  <si>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</si>
  <si>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</si>
  <si>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</si>
  <si>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</si>
  <si>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</si>
  <si>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</si>
  <si>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</si>
  <si>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</si>
  <si>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</si>
  <si>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</si>
  <si>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</si>
  <si>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</si>
  <si>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</si>
  <si>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</si>
  <si>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</si>
  <si>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</si>
  <si>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</si>
  <si>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</si>
  <si>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</si>
  <si>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</si>
  <si>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</si>
  <si>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</si>
  <si>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</si>
  <si>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</si>
  <si>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</si>
  <si>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</si>
  <si>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</si>
  <si>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</si>
  <si>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</si>
  <si>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</si>
  <si>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</si>
  <si>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</si>
  <si>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</si>
  <si>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</si>
  <si>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</si>
  <si>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</si>
  <si>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</si>
  <si>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</si>
  <si>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</si>
  <si>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</si>
  <si>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</si>
  <si>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</si>
  <si>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</si>
  <si>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</si>
  <si>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</si>
  <si>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</si>
  <si>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</si>
  <si>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</si>
  <si>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</si>
  <si>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</si>
  <si>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</si>
  <si>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</si>
  <si>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</si>
  <si>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</si>
  <si>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</si>
  <si>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</si>
  <si>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</si>
  <si>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</si>
  <si>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</si>
  <si>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</si>
  <si>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</si>
  <si>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</si>
  <si>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</si>
  <si>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</si>
  <si>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</si>
  <si>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</si>
  <si>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</si>
  <si>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</si>
  <si>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</si>
  <si>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</si>
  <si>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</si>
  <si>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</si>
  <si>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</si>
  <si>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</si>
  <si>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</si>
  <si>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</si>
  <si>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</si>
  <si>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</si>
  <si>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</si>
  <si>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</si>
  <si>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</si>
  <si>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</si>
  <si>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</si>
  <si>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</si>
  <si>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</si>
  <si>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</si>
  <si>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</si>
  <si>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</si>
  <si>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</si>
  <si>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</si>
  <si>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</si>
  <si>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</si>
  <si>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</si>
  <si>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</si>
  <si>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</si>
  <si>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</si>
  <si>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</si>
  <si>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</si>
  <si>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</si>
  <si>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</si>
  <si>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</si>
  <si>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</si>
  <si>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</si>
  <si>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</si>
  <si>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</si>
  <si>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</si>
  <si>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</si>
  <si>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</si>
  <si>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</si>
  <si>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</si>
  <si>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</si>
  <si>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</si>
  <si>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</si>
  <si>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</si>
  <si>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</si>
  <si>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</si>
  <si>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</si>
  <si>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</si>
  <si>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</si>
  <si>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</si>
  <si>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</si>
  <si>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</si>
  <si>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</si>
  <si>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</si>
  <si>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</si>
  <si>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</si>
  <si>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</si>
  <si>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</si>
  <si>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</si>
  <si>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</si>
  <si>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</si>
  <si>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</si>
  <si>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</si>
  <si>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</si>
  <si>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</si>
  <si>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</si>
  <si>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</si>
  <si>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</si>
  <si>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</si>
  <si>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</si>
  <si>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</si>
  <si>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</si>
  <si>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</si>
  <si>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</si>
  <si>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</si>
  <si>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</si>
  <si>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</si>
  <si>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</si>
  <si>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</si>
  <si>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</si>
  <si>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</si>
  <si>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</si>
  <si>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</si>
  <si>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</si>
  <si>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</si>
  <si>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</si>
  <si>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</si>
  <si>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</si>
  <si>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</si>
  <si>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</si>
  <si>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</si>
  <si>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</si>
  <si>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</si>
  <si>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</si>
  <si>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</si>
  <si>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</si>
  <si>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</si>
  <si>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</si>
  <si>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</si>
  <si>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</si>
  <si>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</si>
  <si>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</si>
  <si>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</si>
  <si>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</si>
  <si>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</si>
  <si>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</si>
  <si>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</si>
  <si>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</si>
  <si>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</si>
  <si>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</si>
  <si>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</si>
  <si>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</si>
  <si>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</si>
  <si>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</si>
  <si>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</si>
  <si>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</si>
  <si>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</si>
  <si>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</si>
  <si>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</si>
  <si>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</si>
  <si>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</si>
  <si>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</si>
  <si>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</si>
  <si>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</si>
  <si>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</si>
  <si>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</si>
  <si>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</si>
  <si>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</si>
  <si>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</si>
  <si>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</si>
  <si>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</si>
  <si>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</si>
  <si>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</si>
  <si>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</si>
  <si>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</si>
  <si>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</si>
  <si>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</si>
  <si>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</si>
  <si>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</si>
  <si>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</si>
  <si>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</si>
  <si>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</si>
  <si>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</si>
  <si>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</si>
  <si>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</si>
  <si>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</si>
  <si>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</si>
  <si>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</si>
  <si>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</si>
  <si>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</si>
  <si>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</si>
  <si>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</si>
  <si>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</si>
  <si>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</si>
  <si>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</si>
  <si>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</si>
  <si>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</si>
  <si>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</si>
  <si>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</si>
  <si>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</si>
  <si>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</si>
  <si>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</si>
  <si>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</si>
  <si>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</si>
  <si>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</si>
  <si>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</si>
  <si>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</si>
  <si>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</si>
  <si>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</si>
  <si>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</si>
  <si>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</si>
  <si>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</si>
  <si>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</si>
  <si>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</si>
  <si>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</si>
  <si>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</si>
  <si>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</si>
  <si>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</si>
  <si>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</si>
  <si>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</si>
  <si>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</si>
  <si>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</si>
  <si>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</si>
  <si>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</si>
  <si>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</si>
  <si>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</si>
  <si>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</si>
  <si>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</si>
  <si>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</si>
  <si>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</si>
  <si>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</si>
  <si>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</si>
  <si>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</si>
  <si>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</si>
  <si>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</si>
  <si>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</si>
  <si>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</si>
  <si>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</si>
  <si>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</si>
  <si>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</si>
  <si>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</si>
  <si>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</si>
  <si>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</si>
  <si>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</si>
  <si>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</si>
  <si>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</si>
  <si>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</si>
  <si>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</si>
  <si>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</si>
  <si>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</si>
  <si>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</si>
  <si>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</si>
  <si>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</si>
  <si>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</si>
  <si>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</si>
  <si>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</si>
  <si>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</si>
  <si>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</si>
  <si>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</si>
  <si>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</si>
  <si>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</si>
  <si>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</si>
  <si>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</si>
  <si>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</si>
  <si>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</si>
  <si>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</si>
  <si>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</si>
  <si>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</si>
  <si>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</si>
  <si>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</si>
  <si>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</si>
  <si>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</si>
  <si>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</si>
  <si>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</si>
  <si>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</si>
  <si>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</si>
  <si>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</si>
  <si>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Yes</t>
  </si>
  <si>
    <t>No</t>
  </si>
  <si>
    <t>Competitive Round</t>
  </si>
  <si>
    <t>Clara Trejos</t>
  </si>
  <si>
    <t>VP Tax Credit Operations</t>
  </si>
  <si>
    <t>1718 Peachtree St, Ste 684</t>
  </si>
  <si>
    <t>ctrejos@columbiares.com</t>
  </si>
  <si>
    <t>BTW-Chapman Phase I</t>
  </si>
  <si>
    <t>Yes - no Master Plan</t>
  </si>
  <si>
    <t>HFOP</t>
  </si>
  <si>
    <t>Housing Authority Columbus Georgia</t>
  </si>
  <si>
    <t>New Affordable Housing Partners</t>
  </si>
  <si>
    <t>Pauldoe Redevelopment Phase II</t>
  </si>
  <si>
    <t>3725 Chapman Way</t>
  </si>
  <si>
    <t>City of Columbus</t>
  </si>
  <si>
    <t>www.columbusga.org</t>
  </si>
  <si>
    <t>Teresa Tomlinson</t>
  </si>
  <si>
    <t>Mayor</t>
  </si>
  <si>
    <t>ttomlinson@columbusga.org</t>
  </si>
  <si>
    <t>100 10th St</t>
  </si>
  <si>
    <t>The Housing Authority of Columbus, Georgia</t>
  </si>
  <si>
    <t>J. Len Williams</t>
  </si>
  <si>
    <t>jlwilliams@columbushousing.org</t>
  </si>
  <si>
    <t>Yes - see Comment</t>
  </si>
  <si>
    <t>PA 13-59</t>
  </si>
  <si>
    <t>BTW-Chapman Phase I, L.P.</t>
  </si>
  <si>
    <t>President</t>
  </si>
  <si>
    <t>HACG Booker T. Washington I GP, Inc.</t>
  </si>
  <si>
    <t>1000 Wynnton Rd FRNT</t>
  </si>
  <si>
    <t>New Affordable Housing Partners, LLC</t>
  </si>
  <si>
    <t>Jim Grauley</t>
  </si>
  <si>
    <t>jgrauley@columbiares.com</t>
  </si>
  <si>
    <t>Walton Construction Services</t>
  </si>
  <si>
    <t>Mark Stovall</t>
  </si>
  <si>
    <t>6640 Akers Mill Rd, Bldg 1700</t>
  </si>
  <si>
    <t>Vice President</t>
  </si>
  <si>
    <t xml:space="preserve">Atlanta </t>
  </si>
  <si>
    <t>mstoval@waltoncommunities.com</t>
  </si>
  <si>
    <t>New Columbia Residential Property Management</t>
  </si>
  <si>
    <t>Hunter, MacLean, Exley &amp; Dunn, P.C.</t>
  </si>
  <si>
    <t>Ted Henneman</t>
  </si>
  <si>
    <t>200 E. St. Julian Street</t>
  </si>
  <si>
    <t>Attorney at Law</t>
  </si>
  <si>
    <t>THENNEMAN@huntermaclean.com</t>
  </si>
  <si>
    <t>Reznick Group</t>
  </si>
  <si>
    <t>Wesley Hudson</t>
  </si>
  <si>
    <t>2002 Summit Blvd</t>
  </si>
  <si>
    <t>Partner</t>
  </si>
  <si>
    <t>Wesley.Hudson@ReznickGroup.com</t>
  </si>
  <si>
    <t>James, Harwick &amp; Partners</t>
  </si>
  <si>
    <t>Ron Harwick</t>
  </si>
  <si>
    <t>8340 Meadow Rd, Ste 248</t>
  </si>
  <si>
    <t>rharwick@jhparch.com</t>
  </si>
  <si>
    <t>For Profit</t>
  </si>
  <si>
    <t>Noel Khalil and Jim Grauley are co-owners of   New Affordable Housing Partners, LLC, New Columbia Residential Property Management. The  Co-Developer and Manager for this project
J. Len Williams is the Executive director of The Columbus Housing Authority, the General Partner, Co-Developer and co-manager of this project</t>
  </si>
  <si>
    <t>At the time of the pre application we indicated that this project would be a Phase of Baker Village Apartments; however when the people more familiar with the QAP went to visit the site it became clear that it would not qualify for Phased Development. We are no longer considering it a Phase of Baker Village, instead it is off-site housing for the Liberty District Redevelopment. Therefore we have changed the name of the ownership entity from Baker Village IV, LP. to BTW-Chapman Phase I, L.P.   Project Team members have not changed, neither tenancy characteristics, location of the site or number of units.</t>
  </si>
  <si>
    <t>DDA/QCT</t>
  </si>
  <si>
    <t>PHA Oper Sub</t>
  </si>
  <si>
    <t>3+ Story</t>
  </si>
  <si>
    <t>PHA PBRA</t>
  </si>
  <si>
    <t>Housing Authority of Columbus</t>
  </si>
  <si>
    <t>Amortizing</t>
  </si>
  <si>
    <t>The Housing Authority of the City of Columbus, Georgia</t>
  </si>
  <si>
    <t>MF</t>
  </si>
  <si>
    <t>Electric Heat Pump</t>
  </si>
  <si>
    <t xml:space="preserve">* Taxes = Improved Property Value (Estimated at 60% of Construction Cost) * 40% Assessment Adjustment*Millage Rate
*Per Georgia Legislation included in Tab 1, and prior success in obtaining tax abatement in our other properties located in Columbus, Muscogee County  - 15 Public Housing units and 80 PBRA units are subject to tax exemption since they are subject to an  Subsidy Agreement with the Columbus Housing Authority
* Insurance = (Building Cost + FF&amp;E+ 1st Year Rents) = Total Improved Value (TIV) . Total Improved Value of Property/Total Improved Value of Columbia Residential Properties = Property TIV%.  TIV%*Total Compay Insurance Premium = Property Insurance Premium.                        
* Detailed calculation of Property Taxes and Insurance is found in Tab 1, Section of the Application
</t>
  </si>
  <si>
    <t>Earth Craft House Multifamily</t>
  </si>
  <si>
    <t>QCT &amp; Revitalization Plan</t>
  </si>
  <si>
    <t>Booker T. Washington Revitalization Plan</t>
  </si>
  <si>
    <t>Agree</t>
  </si>
  <si>
    <t>Pass</t>
  </si>
  <si>
    <t>C&amp;S</t>
  </si>
  <si>
    <t>RBC</t>
  </si>
  <si>
    <t xml:space="preserve">The addition of supportive housing services coupled with the desire to serve an at-risk population within conventional affordable housing as an extension to the existing commitment of the Housing Authority to this population makes this property both innovative and necessary to the chronically homeless and mentally ill populations of Columbus, Georgia.
Alvah H. Chapman Homes was built in 1940 as modest, low amenity housing for military families associated with Fort Benning.  Located at the intersection of Fort Benning Road and Levy Drive just a mile from the main entrance to Fort Benning it was originally known as Victory Apartments. The property was purchased by the Housing Authority of Columbus, Georgia in 1974 as part of a strategy to purchase and improve properties not owned by HUD which added to the stock of well managed and well maintained units that accepted Section 8 vouchers and enticed a low income population that could afford market rate rents. The property successfully operated throughout the 80’s, 90’s and early 2000’s until it was determined that the units were functionally obsolete and required resources that outweighed its value in order to bring the property up to current standards.
The Chapman site is within two blocks of the former Baker Village housing project.  Baker Village was demolished in 2006 to make way for a mixed income community now called Arbor Pointe.  In 2009 due to the need for quality senior housing a third phase of Baker Village was conceived to provide current, high quality housing for the seniors then living at Chapman Homes.  The Cottages at Arbor Pointe received a tax credit allocation in 2010 and were completed in 2012.  Chapman Homes was vacated with a high percent of residents moving into the new homes at the Cottages at Arbor Pointe.  
The vacating of Chapman Homes allowed the Housing Authority to consider the Chapman site for redevelopment.  The Housing Authority continues to improve its housing stock through major renovation of existing properties or complete re-development.  The Housing Authorities’ Booker T. Washington (BTW) project was next on the agenda.  The BTW redevelopment plan called for offsite housing at the Chapman Homes site as the first phase in order to limit disruption of households and extensive relocation. 
In 2012 the Housing Authority of Columbus, Georgia was approved by HUD as a Moving to Work (MTW) Agency under the federal guidelines. Part of the Authority’s commitment includes serving the population outlined in the ADA Agreement between the Department of Justice and the State of Georgia. Prior to becoming a MTW Agency the Housing Authority had a history of creating housing solutions for at risk populations including chronically homeless and mentally ill. The Authority has offered services through partnerships with active providers at many properties and developed the Willow Glen property to specifically address issues of homelessness and the needs of the mentally ill.  The Housing Authority teams with New Horizons Community Service Board to develop and operate apartments that are affordable to low-income households and are rented to Special Needs Residents.  On-site services include counseling, screening, self-help, and peer support all within a safe secure family setting.  
The success and acceptance of the Willow Glen property has opened the door to try new approaches to addressing the needs of these at risk populations.  It is widely known that as people suffering with these circumstances find a safe, secure place to call home that they eventually seek services.  Once they are formally diagnosed and properly cared for in a stable environment many can move on to lower demand environments and ultimately live a more independent life.  As evidenced by the Americans with Disabilities Act Settlement Agreement between the Department of Justice and the State of Georgia there exists a population in Georgia that is not adequately cared for.  The new development at Chapman Homes will establish a waiting list preference for persons that meet the criteria under the agreement.  A program similar to the Willow Glen structure will be developed to address these resident needs.  It is the intention of the Housing Authority to build on its success at Willow Glen with a program that has many of the same elements and staffing.  
The long term relationship between the New Horizons CSB and the Housing Authority of Columbus, Georgia will be capitalized on within the new Chapman development.  New Horizons is the primary service provide through the State of Georgia DBHDD for this part of the State.  As such New Horizons has access to State DBHDD funding for services.  The Willow Glen property receives services through New Horizons, at no cost to the property, through the State DBHDD system. Current funding levels will allow for residents at the Chapman site to receive services within a similar model through New Horizons.
 With regard to property operations these will be funded through the Project Based Rental Agreement, Public Housing Subsidy Agreement and market rate rents collected (see agreement Tab 1). 
New Horizons Community Services Board (CSB) is a nonprofit organization that provides services to those with mental illness, developmental disabilities, and addictive diseases.  Comprehensive services are offered to their consumers, from healthcare and pharmacology to addressing the needs of disabled individuals who cannot care for themselves.  New Horizons serves eight counties in Western Georgia with an aggregate population of over 325,000.  With more than 7,000 consumers, and 500 employees providing services in 100 locations, the impact of New Horizons’ as a provider is wide spread and significant among those in need and the communities in which it serves.
The New Horizons Community Service Board is a public safety net provider of community-based behavioral healthcare, offering a full range of mental health services, substance abuse treatment and developmental disabilities programs. Their staff of physicians, nurses, clinicians and support personnel is dedicated to helping individuals and their families recover from these debilitating disabilities and resume productive lives. 
For 35 years the employees of New Horizons have provided compassionate, professional care for individuals and families struggling with mental illness, developmental disabilities, or addictive disease.  Through a comprehensive and collaborative approach to quality care, the employees of New Horizons work diligently to provide individual and effective care to all people regardless of income, ethnicity, gender, or limitations.  New Horizons works with a wide collaboration of providers in a community setting to assist the disabled, reduce substance abuse, alleviate poverty and homelessness, provide help in recovery, health, and independence for those in need.  
The mission of New Horizons is to provide ongoing, accessible and affordable services with experienced and trained staff to persons with mental health needs, developmental disabilities, and addictive diseases.  The primary goal of the organization is to promote well-being, independence and recovery for the individuals served.
The final program for the Chapman site redevelopment will be determined based on actual needs of those living at the site. In order for the program to be most effective it has to be tailored to the specific needs of those receiving the services.  The above information has been provided to show the strong relationships that the Housing Authority already has and its continuing commitment to addressing the needs of this population.   
</t>
  </si>
  <si>
    <t>RHF Funds/City of Columbus Grant</t>
  </si>
  <si>
    <t>CB&amp;T</t>
  </si>
  <si>
    <t>Ground Lease</t>
  </si>
  <si>
    <t>RBC Capital Markets</t>
  </si>
  <si>
    <t>Brian Flanangan</t>
  </si>
  <si>
    <t>Regional Director</t>
  </si>
  <si>
    <t>4720 Piedmont Row Dr, Suite 240</t>
  </si>
  <si>
    <t>Charlotte</t>
  </si>
  <si>
    <t>brian.flanagan@rbc.com</t>
  </si>
  <si>
    <t>Allen &amp; Associates</t>
  </si>
  <si>
    <t>9 months</t>
  </si>
  <si>
    <t>2010-025</t>
  </si>
  <si>
    <t>Baker Village Senior</t>
  </si>
  <si>
    <t>GEC Consultants, Inc</t>
  </si>
  <si>
    <t>Fort Benning Rd, Aircraft Noise</t>
  </si>
  <si>
    <t>Ground lease/Option</t>
  </si>
  <si>
    <t>Georgia Power</t>
  </si>
  <si>
    <t>Columbus Water Works</t>
  </si>
  <si>
    <t>Room</t>
  </si>
  <si>
    <t>Gazebo</t>
  </si>
  <si>
    <t>On-site laundry</t>
  </si>
  <si>
    <t>Equipped Business Center</t>
  </si>
  <si>
    <t>Equipped Fitness Center</t>
  </si>
  <si>
    <t>Qualified without Conditions</t>
  </si>
  <si>
    <t>All of the above were submitted at pre-application</t>
  </si>
  <si>
    <t>Minority concentration</t>
  </si>
  <si>
    <t>29.02, 32, 33.01, 34, 107.03</t>
  </si>
  <si>
    <t>Rehabilitation was considered but units and buildings are functionally obsolete and not cost efficient, therefore demoliton of the existing buildings is necessary</t>
  </si>
  <si>
    <t>game days, movies, holiday celebrations, jazz nights</t>
  </si>
  <si>
    <t>Health Information Workshops, Basic Computer Skills Workshops</t>
  </si>
  <si>
    <t xml:space="preserve">&lt;&lt; Enter paragraphs here.  Press and hold Alt-Enter to start new paragraphs. &gt;&gt; 
BTW-Chapman Phase I, will consist of one hundred (100) state of the art apartment units in a three story elevator building for active, independent older persons.  Individual units will have balconies and porches and be served through interior corridors.  The building exterior will consist of a mix of brick/stone, hardiplank siding, and stucco.  The building also will be highly amenitized with indoor and outdoor amenities and services aimed for seniors and targeted population.  The new housing will consist of eighty (80), 1 bedroom, 1 bath units and twenty (20), 2 bedroom 1 bath units.  Eighty (80) of the units will be provided with project-based rental assistance subsidy and fifteen (15) units will be subsidized through PHA annual contributions contract subsidy.  Five (5 ) units will be rented at market rates with no restrictions.    All of the new units will meet the Section 8 Housing Quality Standards, accessibility standards, as well as Earthcraft design guidelines for sustainabililty and efficiency..  
The new community will be located on tree-lined city streets at 3725 Chapman Way Columbus, Georgia 31903-2835.    The new housing will replace and preserve affordable housing of the former Chapman Homes at this site.
BTW-Chapman Phase I is a partnership of the Housing Authority of Columbus, Georgia and Columbia Residential.  The new housing at BTW-Chapman Phase I is the first phase of the multi-phased redevelopment of the Booker T Washington Homes(BTW)  development.  BTW-Chapman Phase I will provide important off-site relocation housing for the older households currently residing at BTW and for other elderly residents desiring high quality affordable independent living in Columbus.  Additionally, the development will provide much-needed housing and specialized services for residents with special needs including chronic homelessness.  Services and rental support will be provided through a unique ongoing partnership of New Horizons and the Housing Authority of Columbus, Georgia.  New Horizons will identify target residents, assess their particular needs, and provide onging case management and services to these residents in the new community.
The project will be professionally managed by Columbia Residential Property Management, working closely with the Housing Authority of Columbus, GA (HACG).  Property management staff is keenly aware of resident needs and can be a significant resource to connect residents with resources and specific services in the community.  Our staff helps to create an environment that facilitates local service providers to provide their unique services to our residents.  Property management also provides an important aspect of resident training and reinforcement to help residents succeed in a mixed-income community with high standards and expectations.  
The new construction will consist of the following elements:
188 parking spaces (1.88 spaces per unit)
Unit Mix: The new development site plan includes eighty (80), 1 bedroom, 1 bath units at 712 SF and twenty (20), 2 Bedroom, 1 Bath units at 984 SF.  
Construction: The property will consist of 1; three story residential building with elevator.  Construction will include slab on grade, stick built structure with brick and Hardy Plank style siding.   
Common Ground Amenities:
                                Community Room
                                Computer Room/Business Center with 4 computers and 1 printer
                                Gazebo  
                               Professionally landscaped grounds
                               Walking Path with sitting areas
                                Grill area with accessible picnic table
                                Laundry room with 4 washers and 4 dryers 
Unit Amenities:
                               Energy Star appliances including refrigerator, dishwasher, and range
                               Garbage disposals
                               Microwave Oven
                               Carbon Dioxide Fire Suppression System
                                Energy Star central Heat and Air Conditioning systems
                                Washer/Dryer hookups in each unit
</t>
  </si>
  <si>
    <t>A SOV  prepared by our construction manager was prepared and is included under Tab 15 of the application</t>
  </si>
  <si>
    <t>2013-019</t>
  </si>
  <si>
    <t>hfddohf13!</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</si>
</sst>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5">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sz val="11"/>
      <name val="Calibri"/>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10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s>
  <cellStyleXfs count="19">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xf numFmtId="0" fontId="4" fillId="0" borderId="100">
      <alignment horizontal="left" vertical="center"/>
    </xf>
    <xf numFmtId="0" fontId="4" fillId="0" borderId="86">
      <alignment horizontal="left" vertical="center"/>
    </xf>
    <xf numFmtId="10" fontId="3" fillId="3" borderId="90" applyNumberFormat="0" applyBorder="0" applyAlignment="0" applyProtection="0"/>
    <xf numFmtId="10" fontId="3" fillId="3" borderId="101" applyNumberFormat="0" applyBorder="0" applyAlignment="0" applyProtection="0"/>
    <xf numFmtId="0" fontId="4" fillId="0" borderId="104">
      <alignment horizontal="left" vertical="center"/>
    </xf>
  </cellStyleXfs>
  <cellXfs count="1806">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39" fillId="0" borderId="0" xfId="13" applyFont="1"/>
    <xf numFmtId="0" fontId="38" fillId="0" borderId="0" xfId="13" applyFont="1" applyAlignment="1"/>
    <xf numFmtId="0" fontId="40" fillId="0" borderId="0" xfId="13" applyFont="1" applyAlignment="1"/>
    <xf numFmtId="0" fontId="41" fillId="0" borderId="0" xfId="13" applyFont="1" applyAlignment="1"/>
    <xf numFmtId="0" fontId="43" fillId="0" borderId="0" xfId="13" applyFont="1"/>
    <xf numFmtId="0" fontId="42" fillId="0" borderId="0" xfId="13" applyFont="1"/>
    <xf numFmtId="0" fontId="43" fillId="0" borderId="0" xfId="13" applyFont="1" applyAlignment="1">
      <alignment vertical="top"/>
    </xf>
    <xf numFmtId="0" fontId="8" fillId="0" borderId="0" xfId="13" applyFont="1" applyAlignment="1">
      <alignment vertical="top"/>
    </xf>
    <xf numFmtId="0" fontId="43" fillId="0" borderId="0" xfId="13" applyFont="1" applyAlignment="1">
      <alignment horizontal="left"/>
    </xf>
    <xf numFmtId="0" fontId="43" fillId="0" borderId="0" xfId="13" applyFont="1" applyAlignment="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7" fillId="0" borderId="0" xfId="0" applyFont="1" applyFill="1" applyAlignment="1" applyProtection="1">
      <alignment horizontal="left"/>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0" fontId="45" fillId="0" borderId="0" xfId="13" applyFont="1" applyAlignment="1">
      <alignment horizontal="center"/>
    </xf>
    <xf numFmtId="0" fontId="43" fillId="0" borderId="0" xfId="13" applyFont="1" applyAlignment="1">
      <alignment horizontal="justify" vertical="top" wrapText="1"/>
    </xf>
    <xf numFmtId="0" fontId="43" fillId="0" borderId="0" xfId="13" applyFont="1" applyAlignment="1">
      <alignment horizontal="left"/>
    </xf>
    <xf numFmtId="0" fontId="43" fillId="0" borderId="14" xfId="13" applyFont="1" applyBorder="1" applyAlignment="1" applyProtection="1">
      <alignment horizontal="left"/>
      <protection locked="0"/>
    </xf>
    <xf numFmtId="0" fontId="45" fillId="0" borderId="89" xfId="13" applyFont="1" applyBorder="1" applyAlignment="1">
      <alignment horizontal="center" vertical="top"/>
    </xf>
    <xf numFmtId="0" fontId="43" fillId="0" borderId="14" xfId="13" applyFont="1" applyBorder="1" applyAlignment="1">
      <alignment horizontal="left"/>
    </xf>
    <xf numFmtId="175" fontId="43" fillId="0" borderId="14" xfId="13" applyNumberFormat="1" applyFont="1" applyBorder="1" applyAlignment="1" applyProtection="1">
      <alignment horizontal="left"/>
      <protection locked="0"/>
    </xf>
    <xf numFmtId="0" fontId="43" fillId="0" borderId="0" xfId="13" applyFont="1" applyAlignment="1">
      <alignment horizontal="left" wrapText="1"/>
    </xf>
    <xf numFmtId="0" fontId="43" fillId="0" borderId="0" xfId="13" applyFont="1" applyAlignment="1">
      <alignment horizontal="justify"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0" fontId="53" fillId="0" borderId="86" xfId="0" applyFont="1" applyBorder="1" applyProtection="1"/>
    <xf numFmtId="0" fontId="53" fillId="0" borderId="83" xfId="0" applyFont="1" applyBorder="1" applyProtection="1"/>
    <xf numFmtId="167" fontId="53" fillId="5" borderId="86" xfId="0" applyNumberFormat="1" applyFont="1" applyFill="1" applyBorder="1" applyAlignment="1" applyProtection="1">
      <alignment horizontal="left" vertical="center"/>
    </xf>
    <xf numFmtId="0" fontId="53" fillId="5" borderId="90" xfId="0" applyFont="1" applyFill="1" applyBorder="1" applyAlignment="1" applyProtection="1">
      <alignment horizontal="center" vertical="center"/>
    </xf>
    <xf numFmtId="0" fontId="53" fillId="0" borderId="89" xfId="0" applyFont="1" applyFill="1" applyBorder="1" applyAlignment="1" applyProtection="1">
      <alignment horizontal="center" vertical="center"/>
    </xf>
    <xf numFmtId="169" fontId="53" fillId="5" borderId="82" xfId="0" applyNumberFormat="1" applyFont="1" applyFill="1" applyBorder="1" applyAlignment="1" applyProtection="1">
      <alignment horizontal="center" vertical="center"/>
    </xf>
    <xf numFmtId="0" fontId="53" fillId="5" borderId="83" xfId="0" applyFont="1" applyFill="1" applyBorder="1" applyAlignment="1" applyProtection="1">
      <alignment horizontal="center"/>
    </xf>
    <xf numFmtId="167" fontId="53" fillId="5" borderId="82" xfId="0" applyNumberFormat="1" applyFont="1" applyFill="1" applyBorder="1" applyAlignment="1" applyProtection="1">
      <alignment horizontal="center" vertical="center"/>
    </xf>
    <xf numFmtId="0" fontId="53" fillId="5" borderId="82" xfId="0" applyNumberFormat="1" applyFont="1" applyFill="1" applyBorder="1" applyAlignment="1" applyProtection="1">
      <alignment horizontal="left" vertical="center"/>
    </xf>
    <xf numFmtId="0" fontId="53" fillId="5" borderId="86" xfId="0" applyNumberFormat="1" applyFont="1" applyFill="1" applyBorder="1" applyAlignment="1" applyProtection="1">
      <alignment horizontal="left" vertical="center"/>
    </xf>
    <xf numFmtId="0" fontId="53" fillId="5" borderId="83" xfId="0" applyNumberFormat="1" applyFont="1" applyFill="1" applyBorder="1" applyAlignment="1" applyProtection="1">
      <alignment horizontal="left" vertical="center"/>
    </xf>
    <xf numFmtId="167" fontId="53" fillId="0" borderId="86"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49" fillId="5" borderId="82" xfId="0" applyFont="1" applyFill="1" applyBorder="1" applyAlignment="1" applyProtection="1">
      <alignment horizontal="left" vertical="top" wrapText="1"/>
    </xf>
    <xf numFmtId="0" fontId="49" fillId="5" borderId="86" xfId="0" applyFont="1" applyFill="1" applyBorder="1" applyAlignment="1" applyProtection="1">
      <alignment horizontal="left" vertical="top" wrapText="1"/>
    </xf>
    <xf numFmtId="0" fontId="49" fillId="5" borderId="83" xfId="0" applyFont="1" applyFill="1" applyBorder="1" applyAlignment="1" applyProtection="1">
      <alignment horizontal="left" vertical="top" wrapText="1"/>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164" fontId="53" fillId="5" borderId="82" xfId="1" applyNumberFormat="1" applyFont="1" applyFill="1" applyBorder="1" applyAlignment="1" applyProtection="1">
      <alignment horizontal="right" vertical="center"/>
    </xf>
    <xf numFmtId="164" fontId="53" fillId="5" borderId="83" xfId="1" applyNumberFormat="1" applyFont="1" applyFill="1" applyBorder="1" applyAlignment="1" applyProtection="1">
      <alignment horizontal="right" vertical="center"/>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164" fontId="11" fillId="11" borderId="82" xfId="0" applyNumberFormat="1" applyFont="1" applyFill="1" applyBorder="1" applyAlignment="1" applyProtection="1">
      <alignment horizontal="center"/>
    </xf>
    <xf numFmtId="164" fontId="11" fillId="11" borderId="83" xfId="0" applyNumberFormat="1" applyFont="1" applyFill="1" applyBorder="1" applyAlignment="1" applyProtection="1">
      <alignment horizontal="center"/>
    </xf>
    <xf numFmtId="3" fontId="11" fillId="5" borderId="17" xfId="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8" fontId="2" fillId="5" borderId="98" xfId="1" applyNumberFormat="1" applyFont="1" applyFill="1" applyBorder="1" applyAlignment="1" applyProtection="1">
      <alignment horizontal="right" vertical="center"/>
    </xf>
    <xf numFmtId="38" fontId="2" fillId="5" borderId="99"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2" fillId="5" borderId="67" xfId="1" applyNumberFormat="1" applyFont="1" applyFill="1" applyBorder="1" applyAlignment="1" applyProtection="1">
      <alignment horizontal="right" vertical="center"/>
    </xf>
    <xf numFmtId="38" fontId="2" fillId="5" borderId="68" xfId="1" applyNumberFormat="1" applyFont="1" applyFill="1" applyBorder="1" applyAlignment="1" applyProtection="1">
      <alignment horizontal="right" vertical="center"/>
    </xf>
    <xf numFmtId="38" fontId="2" fillId="5" borderId="102" xfId="1" applyNumberFormat="1" applyFont="1" applyFill="1" applyBorder="1" applyAlignment="1" applyProtection="1">
      <alignment vertical="center"/>
    </xf>
    <xf numFmtId="38" fontId="2" fillId="5" borderId="103" xfId="1" applyNumberFormat="1" applyFont="1" applyFill="1" applyBorder="1" applyAlignment="1" applyProtection="1">
      <alignment vertical="center"/>
    </xf>
    <xf numFmtId="38" fontId="2" fillId="5" borderId="102" xfId="1" applyNumberFormat="1" applyFont="1" applyFill="1" applyBorder="1" applyAlignment="1" applyProtection="1">
      <alignment horizontal="right" vertical="center"/>
    </xf>
    <xf numFmtId="38" fontId="2" fillId="5" borderId="103" xfId="1" applyNumberFormat="1" applyFont="1" applyFill="1" applyBorder="1" applyAlignment="1" applyProtection="1">
      <alignment horizontal="right" vertical="center"/>
    </xf>
    <xf numFmtId="3" fontId="11" fillId="5" borderId="16" xfId="1" applyNumberFormat="1" applyFont="1" applyFill="1" applyBorder="1" applyAlignment="1" applyProtection="1">
      <alignment vertical="center"/>
    </xf>
    <xf numFmtId="0" fontId="49" fillId="5" borderId="102" xfId="0" applyFont="1" applyFill="1" applyBorder="1" applyAlignment="1" applyProtection="1">
      <alignment horizontal="left" vertical="top" wrapText="1"/>
    </xf>
    <xf numFmtId="0" fontId="49" fillId="5" borderId="104" xfId="0" applyFont="1" applyFill="1" applyBorder="1" applyAlignment="1" applyProtection="1">
      <alignment horizontal="left" vertical="top" wrapText="1"/>
    </xf>
    <xf numFmtId="0" fontId="49" fillId="5" borderId="103" xfId="0" applyFont="1" applyFill="1" applyBorder="1" applyAlignment="1" applyProtection="1">
      <alignment horizontal="left" vertical="top" wrapText="1"/>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144" fillId="0" borderId="0" xfId="0" applyFont="1"/>
  </cellXfs>
  <cellStyles count="19">
    <cellStyle name="Comma" xfId="1" builtinId="3"/>
    <cellStyle name="Currency" xfId="2" builtinId="4"/>
    <cellStyle name="Grey" xfId="3"/>
    <cellStyle name="Header1" xfId="4"/>
    <cellStyle name="Header2" xfId="5"/>
    <cellStyle name="Header2 2" xfId="15"/>
    <cellStyle name="Header2 3" xfId="14"/>
    <cellStyle name="Header2 4" xfId="18"/>
    <cellStyle name="Hyperlink" xfId="6" builtinId="8"/>
    <cellStyle name="Input [yellow]" xfId="7"/>
    <cellStyle name="Input [yellow] 2" xfId="16"/>
    <cellStyle name="Input [yellow] 3" xfId="17"/>
    <cellStyle name="Normal" xfId="0" builtinId="0"/>
    <cellStyle name="Normal - Style1" xfId="8"/>
    <cellStyle name="Normal 2" xfId="12"/>
    <cellStyle name="Normal 3" xfId="13"/>
    <cellStyle name="Normal_'96-'97 Rent Tables" xfId="9"/>
    <cellStyle name="Percent" xfId="10" builtinId="5"/>
    <cellStyle name="Percent [2]" xfId="11"/>
  </cellStyles>
  <dxfs count="12">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CC"/>
      <color rgb="FFCCFFFF"/>
      <color rgb="FF99FFCC"/>
      <color rgb="FF0066FF"/>
      <color rgb="FFCCFF99"/>
      <color rgb="FFFD938B"/>
      <color rgb="FFFB5B5B"/>
      <color rgb="FFCAB2D8"/>
      <color rgb="FF99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ColWidth="9.140625" defaultRowHeight="11.25"/>
  <cols>
    <col min="1" max="1" width="3.28515625" style="1189" customWidth="1"/>
    <col min="2" max="2" width="10.7109375" style="1296" customWidth="1"/>
    <col min="3" max="3" width="4.85546875" style="1296" customWidth="1"/>
    <col min="4" max="4" width="8.5703125" style="1296" customWidth="1"/>
    <col min="5" max="5" width="4.28515625" style="1297" customWidth="1"/>
    <col min="6" max="7" width="26.28515625" style="1189" customWidth="1"/>
    <col min="8" max="8" width="30" style="1189" customWidth="1"/>
    <col min="9" max="9" width="4" style="1295" customWidth="1"/>
    <col min="10" max="10" width="6.42578125" style="1189" customWidth="1"/>
    <col min="11" max="11" width="9.7109375" style="1189" customWidth="1"/>
    <col min="12" max="12" width="3.42578125" style="1189" customWidth="1"/>
    <col min="13" max="16384" width="9.140625" style="1189"/>
  </cols>
  <sheetData>
    <row r="1" spans="1:12" s="1187" customFormat="1" ht="15.75">
      <c r="A1" s="1184" t="str">
        <f>CONCATENATE("2013 Application Tabs Checklist for:  ",'Part I-Project Information'!F23, ",  ",'Part I-Project Information'!F26, ",  ",'Part I-Project Information'!J27, " County")</f>
        <v>2013 Application Tabs Checklist for:  BTW-Chapman Phase I,  Columbus,  Muscogee County</v>
      </c>
      <c r="B1" s="1185"/>
      <c r="C1" s="1185"/>
      <c r="D1" s="1185"/>
      <c r="E1" s="1185"/>
      <c r="F1" s="1185"/>
      <c r="G1" s="1185"/>
      <c r="H1" s="1185"/>
      <c r="I1" s="1185"/>
      <c r="J1" s="1185"/>
      <c r="K1" s="1185"/>
      <c r="L1" s="1186"/>
    </row>
    <row r="2" spans="1:12" ht="26.25" customHeight="1">
      <c r="A2" s="1188" t="s">
        <v>3971</v>
      </c>
      <c r="B2" s="1188"/>
      <c r="C2" s="1188"/>
      <c r="D2" s="1188"/>
      <c r="E2" s="1188"/>
      <c r="F2" s="1188"/>
      <c r="G2" s="1188"/>
      <c r="H2" s="1188"/>
      <c r="I2" s="1188"/>
      <c r="J2" s="1188"/>
      <c r="K2" s="1188"/>
      <c r="L2" s="1188"/>
    </row>
    <row r="3" spans="1:12" s="1195" customFormat="1" ht="12" customHeight="1">
      <c r="A3" s="1190" t="s">
        <v>3775</v>
      </c>
      <c r="B3" s="1191"/>
      <c r="C3" s="1191"/>
      <c r="D3" s="1191"/>
      <c r="E3" s="1192" t="s">
        <v>3776</v>
      </c>
      <c r="F3" s="1193"/>
      <c r="G3" s="1193"/>
      <c r="H3" s="1193"/>
      <c r="I3" s="1194"/>
      <c r="J3" s="1193"/>
      <c r="K3" s="1193"/>
      <c r="L3" s="1192" t="s">
        <v>3777</v>
      </c>
    </row>
    <row r="4" spans="1:12" s="1195" customFormat="1" ht="12.75" thickBot="1">
      <c r="A4" s="1196"/>
      <c r="B4" s="1197" t="s">
        <v>3778</v>
      </c>
      <c r="C4" s="1197"/>
      <c r="D4" s="1197"/>
      <c r="E4" s="1198"/>
      <c r="F4" s="1197" t="s">
        <v>4000</v>
      </c>
      <c r="G4" s="1199"/>
      <c r="H4" s="1199"/>
      <c r="I4" s="1197" t="s">
        <v>3779</v>
      </c>
      <c r="J4" s="1199"/>
      <c r="K4" s="1199"/>
      <c r="L4" s="1198"/>
    </row>
    <row r="5" spans="1:12" s="1203" customFormat="1">
      <c r="A5" s="1200"/>
      <c r="B5" s="1201"/>
      <c r="C5" s="1201"/>
      <c r="D5" s="1201"/>
      <c r="E5" s="1202"/>
      <c r="F5" s="1203" t="s">
        <v>3780</v>
      </c>
      <c r="I5" s="1204"/>
      <c r="L5" s="1205" t="s">
        <v>4064</v>
      </c>
    </row>
    <row r="6" spans="1:12" s="1203" customFormat="1" ht="12" customHeight="1">
      <c r="A6" s="1206" t="s">
        <v>3781</v>
      </c>
      <c r="B6" s="1201" t="s">
        <v>1866</v>
      </c>
      <c r="C6" s="1201"/>
      <c r="D6" s="1201"/>
      <c r="E6" s="1207" t="s">
        <v>3781</v>
      </c>
      <c r="F6" s="1203" t="s">
        <v>3967</v>
      </c>
      <c r="I6" s="1204"/>
      <c r="L6" s="1208" t="s">
        <v>4064</v>
      </c>
    </row>
    <row r="7" spans="1:12" s="1203" customFormat="1" ht="12" customHeight="1">
      <c r="A7" s="1200"/>
      <c r="B7" s="1201"/>
      <c r="C7" s="1201"/>
      <c r="D7" s="1201"/>
      <c r="E7" s="1209" t="s">
        <v>3608</v>
      </c>
      <c r="F7" s="1203" t="s">
        <v>3782</v>
      </c>
      <c r="I7" s="1204"/>
      <c r="L7" s="1208" t="s">
        <v>4064</v>
      </c>
    </row>
    <row r="8" spans="1:12" s="1203" customFormat="1" ht="12" customHeight="1">
      <c r="A8" s="1200"/>
      <c r="B8" s="1201"/>
      <c r="C8" s="1201"/>
      <c r="D8" s="1201"/>
      <c r="E8" s="1209" t="s">
        <v>3606</v>
      </c>
      <c r="F8" s="1203" t="s">
        <v>554</v>
      </c>
      <c r="I8" s="1204"/>
      <c r="L8" s="1208" t="s">
        <v>4065</v>
      </c>
    </row>
    <row r="9" spans="1:12" s="1203" customFormat="1" ht="12" customHeight="1">
      <c r="A9" s="1200"/>
      <c r="B9" s="1201"/>
      <c r="C9" s="1201"/>
      <c r="D9" s="1201"/>
      <c r="E9" s="1209" t="s">
        <v>3607</v>
      </c>
      <c r="F9" s="1203" t="s">
        <v>3577</v>
      </c>
      <c r="I9" s="1204"/>
      <c r="L9" s="1208" t="s">
        <v>4064</v>
      </c>
    </row>
    <row r="10" spans="1:12" s="1203" customFormat="1" ht="12" customHeight="1">
      <c r="A10" s="1200"/>
      <c r="B10" s="1201"/>
      <c r="C10" s="1201"/>
      <c r="D10" s="1201"/>
      <c r="E10" s="1209" t="s">
        <v>3609</v>
      </c>
      <c r="F10" s="1203" t="s">
        <v>3596</v>
      </c>
      <c r="I10" s="1204"/>
      <c r="J10" s="1210"/>
      <c r="L10" s="1208" t="s">
        <v>4064</v>
      </c>
    </row>
    <row r="11" spans="1:12" s="1203" customFormat="1" ht="12" customHeight="1">
      <c r="A11" s="1200"/>
      <c r="B11" s="1201"/>
      <c r="C11" s="1201"/>
      <c r="D11" s="1201"/>
      <c r="E11" s="1209" t="s">
        <v>3610</v>
      </c>
      <c r="F11" s="1203" t="s">
        <v>3783</v>
      </c>
      <c r="I11" s="1204"/>
      <c r="J11" s="1210"/>
      <c r="L11" s="1211" t="s">
        <v>4065</v>
      </c>
    </row>
    <row r="12" spans="1:12" s="1203" customFormat="1" ht="12" customHeight="1">
      <c r="A12" s="1200"/>
      <c r="B12" s="1201"/>
      <c r="C12" s="1201"/>
      <c r="D12" s="1201"/>
      <c r="E12" s="1212" t="s">
        <v>3611</v>
      </c>
      <c r="F12" s="1203" t="s">
        <v>3969</v>
      </c>
      <c r="I12" s="1204"/>
      <c r="J12" s="1210"/>
      <c r="L12" s="1211" t="s">
        <v>4064</v>
      </c>
    </row>
    <row r="13" spans="1:12" s="1203" customFormat="1" ht="12" customHeight="1">
      <c r="A13" s="1213" t="s">
        <v>3784</v>
      </c>
      <c r="B13" s="1213"/>
      <c r="C13" s="1213"/>
      <c r="D13" s="1213"/>
      <c r="E13" s="1213"/>
      <c r="F13" s="1213"/>
      <c r="G13" s="1213"/>
      <c r="H13" s="1213"/>
      <c r="I13" s="1213"/>
      <c r="J13" s="1213"/>
      <c r="K13" s="1213"/>
      <c r="L13" s="1213"/>
    </row>
    <row r="14" spans="1:12" s="1203" customFormat="1" ht="12" customHeight="1">
      <c r="A14" s="1214" t="s">
        <v>3608</v>
      </c>
      <c r="B14" s="1215" t="s">
        <v>4031</v>
      </c>
      <c r="C14" s="1215"/>
      <c r="D14" s="1216" t="s">
        <v>4032</v>
      </c>
      <c r="E14" s="1207" t="s">
        <v>3608</v>
      </c>
      <c r="F14" s="1203" t="s">
        <v>3785</v>
      </c>
      <c r="I14" s="1204"/>
      <c r="J14" s="1210"/>
      <c r="L14" s="1208" t="s">
        <v>4064</v>
      </c>
    </row>
    <row r="15" spans="1:12" s="1203" customFormat="1" ht="12" customHeight="1">
      <c r="A15" s="1200"/>
      <c r="C15" s="1217"/>
      <c r="D15" s="1201" t="s">
        <v>3786</v>
      </c>
      <c r="E15" s="1209" t="s">
        <v>3606</v>
      </c>
      <c r="F15" s="1218" t="s">
        <v>3787</v>
      </c>
      <c r="G15" s="1218"/>
      <c r="H15" s="1218"/>
      <c r="I15" s="1219" t="s">
        <v>3931</v>
      </c>
      <c r="J15" s="1220" t="s">
        <v>3932</v>
      </c>
      <c r="K15" s="1220" t="s">
        <v>3936</v>
      </c>
      <c r="L15" s="1208" t="s">
        <v>4064</v>
      </c>
    </row>
    <row r="16" spans="1:12" s="1203" customFormat="1" ht="12" customHeight="1">
      <c r="A16" s="1200"/>
      <c r="C16" s="1217"/>
      <c r="D16" s="1201"/>
      <c r="E16" s="1209"/>
      <c r="F16" s="1218"/>
      <c r="G16" s="1218"/>
      <c r="H16" s="1218"/>
      <c r="I16" s="1219" t="s">
        <v>3933</v>
      </c>
      <c r="J16" s="1220" t="s">
        <v>2698</v>
      </c>
      <c r="K16" s="1220" t="s">
        <v>3937</v>
      </c>
    </row>
    <row r="17" spans="1:12" s="1203" customFormat="1" ht="12" customHeight="1">
      <c r="A17" s="1200"/>
      <c r="C17" s="1217"/>
      <c r="D17" s="1201"/>
      <c r="E17" s="1209"/>
      <c r="F17" s="1218"/>
      <c r="G17" s="1218"/>
      <c r="H17" s="1218"/>
      <c r="I17" s="1219" t="s">
        <v>3793</v>
      </c>
      <c r="J17" s="1220" t="s">
        <v>3934</v>
      </c>
      <c r="K17" s="1220" t="s">
        <v>565</v>
      </c>
    </row>
    <row r="18" spans="1:12" s="1203" customFormat="1" ht="23.25" customHeight="1">
      <c r="A18" s="1200"/>
      <c r="C18" s="1217"/>
      <c r="D18" s="1201"/>
      <c r="E18" s="1209"/>
      <c r="F18" s="1218"/>
      <c r="G18" s="1218"/>
      <c r="H18" s="1218"/>
      <c r="I18" s="1219" t="s">
        <v>3793</v>
      </c>
      <c r="J18" s="1220" t="s">
        <v>3935</v>
      </c>
      <c r="K18" s="1220" t="s">
        <v>565</v>
      </c>
    </row>
    <row r="19" spans="1:12" s="1203" customFormat="1" ht="12" customHeight="1">
      <c r="A19" s="1200"/>
      <c r="C19" s="1217"/>
      <c r="D19" s="1201" t="s">
        <v>3788</v>
      </c>
      <c r="E19" s="1209" t="s">
        <v>3607</v>
      </c>
      <c r="F19" s="1210" t="s">
        <v>3976</v>
      </c>
      <c r="G19" s="1221"/>
      <c r="H19" s="1221"/>
      <c r="I19" s="1219"/>
      <c r="J19" s="1220"/>
      <c r="L19" s="1208" t="s">
        <v>4064</v>
      </c>
    </row>
    <row r="20" spans="1:12" s="1203" customFormat="1" ht="12" customHeight="1">
      <c r="A20" s="1200"/>
      <c r="C20" s="1217"/>
      <c r="D20" s="1201"/>
      <c r="E20" s="1222"/>
      <c r="F20" s="1203" t="s">
        <v>3977</v>
      </c>
      <c r="I20" s="1204"/>
      <c r="J20" s="1210"/>
      <c r="L20" s="1208" t="s">
        <v>4065</v>
      </c>
    </row>
    <row r="21" spans="1:12" s="1203" customFormat="1" ht="23.25" customHeight="1">
      <c r="A21" s="1200"/>
      <c r="C21" s="1217"/>
      <c r="D21" s="1201" t="s">
        <v>3789</v>
      </c>
      <c r="E21" s="1209" t="s">
        <v>3609</v>
      </c>
      <c r="F21" s="1203" t="s">
        <v>3978</v>
      </c>
      <c r="I21" s="1219" t="s">
        <v>3790</v>
      </c>
      <c r="J21" s="1220" t="s">
        <v>3791</v>
      </c>
      <c r="K21" s="1220" t="s">
        <v>3792</v>
      </c>
      <c r="L21" s="1208" t="s">
        <v>4064</v>
      </c>
    </row>
    <row r="22" spans="1:12" s="1203" customFormat="1" ht="12" customHeight="1">
      <c r="A22" s="1200"/>
      <c r="C22" s="1217"/>
      <c r="D22" s="1201"/>
      <c r="E22" s="1222"/>
      <c r="F22" s="1203" t="s">
        <v>3979</v>
      </c>
      <c r="I22" s="1204" t="s">
        <v>3793</v>
      </c>
      <c r="J22" s="1210" t="s">
        <v>3794</v>
      </c>
      <c r="K22" s="1203" t="s">
        <v>565</v>
      </c>
      <c r="L22" s="1208" t="s">
        <v>4065</v>
      </c>
    </row>
    <row r="23" spans="1:12" s="1203" customFormat="1" ht="12" customHeight="1">
      <c r="A23" s="1200"/>
      <c r="C23" s="1217"/>
      <c r="D23" s="1201"/>
      <c r="E23" s="1222"/>
      <c r="F23" s="1203" t="s">
        <v>3980</v>
      </c>
      <c r="I23" s="1204"/>
      <c r="J23" s="1210"/>
      <c r="L23" s="1208" t="s">
        <v>4065</v>
      </c>
    </row>
    <row r="24" spans="1:12" s="1203" customFormat="1" ht="12" customHeight="1">
      <c r="A24" s="1200"/>
      <c r="C24" s="1217"/>
      <c r="D24" s="1201"/>
      <c r="E24" s="1222"/>
      <c r="F24" s="1203" t="s">
        <v>3981</v>
      </c>
      <c r="I24" s="1204"/>
      <c r="J24" s="1210"/>
      <c r="L24" s="1208" t="s">
        <v>4065</v>
      </c>
    </row>
    <row r="25" spans="1:12" s="1203" customFormat="1" ht="12" customHeight="1">
      <c r="A25" s="1200"/>
      <c r="C25" s="1217"/>
      <c r="D25" s="1201"/>
      <c r="E25" s="1222"/>
      <c r="F25" s="1203" t="s">
        <v>3982</v>
      </c>
      <c r="I25" s="1204"/>
      <c r="J25" s="1210"/>
      <c r="L25" s="1208" t="s">
        <v>4065</v>
      </c>
    </row>
    <row r="26" spans="1:12" s="1203" customFormat="1" ht="12" customHeight="1">
      <c r="A26" s="1200"/>
      <c r="C26" s="1217"/>
      <c r="D26" s="1201" t="s">
        <v>3795</v>
      </c>
      <c r="E26" s="1209" t="s">
        <v>3610</v>
      </c>
      <c r="F26" s="1203" t="s">
        <v>3983</v>
      </c>
      <c r="I26" s="1204"/>
      <c r="J26" s="1210"/>
      <c r="L26" s="1208" t="s">
        <v>4065</v>
      </c>
    </row>
    <row r="27" spans="1:12" s="1203" customFormat="1" ht="12" customHeight="1">
      <c r="A27" s="1200"/>
      <c r="B27" s="1223"/>
      <c r="C27" s="1223"/>
      <c r="D27" s="1223"/>
      <c r="E27" s="1222"/>
      <c r="F27" s="1203" t="s">
        <v>3984</v>
      </c>
      <c r="I27" s="1204"/>
      <c r="J27" s="1210"/>
      <c r="L27" s="1208" t="s">
        <v>4065</v>
      </c>
    </row>
    <row r="28" spans="1:12" s="1203" customFormat="1" ht="12" customHeight="1">
      <c r="A28" s="1200"/>
      <c r="B28" s="1223"/>
      <c r="C28" s="1223"/>
      <c r="D28" s="1223"/>
      <c r="E28" s="1222"/>
      <c r="F28" s="1203" t="s">
        <v>3985</v>
      </c>
      <c r="I28" s="1204"/>
      <c r="J28" s="1210"/>
      <c r="L28" s="1208" t="s">
        <v>4065</v>
      </c>
    </row>
    <row r="29" spans="1:12" s="1203" customFormat="1" ht="12" customHeight="1">
      <c r="A29" s="1200"/>
      <c r="B29" s="1223"/>
      <c r="C29" s="1223"/>
      <c r="D29" s="1223"/>
      <c r="E29" s="1222"/>
      <c r="F29" s="1203" t="s">
        <v>3986</v>
      </c>
      <c r="I29" s="1204"/>
      <c r="J29" s="1210"/>
      <c r="L29" s="1208" t="s">
        <v>4065</v>
      </c>
    </row>
    <row r="30" spans="1:12" s="1203" customFormat="1" ht="12" customHeight="1">
      <c r="A30" s="1200"/>
      <c r="B30" s="1223"/>
      <c r="C30" s="1223"/>
      <c r="D30" s="1223"/>
      <c r="E30" s="1209" t="s">
        <v>3611</v>
      </c>
      <c r="F30" s="1203" t="s">
        <v>3796</v>
      </c>
      <c r="I30" s="1204"/>
      <c r="J30" s="1210"/>
      <c r="L30" s="1208" t="s">
        <v>4064</v>
      </c>
    </row>
    <row r="31" spans="1:12" s="1203" customFormat="1" ht="12" customHeight="1">
      <c r="A31" s="1200"/>
      <c r="B31" s="1223"/>
      <c r="C31" s="1223"/>
      <c r="D31" s="1223"/>
      <c r="E31" s="1209" t="s">
        <v>3612</v>
      </c>
      <c r="F31" s="1203" t="s">
        <v>3797</v>
      </c>
      <c r="I31" s="1204"/>
      <c r="J31" s="1210"/>
      <c r="L31" s="1208" t="s">
        <v>4065</v>
      </c>
    </row>
    <row r="32" spans="1:12" s="1203" customFormat="1" ht="23.25" customHeight="1">
      <c r="A32" s="1224" t="s">
        <v>3606</v>
      </c>
      <c r="B32" s="1225" t="s">
        <v>3798</v>
      </c>
      <c r="C32" s="1225"/>
      <c r="D32" s="1225"/>
      <c r="E32" s="1207" t="s">
        <v>3608</v>
      </c>
      <c r="F32" s="1226" t="s">
        <v>3799</v>
      </c>
      <c r="G32" s="1226"/>
      <c r="H32" s="1226"/>
      <c r="I32" s="1227" t="s">
        <v>3800</v>
      </c>
      <c r="J32" s="1228" t="s">
        <v>3801</v>
      </c>
      <c r="K32" s="1229" t="s">
        <v>3802</v>
      </c>
      <c r="L32" s="1208" t="s">
        <v>4065</v>
      </c>
    </row>
    <row r="33" spans="1:12" s="1203" customFormat="1" ht="12" customHeight="1">
      <c r="A33" s="1200"/>
      <c r="B33" s="1201"/>
      <c r="C33" s="1201"/>
      <c r="D33" s="1201"/>
      <c r="E33" s="1209" t="s">
        <v>3606</v>
      </c>
      <c r="F33" s="1203" t="s">
        <v>3803</v>
      </c>
      <c r="I33" s="1204"/>
      <c r="J33" s="1210"/>
      <c r="L33" s="1208" t="s">
        <v>4065</v>
      </c>
    </row>
    <row r="34" spans="1:12" s="1203" customFormat="1" ht="12" customHeight="1">
      <c r="A34" s="1224" t="s">
        <v>3607</v>
      </c>
      <c r="B34" s="1225" t="s">
        <v>4033</v>
      </c>
      <c r="C34" s="1225"/>
      <c r="D34" s="1225" t="s">
        <v>3840</v>
      </c>
      <c r="E34" s="1207" t="s">
        <v>3608</v>
      </c>
      <c r="F34" s="1230" t="s">
        <v>3804</v>
      </c>
      <c r="G34" s="1230"/>
      <c r="H34" s="1230"/>
      <c r="I34" s="1227"/>
      <c r="J34" s="1228"/>
      <c r="K34" s="1229"/>
      <c r="L34" s="1208" t="s">
        <v>4065</v>
      </c>
    </row>
    <row r="35" spans="1:12" s="1203" customFormat="1" ht="12" customHeight="1">
      <c r="A35" s="1224" t="s">
        <v>3609</v>
      </c>
      <c r="B35" s="1225" t="s">
        <v>4034</v>
      </c>
      <c r="C35" s="1225"/>
      <c r="D35" s="1225" t="s">
        <v>3837</v>
      </c>
      <c r="E35" s="1207" t="s">
        <v>3608</v>
      </c>
      <c r="F35" s="1230" t="s">
        <v>3805</v>
      </c>
      <c r="G35" s="1230"/>
      <c r="H35" s="1230"/>
      <c r="I35" s="1227"/>
      <c r="J35" s="1228"/>
      <c r="K35" s="1229"/>
      <c r="L35" s="1208" t="s">
        <v>4065</v>
      </c>
    </row>
    <row r="36" spans="1:12" s="1203" customFormat="1" ht="12" customHeight="1">
      <c r="A36" s="1200"/>
      <c r="B36" s="1217"/>
      <c r="C36" s="1217"/>
      <c r="D36" s="1201" t="s">
        <v>3806</v>
      </c>
      <c r="E36" s="1209" t="s">
        <v>3606</v>
      </c>
      <c r="F36" s="1231" t="s">
        <v>3807</v>
      </c>
      <c r="I36" s="1204"/>
      <c r="J36" s="1210"/>
      <c r="L36" s="1208" t="s">
        <v>4065</v>
      </c>
    </row>
    <row r="37" spans="1:12" s="1203" customFormat="1" ht="12" customHeight="1">
      <c r="A37" s="1224" t="s">
        <v>3610</v>
      </c>
      <c r="B37" s="1225" t="s">
        <v>3808</v>
      </c>
      <c r="C37" s="1225"/>
      <c r="D37" s="1225"/>
      <c r="E37" s="1207" t="s">
        <v>3608</v>
      </c>
      <c r="F37" s="1230" t="s">
        <v>584</v>
      </c>
      <c r="G37" s="1230"/>
      <c r="H37" s="1230"/>
      <c r="I37" s="1227" t="s">
        <v>463</v>
      </c>
      <c r="J37" s="1228" t="s">
        <v>3809</v>
      </c>
      <c r="K37" s="1229" t="s">
        <v>3810</v>
      </c>
      <c r="L37" s="1208" t="s">
        <v>4064</v>
      </c>
    </row>
    <row r="38" spans="1:12" s="1203" customFormat="1" ht="12" customHeight="1">
      <c r="A38" s="1224" t="s">
        <v>3611</v>
      </c>
      <c r="B38" s="1225" t="s">
        <v>4035</v>
      </c>
      <c r="C38" s="1225"/>
      <c r="D38" s="1225" t="s">
        <v>3806</v>
      </c>
      <c r="E38" s="1207" t="s">
        <v>3608</v>
      </c>
      <c r="F38" s="1230" t="s">
        <v>3811</v>
      </c>
      <c r="G38" s="1230"/>
      <c r="H38" s="1230"/>
      <c r="I38" s="1227"/>
      <c r="J38" s="1228"/>
      <c r="K38" s="1229"/>
      <c r="L38" s="1208" t="s">
        <v>4065</v>
      </c>
    </row>
    <row r="39" spans="1:12" s="1203" customFormat="1" ht="12" customHeight="1">
      <c r="A39" s="1224" t="s">
        <v>3612</v>
      </c>
      <c r="B39" s="1225" t="s">
        <v>4036</v>
      </c>
      <c r="C39" s="1225"/>
      <c r="D39" s="1225" t="s">
        <v>4037</v>
      </c>
      <c r="E39" s="1207" t="s">
        <v>3608</v>
      </c>
      <c r="F39" s="1230" t="s">
        <v>3812</v>
      </c>
      <c r="G39" s="1230"/>
      <c r="H39" s="1230"/>
      <c r="I39" s="1227"/>
      <c r="J39" s="1228"/>
      <c r="K39" s="1229"/>
      <c r="L39" s="1208" t="s">
        <v>4064</v>
      </c>
    </row>
    <row r="40" spans="1:12" s="1203" customFormat="1" ht="12" customHeight="1">
      <c r="B40" s="1232" t="s">
        <v>4038</v>
      </c>
      <c r="C40" s="1232"/>
      <c r="D40" s="1233"/>
      <c r="E40" s="1209" t="s">
        <v>3606</v>
      </c>
      <c r="F40" s="1203" t="s">
        <v>3813</v>
      </c>
      <c r="I40" s="1204"/>
      <c r="J40" s="1210"/>
      <c r="L40" s="1208" t="s">
        <v>4064</v>
      </c>
    </row>
    <row r="41" spans="1:12" s="1203" customFormat="1" ht="12" customHeight="1">
      <c r="B41" s="1232"/>
      <c r="C41" s="1232"/>
      <c r="D41" s="1233"/>
      <c r="E41" s="1209" t="s">
        <v>3607</v>
      </c>
      <c r="F41" s="1203" t="s">
        <v>3814</v>
      </c>
      <c r="I41" s="1204"/>
      <c r="J41" s="1210"/>
      <c r="L41" s="1208" t="s">
        <v>4065</v>
      </c>
    </row>
    <row r="42" spans="1:12" s="1203" customFormat="1" ht="12" customHeight="1">
      <c r="B42" s="1232"/>
      <c r="C42" s="1232"/>
      <c r="D42" s="1200"/>
      <c r="E42" s="1234" t="s">
        <v>3609</v>
      </c>
      <c r="F42" s="1235" t="s">
        <v>3970</v>
      </c>
      <c r="G42" s="1235"/>
      <c r="H42" s="1235"/>
      <c r="I42" s="1235"/>
      <c r="J42" s="1235"/>
      <c r="K42" s="1236"/>
      <c r="L42" s="1208"/>
    </row>
    <row r="43" spans="1:12" s="1203" customFormat="1" ht="23.25" customHeight="1">
      <c r="A43" s="1224" t="s">
        <v>3946</v>
      </c>
      <c r="B43" s="1237" t="s">
        <v>3815</v>
      </c>
      <c r="C43" s="1237"/>
      <c r="D43" s="1237"/>
      <c r="E43" s="1207" t="s">
        <v>3608</v>
      </c>
      <c r="F43" s="1238" t="s">
        <v>3816</v>
      </c>
      <c r="G43" s="1238"/>
      <c r="H43" s="1238"/>
      <c r="I43" s="1227" t="s">
        <v>3800</v>
      </c>
      <c r="J43" s="1228" t="s">
        <v>2698</v>
      </c>
      <c r="K43" s="1229" t="s">
        <v>3802</v>
      </c>
      <c r="L43" s="1208" t="s">
        <v>4064</v>
      </c>
    </row>
    <row r="44" spans="1:12" s="1203" customFormat="1" ht="12" customHeight="1">
      <c r="A44" s="1200"/>
      <c r="B44" s="1201"/>
      <c r="C44" s="1201"/>
      <c r="D44" s="1201"/>
      <c r="E44" s="1209" t="s">
        <v>3606</v>
      </c>
      <c r="F44" s="1203" t="s">
        <v>3817</v>
      </c>
      <c r="I44" s="1204"/>
      <c r="J44" s="1210"/>
      <c r="L44" s="1208" t="s">
        <v>4065</v>
      </c>
    </row>
    <row r="45" spans="1:12" s="1203" customFormat="1" ht="12" customHeight="1">
      <c r="A45" s="1200"/>
      <c r="B45" s="1201"/>
      <c r="C45" s="1201"/>
      <c r="D45" s="1201"/>
      <c r="E45" s="1209" t="s">
        <v>3607</v>
      </c>
      <c r="F45" s="1203" t="s">
        <v>3818</v>
      </c>
      <c r="I45" s="1204"/>
      <c r="J45" s="1210"/>
      <c r="L45" s="1208" t="s">
        <v>4065</v>
      </c>
    </row>
    <row r="46" spans="1:12" s="1203" customFormat="1" ht="12" customHeight="1">
      <c r="A46" s="1224" t="s">
        <v>3947</v>
      </c>
      <c r="B46" s="1225" t="s">
        <v>3819</v>
      </c>
      <c r="C46" s="1225"/>
      <c r="D46" s="1225"/>
      <c r="E46" s="1207" t="s">
        <v>3608</v>
      </c>
      <c r="F46" s="1230" t="s">
        <v>3820</v>
      </c>
      <c r="G46" s="1230"/>
      <c r="H46" s="1230"/>
      <c r="I46" s="1227"/>
      <c r="J46" s="1228"/>
      <c r="K46" s="1229"/>
      <c r="L46" s="1208" t="s">
        <v>4064</v>
      </c>
    </row>
    <row r="47" spans="1:12" s="1203" customFormat="1" ht="12" customHeight="1">
      <c r="A47" s="1239">
        <v>10</v>
      </c>
      <c r="B47" s="1225" t="s">
        <v>3821</v>
      </c>
      <c r="C47" s="1225"/>
      <c r="D47" s="1225"/>
      <c r="E47" s="1207" t="s">
        <v>3608</v>
      </c>
      <c r="F47" s="1230" t="s">
        <v>3822</v>
      </c>
      <c r="G47" s="1230"/>
      <c r="H47" s="1230"/>
      <c r="I47" s="1227"/>
      <c r="J47" s="1228"/>
      <c r="K47" s="1229"/>
      <c r="L47" s="1208" t="s">
        <v>4064</v>
      </c>
    </row>
    <row r="48" spans="1:12" s="1203" customFormat="1" ht="12" customHeight="1">
      <c r="A48" s="1200"/>
      <c r="B48" s="1201"/>
      <c r="C48" s="1201"/>
      <c r="D48" s="1201"/>
      <c r="E48" s="1209" t="s">
        <v>3606</v>
      </c>
      <c r="F48" s="1203" t="s">
        <v>3823</v>
      </c>
      <c r="I48" s="1204"/>
      <c r="J48" s="1210"/>
      <c r="L48" s="1208" t="s">
        <v>4064</v>
      </c>
    </row>
    <row r="49" spans="1:12" s="1203" customFormat="1" ht="12" customHeight="1">
      <c r="A49" s="1239">
        <v>11</v>
      </c>
      <c r="B49" s="1225" t="s">
        <v>3824</v>
      </c>
      <c r="C49" s="1225"/>
      <c r="D49" s="1225"/>
      <c r="E49" s="1207" t="s">
        <v>3608</v>
      </c>
      <c r="F49" s="1230" t="s">
        <v>3825</v>
      </c>
      <c r="G49" s="1230"/>
      <c r="H49" s="1230"/>
      <c r="I49" s="1227"/>
      <c r="J49" s="1228"/>
      <c r="K49" s="1229"/>
      <c r="L49" s="1208" t="s">
        <v>4064</v>
      </c>
    </row>
    <row r="50" spans="1:12" s="1203" customFormat="1" ht="12" customHeight="1">
      <c r="A50" s="1239">
        <v>12</v>
      </c>
      <c r="B50" s="1225" t="s">
        <v>3826</v>
      </c>
      <c r="C50" s="1225"/>
      <c r="D50" s="1225"/>
      <c r="E50" s="1207" t="s">
        <v>3608</v>
      </c>
      <c r="F50" s="1230" t="s">
        <v>3827</v>
      </c>
      <c r="G50" s="1230"/>
      <c r="H50" s="1230"/>
      <c r="I50" s="1227"/>
      <c r="J50" s="1228"/>
      <c r="K50" s="1229"/>
      <c r="L50" s="1208" t="s">
        <v>4064</v>
      </c>
    </row>
    <row r="51" spans="1:12" s="1203" customFormat="1" ht="12" customHeight="1">
      <c r="A51" s="1200"/>
      <c r="B51" s="1201"/>
      <c r="C51" s="1201"/>
      <c r="D51" s="1201"/>
      <c r="E51" s="1209" t="s">
        <v>3606</v>
      </c>
      <c r="F51" s="1203" t="s">
        <v>3828</v>
      </c>
      <c r="I51" s="1204"/>
      <c r="J51" s="1210"/>
      <c r="L51" s="1208" t="s">
        <v>4065</v>
      </c>
    </row>
    <row r="52" spans="1:12" s="1203" customFormat="1" ht="12" customHeight="1">
      <c r="A52" s="1200"/>
      <c r="B52" s="1201"/>
      <c r="C52" s="1201"/>
      <c r="D52" s="1201"/>
      <c r="E52" s="1209" t="s">
        <v>3607</v>
      </c>
      <c r="F52" s="1203" t="s">
        <v>3829</v>
      </c>
      <c r="I52" s="1204"/>
      <c r="J52" s="1210"/>
      <c r="L52" s="1208" t="s">
        <v>4065</v>
      </c>
    </row>
    <row r="53" spans="1:12" s="1203" customFormat="1" ht="12" customHeight="1">
      <c r="A53" s="1239">
        <v>13</v>
      </c>
      <c r="B53" s="1225" t="s">
        <v>3830</v>
      </c>
      <c r="C53" s="1225"/>
      <c r="D53" s="1225"/>
      <c r="E53" s="1207" t="s">
        <v>3608</v>
      </c>
      <c r="F53" s="1230" t="s">
        <v>3831</v>
      </c>
      <c r="G53" s="1230"/>
      <c r="H53" s="1230"/>
      <c r="I53" s="1227"/>
      <c r="J53" s="1228"/>
      <c r="K53" s="1229"/>
      <c r="L53" s="1208" t="s">
        <v>4064</v>
      </c>
    </row>
    <row r="54" spans="1:12" s="1203" customFormat="1" ht="12" customHeight="1">
      <c r="A54" s="1200"/>
      <c r="B54" s="1201"/>
      <c r="C54" s="1201"/>
      <c r="D54" s="1201"/>
      <c r="E54" s="1209" t="s">
        <v>3606</v>
      </c>
      <c r="F54" s="1203" t="s">
        <v>3832</v>
      </c>
      <c r="I54" s="1204"/>
      <c r="J54" s="1210"/>
      <c r="L54" s="1208" t="s">
        <v>4064</v>
      </c>
    </row>
    <row r="55" spans="1:12" s="1203" customFormat="1" ht="12" customHeight="1">
      <c r="A55" s="1239">
        <v>14</v>
      </c>
      <c r="B55" s="1225" t="s">
        <v>3833</v>
      </c>
      <c r="C55" s="1225"/>
      <c r="D55" s="1225"/>
      <c r="E55" s="1207" t="s">
        <v>3608</v>
      </c>
      <c r="F55" s="1230" t="s">
        <v>3834</v>
      </c>
      <c r="G55" s="1230"/>
      <c r="H55" s="1230"/>
      <c r="I55" s="1227"/>
      <c r="J55" s="1228"/>
      <c r="K55" s="1229"/>
      <c r="L55" s="1208" t="s">
        <v>4065</v>
      </c>
    </row>
    <row r="56" spans="1:12" s="1203" customFormat="1" ht="12" customHeight="1">
      <c r="A56" s="1239">
        <v>15</v>
      </c>
      <c r="B56" s="1225" t="s">
        <v>3835</v>
      </c>
      <c r="C56" s="1225"/>
      <c r="D56" s="1225"/>
      <c r="E56" s="1207" t="s">
        <v>3608</v>
      </c>
      <c r="F56" s="1230" t="s">
        <v>3836</v>
      </c>
      <c r="G56" s="1230"/>
      <c r="H56" s="1230"/>
      <c r="I56" s="1227"/>
      <c r="J56" s="1228"/>
      <c r="K56" s="1229"/>
      <c r="L56" s="1208" t="s">
        <v>4064</v>
      </c>
    </row>
    <row r="57" spans="1:12" s="1203" customFormat="1" ht="12" customHeight="1">
      <c r="A57" s="1200"/>
      <c r="B57" s="1217"/>
      <c r="C57" s="1217"/>
      <c r="D57" s="1201" t="s">
        <v>3837</v>
      </c>
      <c r="E57" s="1209" t="s">
        <v>3606</v>
      </c>
      <c r="F57" s="1203" t="s">
        <v>3838</v>
      </c>
      <c r="I57" s="1204"/>
      <c r="J57" s="1210"/>
      <c r="L57" s="1208" t="s">
        <v>4065</v>
      </c>
    </row>
    <row r="58" spans="1:12" s="1203" customFormat="1" ht="12" customHeight="1">
      <c r="A58" s="1200"/>
      <c r="B58" s="1217"/>
      <c r="C58" s="1217"/>
      <c r="D58" s="1201" t="s">
        <v>3806</v>
      </c>
      <c r="E58" s="1209" t="s">
        <v>3607</v>
      </c>
      <c r="F58" s="1203" t="s">
        <v>3839</v>
      </c>
      <c r="I58" s="1204"/>
      <c r="J58" s="1210"/>
      <c r="L58" s="1208" t="s">
        <v>4065</v>
      </c>
    </row>
    <row r="59" spans="1:12" s="1203" customFormat="1" ht="12" customHeight="1">
      <c r="A59" s="1200"/>
      <c r="B59" s="1217"/>
      <c r="C59" s="1217"/>
      <c r="D59" s="1201" t="s">
        <v>3840</v>
      </c>
      <c r="E59" s="1209" t="s">
        <v>3609</v>
      </c>
      <c r="F59" s="1203" t="s">
        <v>3841</v>
      </c>
      <c r="I59" s="1204"/>
      <c r="J59" s="1210"/>
      <c r="L59" s="1208" t="s">
        <v>4065</v>
      </c>
    </row>
    <row r="60" spans="1:12" s="1203" customFormat="1" ht="12" customHeight="1">
      <c r="A60" s="1239">
        <v>16</v>
      </c>
      <c r="B60" s="1240" t="s">
        <v>3842</v>
      </c>
      <c r="C60" s="1240"/>
      <c r="D60" s="1225"/>
      <c r="E60" s="1207" t="s">
        <v>3608</v>
      </c>
      <c r="F60" s="1230" t="s">
        <v>3843</v>
      </c>
      <c r="G60" s="1230"/>
      <c r="H60" s="1230"/>
      <c r="I60" s="1227"/>
      <c r="J60" s="1228"/>
      <c r="K60" s="1229"/>
      <c r="L60" s="1208" t="s">
        <v>4064</v>
      </c>
    </row>
    <row r="61" spans="1:12" s="1203" customFormat="1" ht="12" customHeight="1">
      <c r="A61" s="1200"/>
      <c r="B61" s="1241"/>
      <c r="C61" s="1241"/>
      <c r="D61" s="1201"/>
      <c r="E61" s="1209" t="s">
        <v>3606</v>
      </c>
      <c r="F61" s="1203" t="s">
        <v>3844</v>
      </c>
      <c r="I61" s="1204"/>
      <c r="J61" s="1210"/>
      <c r="L61" s="1208" t="s">
        <v>4064</v>
      </c>
    </row>
    <row r="62" spans="1:12" s="1203" customFormat="1" ht="12" customHeight="1">
      <c r="A62" s="1200"/>
      <c r="B62" s="1241"/>
      <c r="C62" s="1241"/>
      <c r="D62" s="1201"/>
      <c r="E62" s="1209" t="s">
        <v>3607</v>
      </c>
      <c r="F62" s="1203" t="s">
        <v>3845</v>
      </c>
      <c r="I62" s="1204"/>
      <c r="J62" s="1210"/>
      <c r="L62" s="1208" t="s">
        <v>4064</v>
      </c>
    </row>
    <row r="63" spans="1:12" s="1203" customFormat="1" ht="12" customHeight="1">
      <c r="A63" s="1200"/>
      <c r="B63" s="1201"/>
      <c r="C63" s="1201"/>
      <c r="D63" s="1201"/>
      <c r="E63" s="1209" t="s">
        <v>3609</v>
      </c>
      <c r="F63" s="1203" t="s">
        <v>3846</v>
      </c>
      <c r="I63" s="1204"/>
      <c r="J63" s="1210"/>
      <c r="L63" s="1208" t="s">
        <v>4064</v>
      </c>
    </row>
    <row r="64" spans="1:12" s="1203" customFormat="1" ht="12" customHeight="1">
      <c r="A64" s="1239" t="s">
        <v>3948</v>
      </c>
      <c r="B64" s="1240" t="s">
        <v>4041</v>
      </c>
      <c r="C64" s="1240"/>
      <c r="D64" s="1225" t="s">
        <v>4037</v>
      </c>
      <c r="E64" s="1207" t="s">
        <v>3608</v>
      </c>
      <c r="F64" s="1242" t="s">
        <v>3847</v>
      </c>
      <c r="G64" s="1243"/>
      <c r="H64" s="1230"/>
      <c r="I64" s="1227"/>
      <c r="J64" s="1228"/>
      <c r="K64" s="1229"/>
      <c r="L64" s="1208" t="s">
        <v>4065</v>
      </c>
    </row>
    <row r="65" spans="1:12" s="1203" customFormat="1" ht="12" customHeight="1">
      <c r="A65" s="1200"/>
      <c r="B65" s="1244"/>
      <c r="C65" s="1244"/>
      <c r="D65" s="1201"/>
      <c r="E65" s="1222" t="s">
        <v>3606</v>
      </c>
      <c r="F65" s="1203" t="s">
        <v>3848</v>
      </c>
      <c r="I65" s="1204"/>
      <c r="J65" s="1210"/>
      <c r="L65" s="1208" t="s">
        <v>4065</v>
      </c>
    </row>
    <row r="66" spans="1:12" s="1203" customFormat="1" ht="12" customHeight="1">
      <c r="A66" s="1239" t="s">
        <v>3949</v>
      </c>
      <c r="B66" s="1240" t="s">
        <v>4043</v>
      </c>
      <c r="C66" s="1240"/>
      <c r="D66" s="1225"/>
      <c r="E66" s="1207" t="s">
        <v>3608</v>
      </c>
      <c r="F66" s="1230" t="s">
        <v>3930</v>
      </c>
      <c r="G66" s="1230"/>
      <c r="H66" s="1230"/>
      <c r="I66" s="1227"/>
      <c r="J66" s="1228"/>
      <c r="K66" s="1229"/>
      <c r="L66" s="1208" t="s">
        <v>4064</v>
      </c>
    </row>
    <row r="67" spans="1:12" s="1203" customFormat="1" ht="12" customHeight="1">
      <c r="A67" s="1200"/>
      <c r="B67" s="1241"/>
      <c r="C67" s="1241"/>
      <c r="D67" s="1201" t="s">
        <v>3849</v>
      </c>
      <c r="E67" s="1209" t="s">
        <v>3606</v>
      </c>
      <c r="F67" s="1203" t="s">
        <v>3850</v>
      </c>
      <c r="I67" s="1204"/>
      <c r="J67" s="1210"/>
      <c r="L67" s="1208" t="s">
        <v>4065</v>
      </c>
    </row>
    <row r="68" spans="1:12" s="1203" customFormat="1" ht="12" customHeight="1">
      <c r="A68" s="1215"/>
      <c r="B68" s="1216" t="s">
        <v>3851</v>
      </c>
      <c r="C68" s="1216"/>
      <c r="D68" s="1216"/>
      <c r="E68" s="1209" t="s">
        <v>3607</v>
      </c>
      <c r="F68" s="1245" t="s">
        <v>3852</v>
      </c>
      <c r="G68" s="1245"/>
      <c r="H68" s="1245"/>
      <c r="I68" s="1246"/>
      <c r="J68" s="1245"/>
      <c r="K68" s="1247"/>
      <c r="L68" s="1208" t="s">
        <v>4064</v>
      </c>
    </row>
    <row r="69" spans="1:12" s="1203" customFormat="1" ht="12" customHeight="1">
      <c r="A69" s="1200"/>
      <c r="B69" s="1201"/>
      <c r="C69" s="1201"/>
      <c r="D69" s="1201"/>
      <c r="E69" s="1209" t="s">
        <v>3609</v>
      </c>
      <c r="F69" s="1203" t="s">
        <v>3853</v>
      </c>
      <c r="I69" s="1204"/>
      <c r="L69" s="1208" t="s">
        <v>4064</v>
      </c>
    </row>
    <row r="70" spans="1:12" s="1203" customFormat="1" ht="12" customHeight="1">
      <c r="A70" s="1200"/>
      <c r="B70" s="1201"/>
      <c r="C70" s="1201"/>
      <c r="D70" s="1201"/>
      <c r="E70" s="1209" t="s">
        <v>3610</v>
      </c>
      <c r="F70" s="1203" t="s">
        <v>3854</v>
      </c>
      <c r="I70" s="1204"/>
      <c r="L70" s="1208" t="s">
        <v>4064</v>
      </c>
    </row>
    <row r="71" spans="1:12" s="1203" customFormat="1" ht="23.25" customHeight="1">
      <c r="A71" s="1200"/>
      <c r="C71" s="1217"/>
      <c r="D71" s="1201" t="s">
        <v>3837</v>
      </c>
      <c r="E71" s="1209" t="s">
        <v>3611</v>
      </c>
      <c r="F71" s="1248" t="s">
        <v>3972</v>
      </c>
      <c r="G71" s="1248"/>
      <c r="H71" s="1248"/>
      <c r="I71" s="1204" t="s">
        <v>3855</v>
      </c>
      <c r="J71" s="1210" t="s">
        <v>3856</v>
      </c>
      <c r="K71" s="1203" t="s">
        <v>3857</v>
      </c>
      <c r="L71" s="1208" t="s">
        <v>4065</v>
      </c>
    </row>
    <row r="72" spans="1:12" s="1203" customFormat="1" ht="12" customHeight="1">
      <c r="A72" s="1200"/>
      <c r="C72" s="1217"/>
      <c r="D72" s="1201" t="s">
        <v>3806</v>
      </c>
      <c r="E72" s="1209" t="s">
        <v>3612</v>
      </c>
      <c r="F72" s="1203" t="s">
        <v>3987</v>
      </c>
      <c r="I72" s="1204"/>
      <c r="J72" s="1210"/>
      <c r="L72" s="1208" t="s">
        <v>4065</v>
      </c>
    </row>
    <row r="73" spans="1:12" s="1203" customFormat="1" ht="12" customHeight="1">
      <c r="A73" s="1200"/>
      <c r="B73" s="1201"/>
      <c r="C73" s="1201"/>
      <c r="D73" s="1201"/>
      <c r="E73" s="1209"/>
      <c r="F73" s="1203" t="s">
        <v>3988</v>
      </c>
      <c r="I73" s="1204"/>
      <c r="J73" s="1210"/>
      <c r="L73" s="1208" t="s">
        <v>4065</v>
      </c>
    </row>
    <row r="74" spans="1:12" s="1203" customFormat="1" ht="12" customHeight="1">
      <c r="A74" s="1200"/>
      <c r="B74" s="1201"/>
      <c r="C74" s="1201"/>
      <c r="D74" s="1201"/>
      <c r="E74" s="1209"/>
      <c r="F74" s="1249" t="s">
        <v>3989</v>
      </c>
      <c r="G74" s="1249"/>
      <c r="H74" s="1249"/>
      <c r="I74" s="1204" t="s">
        <v>3855</v>
      </c>
      <c r="J74" s="1210" t="s">
        <v>3856</v>
      </c>
      <c r="K74" s="1203" t="s">
        <v>3857</v>
      </c>
      <c r="L74" s="1208" t="s">
        <v>4065</v>
      </c>
    </row>
    <row r="75" spans="1:12" s="1203" customFormat="1" ht="12" customHeight="1">
      <c r="A75" s="1200"/>
      <c r="B75" s="1201"/>
      <c r="C75" s="1201"/>
      <c r="D75" s="1201"/>
      <c r="E75" s="1209" t="s">
        <v>3946</v>
      </c>
      <c r="F75" s="1250" t="s">
        <v>3990</v>
      </c>
      <c r="G75" s="1250"/>
      <c r="H75" s="1250"/>
      <c r="I75" s="1204"/>
      <c r="J75" s="1210"/>
      <c r="L75" s="1208" t="s">
        <v>4065</v>
      </c>
    </row>
    <row r="76" spans="1:12" s="1203" customFormat="1" ht="12" customHeight="1">
      <c r="A76" s="1200"/>
      <c r="B76" s="1201"/>
      <c r="C76" s="1201"/>
      <c r="D76" s="1201"/>
      <c r="E76" s="1234" t="s">
        <v>3947</v>
      </c>
      <c r="F76" s="1235" t="s">
        <v>3970</v>
      </c>
      <c r="G76" s="1235"/>
      <c r="H76" s="1235"/>
      <c r="I76" s="1235"/>
      <c r="J76" s="1235"/>
      <c r="K76" s="1236"/>
      <c r="L76" s="1208"/>
    </row>
    <row r="77" spans="1:12" s="1203" customFormat="1" ht="12" customHeight="1">
      <c r="A77" s="1239">
        <v>19</v>
      </c>
      <c r="B77" s="1225" t="s">
        <v>4042</v>
      </c>
      <c r="C77" s="1225"/>
      <c r="D77" s="1225" t="s">
        <v>3837</v>
      </c>
      <c r="E77" s="1207" t="s">
        <v>3608</v>
      </c>
      <c r="F77" s="1230" t="s">
        <v>3858</v>
      </c>
      <c r="G77" s="1230"/>
      <c r="H77" s="1230"/>
      <c r="I77" s="1227"/>
      <c r="J77" s="1228"/>
      <c r="K77" s="1230"/>
      <c r="L77" s="1208" t="s">
        <v>4065</v>
      </c>
    </row>
    <row r="78" spans="1:12" s="1203" customFormat="1" ht="12" customHeight="1">
      <c r="A78" s="1200"/>
      <c r="B78" s="1201"/>
      <c r="C78" s="1201"/>
      <c r="D78" s="1201"/>
      <c r="E78" s="1209" t="s">
        <v>3606</v>
      </c>
      <c r="F78" s="1203" t="s">
        <v>3859</v>
      </c>
      <c r="I78" s="1204"/>
      <c r="J78" s="1210"/>
      <c r="L78" s="1208" t="s">
        <v>4065</v>
      </c>
    </row>
    <row r="79" spans="1:12" s="1203" customFormat="1" ht="12" customHeight="1">
      <c r="A79" s="1200"/>
      <c r="C79" s="1217"/>
      <c r="D79" s="1201" t="s">
        <v>3860</v>
      </c>
      <c r="E79" s="1209" t="s">
        <v>3607</v>
      </c>
      <c r="F79" s="1203" t="s">
        <v>3861</v>
      </c>
      <c r="I79" s="1204"/>
      <c r="J79" s="1210"/>
      <c r="L79" s="1208" t="s">
        <v>4065</v>
      </c>
    </row>
    <row r="80" spans="1:12" s="1203" customFormat="1" ht="12" customHeight="1">
      <c r="A80" s="1200"/>
      <c r="B80" s="1201"/>
      <c r="C80" s="1201"/>
      <c r="D80" s="1201"/>
      <c r="E80" s="1209" t="s">
        <v>3609</v>
      </c>
      <c r="F80" s="1218" t="s">
        <v>3862</v>
      </c>
      <c r="G80" s="1218"/>
      <c r="H80" s="1218"/>
      <c r="I80" s="1204"/>
      <c r="J80" s="1210"/>
      <c r="L80" s="1208" t="s">
        <v>4065</v>
      </c>
    </row>
    <row r="81" spans="1:12" s="1203" customFormat="1" ht="12" customHeight="1">
      <c r="A81" s="1239">
        <v>20</v>
      </c>
      <c r="B81" s="1225" t="s">
        <v>4039</v>
      </c>
      <c r="C81" s="1225"/>
      <c r="D81" s="1225" t="s">
        <v>3837</v>
      </c>
      <c r="E81" s="1207" t="s">
        <v>3608</v>
      </c>
      <c r="F81" s="1251" t="s">
        <v>3863</v>
      </c>
      <c r="G81" s="1230"/>
      <c r="H81" s="1230"/>
      <c r="I81" s="1227"/>
      <c r="J81" s="1228"/>
      <c r="K81" s="1230"/>
      <c r="L81" s="1208" t="s">
        <v>4064</v>
      </c>
    </row>
    <row r="82" spans="1:12" s="1203" customFormat="1" ht="12" customHeight="1">
      <c r="A82" s="1239">
        <v>21</v>
      </c>
      <c r="B82" s="1225" t="s">
        <v>3864</v>
      </c>
      <c r="C82" s="1225"/>
      <c r="D82" s="1225"/>
      <c r="E82" s="1207" t="s">
        <v>3608</v>
      </c>
      <c r="F82" s="1230" t="s">
        <v>3865</v>
      </c>
      <c r="G82" s="1230"/>
      <c r="H82" s="1230"/>
      <c r="I82" s="1227"/>
      <c r="J82" s="1228"/>
      <c r="K82" s="1230"/>
      <c r="L82" s="1208" t="s">
        <v>4065</v>
      </c>
    </row>
    <row r="83" spans="1:12" s="1203" customFormat="1" ht="12" customHeight="1">
      <c r="A83" s="1200"/>
      <c r="B83" s="1201"/>
      <c r="C83" s="1201"/>
      <c r="D83" s="1201"/>
      <c r="E83" s="1209" t="s">
        <v>3606</v>
      </c>
      <c r="F83" s="1203" t="s">
        <v>3866</v>
      </c>
      <c r="I83" s="1204"/>
      <c r="J83" s="1210"/>
      <c r="L83" s="1208" t="s">
        <v>4065</v>
      </c>
    </row>
    <row r="84" spans="1:12" s="1203" customFormat="1" ht="12" customHeight="1">
      <c r="A84" s="1239">
        <v>22</v>
      </c>
      <c r="B84" s="1240" t="s">
        <v>3867</v>
      </c>
      <c r="C84" s="1240"/>
      <c r="D84" s="1225"/>
      <c r="E84" s="1207" t="s">
        <v>3608</v>
      </c>
      <c r="F84" s="1230" t="s">
        <v>3973</v>
      </c>
      <c r="G84" s="1230"/>
      <c r="H84" s="1230"/>
      <c r="I84" s="1227"/>
      <c r="J84" s="1228"/>
      <c r="K84" s="1229"/>
      <c r="L84" s="1208" t="s">
        <v>4065</v>
      </c>
    </row>
    <row r="85" spans="1:12" s="1203" customFormat="1" ht="12" customHeight="1">
      <c r="A85" s="1200"/>
      <c r="B85" s="1241"/>
      <c r="C85" s="1241"/>
      <c r="D85" s="1201"/>
      <c r="E85" s="1209" t="s">
        <v>3606</v>
      </c>
      <c r="F85" s="1203" t="s">
        <v>3184</v>
      </c>
      <c r="I85" s="1204"/>
      <c r="J85" s="1210"/>
      <c r="L85" s="1208" t="s">
        <v>4064</v>
      </c>
    </row>
    <row r="86" spans="1:12" s="1203" customFormat="1" ht="12" customHeight="1">
      <c r="A86" s="1200"/>
      <c r="B86" s="1201"/>
      <c r="C86" s="1201"/>
      <c r="D86" s="1201"/>
      <c r="E86" s="1209" t="s">
        <v>3607</v>
      </c>
      <c r="F86" s="1203" t="s">
        <v>3868</v>
      </c>
      <c r="I86" s="1204"/>
      <c r="J86" s="1210"/>
      <c r="L86" s="1208" t="s">
        <v>4065</v>
      </c>
    </row>
    <row r="87" spans="1:12" s="1203" customFormat="1" ht="12" customHeight="1">
      <c r="A87" s="1200"/>
      <c r="B87" s="1201"/>
      <c r="C87" s="1201"/>
      <c r="D87" s="1201"/>
      <c r="E87" s="1209" t="s">
        <v>3609</v>
      </c>
      <c r="F87" s="1203" t="s">
        <v>624</v>
      </c>
      <c r="I87" s="1204"/>
      <c r="J87" s="1210"/>
      <c r="L87" s="1208" t="s">
        <v>4065</v>
      </c>
    </row>
    <row r="88" spans="1:12" s="1203" customFormat="1" ht="12" customHeight="1">
      <c r="A88" s="1200"/>
      <c r="B88" s="1201"/>
      <c r="C88" s="1201"/>
      <c r="D88" s="1201"/>
      <c r="E88" s="1209" t="s">
        <v>3610</v>
      </c>
      <c r="F88" s="1203" t="s">
        <v>831</v>
      </c>
      <c r="I88" s="1204"/>
      <c r="J88" s="1210"/>
      <c r="L88" s="1208" t="s">
        <v>4065</v>
      </c>
    </row>
    <row r="89" spans="1:12" s="1203" customFormat="1" ht="12" customHeight="1">
      <c r="A89" s="1200"/>
      <c r="B89" s="1201"/>
      <c r="C89" s="1201"/>
      <c r="D89" s="1201"/>
      <c r="E89" s="1209" t="s">
        <v>3611</v>
      </c>
      <c r="F89" s="1203" t="s">
        <v>1998</v>
      </c>
      <c r="I89" s="1204"/>
      <c r="J89" s="1210"/>
      <c r="L89" s="1208" t="s">
        <v>4064</v>
      </c>
    </row>
    <row r="90" spans="1:12" s="1203" customFormat="1" ht="12" customHeight="1">
      <c r="A90" s="1200"/>
      <c r="B90" s="1201"/>
      <c r="C90" s="1201"/>
      <c r="D90" s="1201"/>
      <c r="E90" s="1234" t="s">
        <v>3612</v>
      </c>
      <c r="F90" s="1203" t="s">
        <v>4063</v>
      </c>
      <c r="I90" s="1204"/>
      <c r="J90" s="1210"/>
      <c r="L90" s="1208" t="s">
        <v>4064</v>
      </c>
    </row>
    <row r="91" spans="1:12" s="1203" customFormat="1" ht="12" customHeight="1">
      <c r="A91" s="1239">
        <v>23</v>
      </c>
      <c r="B91" s="1225" t="s">
        <v>4040</v>
      </c>
      <c r="C91" s="1225"/>
      <c r="D91" s="1225" t="s">
        <v>3837</v>
      </c>
      <c r="E91" s="1207" t="s">
        <v>3608</v>
      </c>
      <c r="F91" s="1230" t="s">
        <v>3869</v>
      </c>
      <c r="G91" s="1230"/>
      <c r="H91" s="1230"/>
      <c r="I91" s="1227"/>
      <c r="J91" s="1228"/>
      <c r="K91" s="1230"/>
      <c r="L91" s="1208" t="s">
        <v>4065</v>
      </c>
    </row>
    <row r="92" spans="1:12" s="1203" customFormat="1" ht="12" customHeight="1">
      <c r="A92" s="1200"/>
      <c r="C92" s="1217"/>
      <c r="D92" s="1201" t="s">
        <v>3806</v>
      </c>
      <c r="E92" s="1209" t="s">
        <v>3606</v>
      </c>
      <c r="F92" s="1203" t="s">
        <v>3870</v>
      </c>
      <c r="I92" s="1204"/>
      <c r="J92" s="1210"/>
      <c r="L92" s="1208" t="s">
        <v>4065</v>
      </c>
    </row>
    <row r="93" spans="1:12" s="1203" customFormat="1" ht="12" customHeight="1">
      <c r="A93" s="1200"/>
      <c r="C93" s="1217"/>
      <c r="D93" s="1201" t="s">
        <v>3840</v>
      </c>
      <c r="E93" s="1209" t="s">
        <v>3607</v>
      </c>
      <c r="F93" s="1203" t="s">
        <v>3871</v>
      </c>
      <c r="I93" s="1204"/>
      <c r="J93" s="1210"/>
      <c r="L93" s="1208" t="s">
        <v>4065</v>
      </c>
    </row>
    <row r="94" spans="1:12" s="1203" customFormat="1" ht="12" customHeight="1">
      <c r="A94" s="1200"/>
      <c r="C94" s="1217"/>
      <c r="D94" s="1201" t="s">
        <v>3849</v>
      </c>
      <c r="E94" s="1209" t="s">
        <v>3609</v>
      </c>
      <c r="F94" s="1203" t="s">
        <v>3872</v>
      </c>
      <c r="I94" s="1204"/>
      <c r="J94" s="1210"/>
      <c r="L94" s="1208" t="s">
        <v>4065</v>
      </c>
    </row>
    <row r="95" spans="1:12" s="1203" customFormat="1" ht="12" customHeight="1">
      <c r="A95" s="1239">
        <v>24</v>
      </c>
      <c r="B95" s="1252" t="s">
        <v>3873</v>
      </c>
      <c r="C95" s="1252"/>
      <c r="D95" s="1253"/>
      <c r="E95" s="1207" t="s">
        <v>3608</v>
      </c>
      <c r="F95" s="1254" t="s">
        <v>3874</v>
      </c>
      <c r="G95" s="1254"/>
      <c r="H95" s="1254"/>
      <c r="I95" s="1227"/>
      <c r="J95" s="1228"/>
      <c r="K95" s="1230"/>
      <c r="L95" s="1208" t="s">
        <v>4065</v>
      </c>
    </row>
    <row r="96" spans="1:12" s="1203" customFormat="1" ht="12" customHeight="1">
      <c r="A96" s="1255"/>
      <c r="B96" s="1256"/>
      <c r="C96" s="1256"/>
      <c r="D96" s="1257"/>
      <c r="E96" s="1209" t="s">
        <v>3606</v>
      </c>
      <c r="F96" s="1231" t="s">
        <v>1914</v>
      </c>
      <c r="G96" s="1231"/>
      <c r="H96" s="1231"/>
      <c r="I96" s="1204"/>
      <c r="J96" s="1210"/>
      <c r="L96" s="1208" t="s">
        <v>4065</v>
      </c>
    </row>
    <row r="97" spans="1:12" s="1203" customFormat="1" ht="12" customHeight="1">
      <c r="A97" s="1255"/>
      <c r="B97" s="1258"/>
      <c r="C97" s="1258"/>
      <c r="D97" s="1258"/>
      <c r="E97" s="1209" t="s">
        <v>3607</v>
      </c>
      <c r="F97" s="1231" t="s">
        <v>3875</v>
      </c>
      <c r="G97" s="1231"/>
      <c r="H97" s="1231"/>
      <c r="I97" s="1204"/>
      <c r="J97" s="1210"/>
      <c r="L97" s="1208" t="s">
        <v>4065</v>
      </c>
    </row>
    <row r="98" spans="1:12" s="1203" customFormat="1" ht="12" customHeight="1">
      <c r="A98" s="1255"/>
      <c r="B98" s="1258"/>
      <c r="C98" s="1258"/>
      <c r="D98" s="1258"/>
      <c r="E98" s="1209" t="s">
        <v>3609</v>
      </c>
      <c r="F98" s="1231" t="s">
        <v>2943</v>
      </c>
      <c r="G98" s="1231"/>
      <c r="H98" s="1231"/>
      <c r="I98" s="1204"/>
      <c r="J98" s="1210"/>
      <c r="L98" s="1208" t="s">
        <v>4065</v>
      </c>
    </row>
    <row r="99" spans="1:12" s="1203" customFormat="1" ht="12" customHeight="1">
      <c r="A99" s="1255"/>
      <c r="B99" s="1258"/>
      <c r="C99" s="1258"/>
      <c r="D99" s="1258"/>
      <c r="E99" s="1209" t="s">
        <v>3610</v>
      </c>
      <c r="F99" s="1231" t="s">
        <v>3876</v>
      </c>
      <c r="G99" s="1231"/>
      <c r="H99" s="1231"/>
      <c r="I99" s="1204"/>
      <c r="J99" s="1210"/>
      <c r="L99" s="1208" t="s">
        <v>4065</v>
      </c>
    </row>
    <row r="100" spans="1:12" s="1203" customFormat="1" ht="12" customHeight="1">
      <c r="A100" s="1255"/>
      <c r="B100" s="1255"/>
      <c r="C100" s="1255"/>
      <c r="D100" s="1255"/>
      <c r="E100" s="1209" t="s">
        <v>3611</v>
      </c>
      <c r="F100" s="1231" t="s">
        <v>3877</v>
      </c>
      <c r="G100" s="1231"/>
      <c r="H100" s="1231"/>
      <c r="I100" s="1204"/>
      <c r="J100" s="1210"/>
      <c r="L100" s="1208" t="s">
        <v>4065</v>
      </c>
    </row>
    <row r="101" spans="1:12" s="1203" customFormat="1" ht="12" customHeight="1">
      <c r="A101" s="1255"/>
      <c r="B101" s="1255"/>
      <c r="C101" s="1255"/>
      <c r="D101" s="1255"/>
      <c r="E101" s="1209" t="s">
        <v>3612</v>
      </c>
      <c r="F101" s="1231" t="s">
        <v>3878</v>
      </c>
      <c r="G101" s="1231"/>
      <c r="H101" s="1231"/>
      <c r="I101" s="1204"/>
      <c r="J101" s="1210"/>
      <c r="L101" s="1211" t="s">
        <v>4065</v>
      </c>
    </row>
    <row r="102" spans="1:12" s="1203" customFormat="1" ht="12" customHeight="1">
      <c r="A102" s="1255"/>
      <c r="B102" s="1255"/>
      <c r="C102" s="1255"/>
      <c r="D102" s="1255"/>
      <c r="E102" s="1212" t="s">
        <v>3946</v>
      </c>
      <c r="F102" s="1231" t="s">
        <v>3974</v>
      </c>
      <c r="G102" s="1231"/>
      <c r="H102" s="1231"/>
      <c r="I102" s="1204"/>
      <c r="J102" s="1210"/>
      <c r="L102" s="1211" t="s">
        <v>4065</v>
      </c>
    </row>
    <row r="103" spans="1:12" s="1245" customFormat="1" ht="12" customHeight="1">
      <c r="A103" s="1213" t="s">
        <v>3879</v>
      </c>
      <c r="B103" s="1213"/>
      <c r="C103" s="1213"/>
      <c r="D103" s="1213"/>
      <c r="E103" s="1213"/>
      <c r="F103" s="1213"/>
      <c r="G103" s="1213"/>
      <c r="H103" s="1213"/>
      <c r="I103" s="1213"/>
      <c r="J103" s="1213"/>
      <c r="K103" s="1213"/>
      <c r="L103" s="1213"/>
    </row>
    <row r="104" spans="1:12" s="1203" customFormat="1" ht="12" customHeight="1">
      <c r="A104" s="1215">
        <v>25</v>
      </c>
      <c r="B104" s="1259" t="s">
        <v>4044</v>
      </c>
      <c r="C104" s="1259"/>
      <c r="D104" s="1201"/>
      <c r="E104" s="1207" t="s">
        <v>3608</v>
      </c>
      <c r="F104" s="1203" t="s">
        <v>3880</v>
      </c>
      <c r="I104" s="1204"/>
      <c r="J104" s="1210"/>
      <c r="L104" s="1208" t="s">
        <v>4064</v>
      </c>
    </row>
    <row r="105" spans="1:12" s="1203" customFormat="1" ht="12" customHeight="1">
      <c r="A105" s="1200"/>
      <c r="B105" s="1259"/>
      <c r="C105" s="1259"/>
      <c r="D105" s="1201"/>
      <c r="E105" s="1209" t="s">
        <v>3606</v>
      </c>
      <c r="F105" s="1203" t="s">
        <v>3881</v>
      </c>
      <c r="I105" s="1204"/>
      <c r="J105" s="1210"/>
      <c r="L105" s="1208" t="s">
        <v>4064</v>
      </c>
    </row>
    <row r="106" spans="1:12" s="1203" customFormat="1" ht="12" customHeight="1">
      <c r="A106" s="1200"/>
      <c r="B106" s="1201"/>
      <c r="C106" s="1201"/>
      <c r="D106" s="1201"/>
      <c r="E106" s="1209" t="s">
        <v>3607</v>
      </c>
      <c r="F106" s="1203" t="s">
        <v>3882</v>
      </c>
      <c r="I106" s="1204"/>
      <c r="J106" s="1210"/>
      <c r="L106" s="1208" t="s">
        <v>4064</v>
      </c>
    </row>
    <row r="107" spans="1:12" s="1203" customFormat="1" ht="23.25" customHeight="1">
      <c r="A107" s="1200"/>
      <c r="B107" s="1201"/>
      <c r="C107" s="1201"/>
      <c r="D107" s="1201"/>
      <c r="E107" s="1209" t="s">
        <v>3609</v>
      </c>
      <c r="F107" s="1248" t="s">
        <v>3975</v>
      </c>
      <c r="G107" s="1248"/>
      <c r="H107" s="1248"/>
      <c r="I107" s="1248"/>
      <c r="J107" s="1248"/>
      <c r="K107" s="1260"/>
      <c r="L107" s="1208" t="s">
        <v>4065</v>
      </c>
    </row>
    <row r="108" spans="1:12" s="1203" customFormat="1" ht="12" customHeight="1">
      <c r="A108" s="1200"/>
      <c r="B108" s="1201"/>
      <c r="C108" s="1201"/>
      <c r="D108" s="1201"/>
      <c r="E108" s="1209" t="s">
        <v>3610</v>
      </c>
      <c r="F108" s="1203" t="s">
        <v>3883</v>
      </c>
      <c r="I108" s="1204"/>
      <c r="J108" s="1210"/>
      <c r="L108" s="1208" t="s">
        <v>4065</v>
      </c>
    </row>
    <row r="109" spans="1:12" s="1203" customFormat="1" ht="12" customHeight="1">
      <c r="A109" s="1239">
        <v>26</v>
      </c>
      <c r="B109" s="1225" t="s">
        <v>3884</v>
      </c>
      <c r="C109" s="1225"/>
      <c r="D109" s="1225"/>
      <c r="E109" s="1207" t="s">
        <v>3608</v>
      </c>
      <c r="F109" s="1230" t="s">
        <v>3885</v>
      </c>
      <c r="G109" s="1230"/>
      <c r="H109" s="1230"/>
      <c r="I109" s="1227"/>
      <c r="J109" s="1228"/>
      <c r="K109" s="1230"/>
      <c r="L109" s="1208" t="s">
        <v>4064</v>
      </c>
    </row>
    <row r="110" spans="1:12" s="1203" customFormat="1" ht="12" customHeight="1">
      <c r="A110" s="1200"/>
      <c r="B110" s="1201"/>
      <c r="C110" s="1201"/>
      <c r="D110" s="1201"/>
      <c r="E110" s="1209" t="s">
        <v>3606</v>
      </c>
      <c r="F110" s="1203" t="s">
        <v>547</v>
      </c>
      <c r="I110" s="1204"/>
      <c r="J110" s="1210"/>
      <c r="L110" s="1208" t="s">
        <v>4064</v>
      </c>
    </row>
    <row r="111" spans="1:12" s="1203" customFormat="1" ht="12" customHeight="1">
      <c r="A111" s="1261">
        <v>27</v>
      </c>
      <c r="B111" s="1225" t="s">
        <v>3886</v>
      </c>
      <c r="C111" s="1225"/>
      <c r="D111" s="1225"/>
      <c r="E111" s="1207" t="s">
        <v>3608</v>
      </c>
      <c r="F111" s="1230" t="s">
        <v>598</v>
      </c>
      <c r="G111" s="1230"/>
      <c r="H111" s="1230"/>
      <c r="I111" s="1227"/>
      <c r="J111" s="1228"/>
      <c r="K111" s="1230"/>
      <c r="L111" s="1208" t="s">
        <v>4065</v>
      </c>
    </row>
    <row r="112" spans="1:12" s="1203" customFormat="1" ht="23.25" customHeight="1">
      <c r="A112" s="1200"/>
      <c r="B112" s="1201"/>
      <c r="C112" s="1201"/>
      <c r="D112" s="1201"/>
      <c r="E112" s="1209" t="s">
        <v>3606</v>
      </c>
      <c r="F112" s="1248" t="s">
        <v>3887</v>
      </c>
      <c r="G112" s="1248"/>
      <c r="H112" s="1248"/>
      <c r="I112" s="1248"/>
      <c r="J112" s="1248"/>
      <c r="K112" s="1260"/>
      <c r="L112" s="1208" t="s">
        <v>4065</v>
      </c>
    </row>
    <row r="113" spans="1:12" s="1203" customFormat="1" ht="12" customHeight="1">
      <c r="A113" s="1200"/>
      <c r="B113" s="1201"/>
      <c r="C113" s="1201"/>
      <c r="D113" s="1201"/>
      <c r="E113" s="1209" t="s">
        <v>3607</v>
      </c>
      <c r="F113" s="1203" t="s">
        <v>3888</v>
      </c>
      <c r="I113" s="1204"/>
      <c r="J113" s="1210"/>
      <c r="L113" s="1208" t="s">
        <v>4065</v>
      </c>
    </row>
    <row r="114" spans="1:12" s="1203" customFormat="1" ht="12" customHeight="1">
      <c r="A114" s="1200"/>
      <c r="B114" s="1201"/>
      <c r="C114" s="1201"/>
      <c r="D114" s="1201"/>
      <c r="E114" s="1209" t="s">
        <v>3609</v>
      </c>
      <c r="F114" s="1203" t="s">
        <v>3889</v>
      </c>
      <c r="I114" s="1204"/>
      <c r="J114" s="1210"/>
      <c r="L114" s="1208" t="s">
        <v>4065</v>
      </c>
    </row>
    <row r="115" spans="1:12" s="1203" customFormat="1" ht="12" customHeight="1">
      <c r="A115" s="1200"/>
      <c r="B115" s="1201"/>
      <c r="C115" s="1201"/>
      <c r="D115" s="1201"/>
      <c r="E115" s="1234" t="s">
        <v>3610</v>
      </c>
      <c r="F115" s="1203" t="s">
        <v>3890</v>
      </c>
      <c r="I115" s="1204"/>
      <c r="J115" s="1210"/>
      <c r="L115" s="1208" t="s">
        <v>4065</v>
      </c>
    </row>
    <row r="116" spans="1:12" s="1203" customFormat="1" ht="12" customHeight="1">
      <c r="A116" s="1239">
        <v>28</v>
      </c>
      <c r="B116" s="1240" t="s">
        <v>3891</v>
      </c>
      <c r="C116" s="1240"/>
      <c r="D116" s="1225" t="s">
        <v>4055</v>
      </c>
      <c r="E116" s="1207" t="s">
        <v>3608</v>
      </c>
      <c r="F116" s="1230" t="s">
        <v>3991</v>
      </c>
      <c r="G116" s="1230"/>
      <c r="H116" s="1230"/>
      <c r="I116" s="1227"/>
      <c r="J116" s="1228"/>
      <c r="K116" s="1229"/>
      <c r="L116" s="1208" t="s">
        <v>4065</v>
      </c>
    </row>
    <row r="117" spans="1:12" s="1203" customFormat="1" ht="12" customHeight="1">
      <c r="B117" s="1241"/>
      <c r="C117" s="1241"/>
      <c r="D117" s="1201"/>
      <c r="E117" s="1209"/>
      <c r="F117" s="1203" t="s">
        <v>3992</v>
      </c>
      <c r="I117" s="1204"/>
      <c r="J117" s="1210"/>
      <c r="L117" s="1208" t="s">
        <v>4065</v>
      </c>
    </row>
    <row r="118" spans="1:12" s="1203" customFormat="1" ht="12" customHeight="1">
      <c r="A118" s="1200"/>
      <c r="C118" s="1201"/>
      <c r="D118" s="1201"/>
      <c r="E118" s="1209"/>
      <c r="F118" s="1203" t="s">
        <v>3993</v>
      </c>
      <c r="I118" s="1204"/>
      <c r="J118" s="1210"/>
      <c r="L118" s="1208" t="s">
        <v>4065</v>
      </c>
    </row>
    <row r="119" spans="1:12" s="1203" customFormat="1" ht="12" customHeight="1">
      <c r="A119" s="1200"/>
      <c r="C119" s="1201"/>
      <c r="D119" s="1201"/>
      <c r="E119" s="1209"/>
      <c r="F119" s="1262" t="s">
        <v>3994</v>
      </c>
      <c r="I119" s="1204"/>
      <c r="J119" s="1210"/>
      <c r="L119" s="1263"/>
    </row>
    <row r="120" spans="1:12" s="1203" customFormat="1" ht="12" customHeight="1">
      <c r="A120" s="1200"/>
      <c r="C120" s="1217"/>
      <c r="D120" s="1201" t="s">
        <v>4052</v>
      </c>
      <c r="E120" s="1209" t="s">
        <v>3606</v>
      </c>
      <c r="F120" s="1203" t="s">
        <v>3995</v>
      </c>
      <c r="I120" s="1204"/>
      <c r="J120" s="1210"/>
      <c r="L120" s="1208" t="s">
        <v>4065</v>
      </c>
    </row>
    <row r="121" spans="1:12" s="1203" customFormat="1" ht="12" customHeight="1">
      <c r="D121" s="1201"/>
      <c r="E121" s="1222"/>
      <c r="F121" s="1203" t="s">
        <v>3996</v>
      </c>
      <c r="I121" s="1204"/>
      <c r="J121" s="1210"/>
      <c r="L121" s="1208" t="s">
        <v>4065</v>
      </c>
    </row>
    <row r="122" spans="1:12" s="1203" customFormat="1" ht="12" customHeight="1">
      <c r="D122" s="1201"/>
      <c r="E122" s="1222"/>
      <c r="F122" s="1262" t="s">
        <v>3997</v>
      </c>
      <c r="I122" s="1204"/>
      <c r="J122" s="1210"/>
    </row>
    <row r="123" spans="1:12" s="1203" customFormat="1" ht="12" customHeight="1">
      <c r="A123" s="1200"/>
      <c r="C123" s="1217"/>
      <c r="D123" s="1201" t="s">
        <v>3806</v>
      </c>
      <c r="E123" s="1209" t="s">
        <v>3607</v>
      </c>
      <c r="F123" s="1203" t="s">
        <v>3998</v>
      </c>
      <c r="I123" s="1204"/>
      <c r="J123" s="1210"/>
      <c r="L123" s="1208" t="s">
        <v>4064</v>
      </c>
    </row>
    <row r="124" spans="1:12" s="1203" customFormat="1" ht="23.25" customHeight="1">
      <c r="A124" s="1200"/>
      <c r="B124" s="1201"/>
      <c r="C124" s="1201"/>
      <c r="D124" s="1201"/>
      <c r="E124" s="1222"/>
      <c r="F124" s="1218" t="s">
        <v>3999</v>
      </c>
      <c r="G124" s="1218"/>
      <c r="H124" s="1218"/>
      <c r="I124" s="1204"/>
      <c r="J124" s="1210"/>
      <c r="L124" s="1208" t="s">
        <v>4064</v>
      </c>
    </row>
    <row r="125" spans="1:12" s="1203" customFormat="1" ht="12" customHeight="1">
      <c r="A125" s="1239">
        <v>29</v>
      </c>
      <c r="B125" s="1240" t="s">
        <v>4045</v>
      </c>
      <c r="C125" s="1240"/>
      <c r="D125" s="1225" t="s">
        <v>3837</v>
      </c>
      <c r="E125" s="1207" t="s">
        <v>3608</v>
      </c>
      <c r="F125" s="1230" t="s">
        <v>3892</v>
      </c>
      <c r="G125" s="1230"/>
      <c r="H125" s="1230"/>
      <c r="I125" s="1227"/>
      <c r="J125" s="1228"/>
      <c r="K125" s="1229"/>
      <c r="L125" s="1208" t="s">
        <v>4065</v>
      </c>
    </row>
    <row r="126" spans="1:12" s="1203" customFormat="1" ht="12" customHeight="1">
      <c r="A126" s="1200"/>
      <c r="B126" s="1241"/>
      <c r="C126" s="1241"/>
      <c r="D126" s="1201" t="s">
        <v>4056</v>
      </c>
      <c r="E126" s="1209" t="s">
        <v>3606</v>
      </c>
      <c r="F126" s="1203" t="s">
        <v>4001</v>
      </c>
      <c r="I126" s="1204"/>
      <c r="J126" s="1210"/>
      <c r="L126" s="1208" t="s">
        <v>4065</v>
      </c>
    </row>
    <row r="127" spans="1:12" s="1203" customFormat="1" ht="12" customHeight="1">
      <c r="A127" s="1200"/>
      <c r="E127" s="1222"/>
      <c r="F127" s="1203" t="s">
        <v>4002</v>
      </c>
      <c r="I127" s="1204"/>
      <c r="J127" s="1210"/>
      <c r="L127" s="1208" t="s">
        <v>4065</v>
      </c>
    </row>
    <row r="128" spans="1:12" s="1203" customFormat="1" ht="12" customHeight="1">
      <c r="A128" s="1200"/>
      <c r="E128" s="1222"/>
      <c r="F128" s="1203" t="s">
        <v>4003</v>
      </c>
      <c r="I128" s="1204"/>
      <c r="J128" s="1210"/>
      <c r="L128" s="1208" t="s">
        <v>4065</v>
      </c>
    </row>
    <row r="129" spans="1:12" s="1203" customFormat="1" ht="12" customHeight="1">
      <c r="A129" s="1200"/>
      <c r="E129" s="1222"/>
      <c r="F129" s="1203" t="s">
        <v>4004</v>
      </c>
      <c r="I129" s="1204"/>
      <c r="J129" s="1210"/>
      <c r="L129" s="1208" t="s">
        <v>4065</v>
      </c>
    </row>
    <row r="130" spans="1:12" s="1203" customFormat="1" ht="12" customHeight="1">
      <c r="A130" s="1200"/>
      <c r="C130" s="1201"/>
      <c r="D130" s="1200"/>
      <c r="E130" s="1222"/>
      <c r="F130" s="1203" t="s">
        <v>4005</v>
      </c>
      <c r="I130" s="1204"/>
      <c r="J130" s="1210"/>
      <c r="L130" s="1208" t="s">
        <v>4065</v>
      </c>
    </row>
    <row r="131" spans="1:12" s="1203" customFormat="1" ht="12" customHeight="1">
      <c r="A131" s="1200"/>
      <c r="C131" s="1217"/>
      <c r="D131" s="1200" t="s">
        <v>4057</v>
      </c>
      <c r="E131" s="1209" t="s">
        <v>3607</v>
      </c>
      <c r="F131" s="1203" t="s">
        <v>4006</v>
      </c>
      <c r="I131" s="1204"/>
      <c r="J131" s="1210"/>
      <c r="L131" s="1208" t="s">
        <v>4064</v>
      </c>
    </row>
    <row r="132" spans="1:12" s="1203" customFormat="1" ht="12" customHeight="1">
      <c r="A132" s="1200"/>
      <c r="C132" s="1201"/>
      <c r="D132" s="1200"/>
      <c r="E132" s="1222"/>
      <c r="F132" s="1203" t="s">
        <v>4007</v>
      </c>
      <c r="I132" s="1204"/>
      <c r="J132" s="1210"/>
      <c r="L132" s="1208" t="s">
        <v>4065</v>
      </c>
    </row>
    <row r="133" spans="1:12" s="1203" customFormat="1" ht="12" customHeight="1">
      <c r="A133" s="1200"/>
      <c r="E133" s="1222"/>
      <c r="F133" s="1203" t="s">
        <v>4008</v>
      </c>
      <c r="I133" s="1204"/>
      <c r="J133" s="1210"/>
      <c r="L133" s="1208" t="s">
        <v>4064</v>
      </c>
    </row>
    <row r="134" spans="1:12" s="1203" customFormat="1" ht="12" customHeight="1">
      <c r="A134" s="1200"/>
      <c r="C134" s="1217"/>
      <c r="D134" s="1201" t="s">
        <v>3912</v>
      </c>
      <c r="E134" s="1209" t="s">
        <v>3609</v>
      </c>
      <c r="F134" s="1203" t="s">
        <v>4009</v>
      </c>
      <c r="I134" s="1204"/>
      <c r="J134" s="1210"/>
      <c r="L134" s="1208" t="s">
        <v>4065</v>
      </c>
    </row>
    <row r="135" spans="1:12" s="1203" customFormat="1" ht="12" customHeight="1">
      <c r="A135" s="1200"/>
      <c r="B135" s="1201"/>
      <c r="C135" s="1201"/>
      <c r="D135" s="1201"/>
      <c r="E135" s="1222"/>
      <c r="F135" s="1203" t="s">
        <v>4010</v>
      </c>
      <c r="I135" s="1204"/>
      <c r="J135" s="1210"/>
      <c r="L135" s="1208" t="s">
        <v>4065</v>
      </c>
    </row>
    <row r="136" spans="1:12" s="1203" customFormat="1" ht="12" customHeight="1">
      <c r="A136" s="1200"/>
      <c r="B136" s="1201"/>
      <c r="C136" s="1201"/>
      <c r="D136" s="1201"/>
      <c r="E136" s="1222"/>
      <c r="F136" s="1203" t="s">
        <v>4011</v>
      </c>
      <c r="I136" s="1204"/>
      <c r="J136" s="1210"/>
      <c r="L136" s="1208" t="s">
        <v>4065</v>
      </c>
    </row>
    <row r="137" spans="1:12" s="1203" customFormat="1" ht="12" customHeight="1">
      <c r="A137" s="1200"/>
      <c r="B137" s="1201"/>
      <c r="C137" s="1201"/>
      <c r="D137" s="1201"/>
      <c r="E137" s="1222"/>
      <c r="F137" s="1203" t="s">
        <v>4012</v>
      </c>
      <c r="I137" s="1204"/>
      <c r="J137" s="1210"/>
      <c r="L137" s="1208" t="s">
        <v>4065</v>
      </c>
    </row>
    <row r="138" spans="1:12" s="1203" customFormat="1" ht="12" customHeight="1">
      <c r="A138" s="1200"/>
      <c r="B138" s="1201"/>
      <c r="C138" s="1201"/>
      <c r="D138" s="1201"/>
      <c r="E138" s="1222"/>
      <c r="F138" s="1203" t="s">
        <v>4013</v>
      </c>
      <c r="I138" s="1204"/>
      <c r="J138" s="1210"/>
      <c r="L138" s="1208" t="s">
        <v>4065</v>
      </c>
    </row>
    <row r="139" spans="1:12" s="1203" customFormat="1" ht="12" customHeight="1">
      <c r="A139" s="1200"/>
      <c r="B139" s="1201"/>
      <c r="C139" s="1201"/>
      <c r="D139" s="1201"/>
      <c r="E139" s="1222"/>
      <c r="F139" s="1203" t="s">
        <v>4014</v>
      </c>
      <c r="I139" s="1204"/>
      <c r="J139" s="1210"/>
      <c r="L139" s="1208" t="s">
        <v>4065</v>
      </c>
    </row>
    <row r="140" spans="1:12" s="1203" customFormat="1" ht="12" customHeight="1">
      <c r="A140" s="1239">
        <v>30</v>
      </c>
      <c r="B140" s="1240" t="s">
        <v>4046</v>
      </c>
      <c r="C140" s="1264"/>
      <c r="D140" s="1225" t="s">
        <v>3837</v>
      </c>
      <c r="E140" s="1207" t="s">
        <v>3608</v>
      </c>
      <c r="F140" s="1230" t="s">
        <v>4015</v>
      </c>
      <c r="G140" s="1230"/>
      <c r="H140" s="1230"/>
      <c r="I140" s="1227"/>
      <c r="J140" s="1228"/>
      <c r="K140" s="1229"/>
      <c r="L140" s="1208" t="s">
        <v>4065</v>
      </c>
    </row>
    <row r="141" spans="1:12" s="1203" customFormat="1" ht="23.25" customHeight="1">
      <c r="A141" s="1200"/>
      <c r="B141" s="1241"/>
      <c r="C141" s="1265"/>
      <c r="D141" s="1201"/>
      <c r="E141" s="1209"/>
      <c r="F141" s="1248" t="s">
        <v>4016</v>
      </c>
      <c r="G141" s="1248"/>
      <c r="H141" s="1248"/>
      <c r="I141" s="1248"/>
      <c r="J141" s="1248"/>
      <c r="K141" s="1260"/>
      <c r="L141" s="1208" t="s">
        <v>4065</v>
      </c>
    </row>
    <row r="142" spans="1:12" s="1203" customFormat="1" ht="23.25" customHeight="1">
      <c r="A142" s="1200"/>
      <c r="C142" s="1217"/>
      <c r="D142" s="1201" t="s">
        <v>3806</v>
      </c>
      <c r="E142" s="1209" t="s">
        <v>3606</v>
      </c>
      <c r="F142" s="1218" t="s">
        <v>3893</v>
      </c>
      <c r="G142" s="1218"/>
      <c r="H142" s="1218"/>
      <c r="I142" s="1204"/>
      <c r="J142" s="1210"/>
      <c r="L142" s="1208" t="s">
        <v>4065</v>
      </c>
    </row>
    <row r="143" spans="1:12" s="1203" customFormat="1" ht="12" customHeight="1">
      <c r="A143" s="1239">
        <v>31</v>
      </c>
      <c r="B143" s="1225" t="s">
        <v>3894</v>
      </c>
      <c r="C143" s="1225"/>
      <c r="D143" s="1225"/>
      <c r="E143" s="1207" t="s">
        <v>3608</v>
      </c>
      <c r="F143" s="1230" t="s">
        <v>3895</v>
      </c>
      <c r="G143" s="1230"/>
      <c r="H143" s="1230"/>
      <c r="I143" s="1227"/>
      <c r="J143" s="1228"/>
      <c r="K143" s="1229"/>
      <c r="L143" s="1208" t="s">
        <v>4065</v>
      </c>
    </row>
    <row r="144" spans="1:12" s="1203" customFormat="1" ht="12" customHeight="1">
      <c r="A144" s="1239">
        <v>32</v>
      </c>
      <c r="B144" s="1225" t="s">
        <v>3896</v>
      </c>
      <c r="C144" s="1225"/>
      <c r="D144" s="1225"/>
      <c r="E144" s="1207" t="s">
        <v>3608</v>
      </c>
      <c r="F144" s="1230" t="s">
        <v>3897</v>
      </c>
      <c r="G144" s="1230"/>
      <c r="H144" s="1230"/>
      <c r="I144" s="1227"/>
      <c r="J144" s="1228"/>
      <c r="K144" s="1229"/>
      <c r="L144" s="1208" t="s">
        <v>4065</v>
      </c>
    </row>
    <row r="145" spans="1:12" s="1203" customFormat="1" ht="12" customHeight="1">
      <c r="A145" s="1200"/>
      <c r="B145" s="1201"/>
      <c r="C145" s="1201"/>
      <c r="D145" s="1201"/>
      <c r="E145" s="1209" t="s">
        <v>3606</v>
      </c>
      <c r="F145" s="1203" t="s">
        <v>3898</v>
      </c>
      <c r="I145" s="1204"/>
      <c r="J145" s="1210"/>
      <c r="L145" s="1208" t="s">
        <v>4065</v>
      </c>
    </row>
    <row r="146" spans="1:12" s="1203" customFormat="1" ht="12" customHeight="1">
      <c r="A146" s="1200"/>
      <c r="B146" s="1201"/>
      <c r="C146" s="1201"/>
      <c r="D146" s="1201"/>
      <c r="E146" s="1209" t="s">
        <v>3607</v>
      </c>
      <c r="F146" s="1203" t="s">
        <v>3899</v>
      </c>
      <c r="I146" s="1204"/>
      <c r="J146" s="1210"/>
      <c r="L146" s="1208" t="s">
        <v>4065</v>
      </c>
    </row>
    <row r="147" spans="1:12" s="1203" customFormat="1" ht="12" customHeight="1">
      <c r="A147" s="1200"/>
      <c r="B147" s="1201"/>
      <c r="C147" s="1201"/>
      <c r="D147" s="1201"/>
      <c r="E147" s="1209" t="s">
        <v>3609</v>
      </c>
      <c r="F147" s="1203" t="s">
        <v>3900</v>
      </c>
      <c r="I147" s="1204"/>
      <c r="J147" s="1210"/>
      <c r="L147" s="1208" t="s">
        <v>4065</v>
      </c>
    </row>
    <row r="148" spans="1:12" s="1203" customFormat="1" ht="12" customHeight="1">
      <c r="A148" s="1239">
        <v>33</v>
      </c>
      <c r="B148" s="1225" t="s">
        <v>4048</v>
      </c>
      <c r="C148" s="1225"/>
      <c r="D148" s="1225"/>
      <c r="E148" s="1266" t="s">
        <v>3608</v>
      </c>
      <c r="F148" s="1230" t="s">
        <v>3901</v>
      </c>
      <c r="G148" s="1230"/>
      <c r="H148" s="1230"/>
      <c r="I148" s="1227"/>
      <c r="J148" s="1228"/>
      <c r="K148" s="1229"/>
      <c r="L148" s="1208" t="s">
        <v>4065</v>
      </c>
    </row>
    <row r="149" spans="1:12" s="1203" customFormat="1" ht="12" customHeight="1">
      <c r="A149" s="1239">
        <v>34</v>
      </c>
      <c r="B149" s="1225" t="s">
        <v>4047</v>
      </c>
      <c r="C149" s="1225"/>
      <c r="D149" s="1225" t="s">
        <v>3840</v>
      </c>
      <c r="E149" s="1207" t="s">
        <v>3608</v>
      </c>
      <c r="F149" s="1230" t="s">
        <v>3902</v>
      </c>
      <c r="G149" s="1230"/>
      <c r="H149" s="1230"/>
      <c r="I149" s="1227"/>
      <c r="J149" s="1228"/>
      <c r="K149" s="1229"/>
      <c r="L149" s="1208" t="s">
        <v>4065</v>
      </c>
    </row>
    <row r="150" spans="1:12" s="1203" customFormat="1" ht="12" customHeight="1">
      <c r="A150" s="1200"/>
      <c r="B150" s="1201"/>
      <c r="C150" s="1201"/>
      <c r="D150" s="1201"/>
      <c r="E150" s="1209" t="s">
        <v>3606</v>
      </c>
      <c r="F150" s="1203" t="s">
        <v>3903</v>
      </c>
      <c r="I150" s="1204"/>
      <c r="J150" s="1210"/>
      <c r="L150" s="1208" t="s">
        <v>4065</v>
      </c>
    </row>
    <row r="151" spans="1:12" s="1203" customFormat="1" ht="12" customHeight="1">
      <c r="A151" s="1200"/>
      <c r="B151" s="1201"/>
      <c r="C151" s="1201"/>
      <c r="D151" s="1201"/>
      <c r="E151" s="1209" t="s">
        <v>3607</v>
      </c>
      <c r="F151" s="1203" t="s">
        <v>3904</v>
      </c>
      <c r="I151" s="1204"/>
      <c r="J151" s="1210"/>
      <c r="L151" s="1208" t="s">
        <v>4065</v>
      </c>
    </row>
    <row r="152" spans="1:12" s="1203" customFormat="1" ht="12" customHeight="1">
      <c r="A152" s="1200"/>
      <c r="B152" s="1201"/>
      <c r="C152" s="1201"/>
      <c r="D152" s="1201"/>
      <c r="E152" s="1209" t="s">
        <v>3609</v>
      </c>
      <c r="F152" s="1203" t="s">
        <v>3905</v>
      </c>
      <c r="I152" s="1204"/>
      <c r="J152" s="1210"/>
      <c r="L152" s="1208" t="s">
        <v>4065</v>
      </c>
    </row>
    <row r="153" spans="1:12" s="1203" customFormat="1" ht="12" customHeight="1">
      <c r="A153" s="1200"/>
      <c r="B153" s="1201"/>
      <c r="C153" s="1201"/>
      <c r="D153" s="1201"/>
      <c r="E153" s="1209" t="s">
        <v>3610</v>
      </c>
      <c r="F153" s="1203" t="s">
        <v>3906</v>
      </c>
      <c r="I153" s="1204"/>
      <c r="J153" s="1210"/>
      <c r="L153" s="1208" t="s">
        <v>4065</v>
      </c>
    </row>
    <row r="154" spans="1:12" s="1203" customFormat="1" ht="12" customHeight="1">
      <c r="A154" s="1200"/>
      <c r="B154" s="1201"/>
      <c r="C154" s="1201"/>
      <c r="D154" s="1201"/>
      <c r="E154" s="1209" t="s">
        <v>3611</v>
      </c>
      <c r="F154" s="1203" t="s">
        <v>34</v>
      </c>
      <c r="I154" s="1204"/>
      <c r="J154" s="1210"/>
      <c r="L154" s="1208" t="s">
        <v>4065</v>
      </c>
    </row>
    <row r="155" spans="1:12" s="1203" customFormat="1" ht="12" customHeight="1">
      <c r="A155" s="1200"/>
      <c r="B155" s="1201"/>
      <c r="C155" s="1201"/>
      <c r="D155" s="1201"/>
      <c r="E155" s="1209" t="s">
        <v>3612</v>
      </c>
      <c r="F155" s="1203" t="s">
        <v>3907</v>
      </c>
      <c r="I155" s="1204"/>
      <c r="J155" s="1210"/>
      <c r="L155" s="1208" t="s">
        <v>4065</v>
      </c>
    </row>
    <row r="156" spans="1:12" s="1203" customFormat="1" ht="12" customHeight="1">
      <c r="A156" s="1239">
        <v>35</v>
      </c>
      <c r="B156" s="1240" t="s">
        <v>3968</v>
      </c>
      <c r="C156" s="1225"/>
      <c r="D156" s="1225" t="s">
        <v>3837</v>
      </c>
      <c r="E156" s="1207" t="s">
        <v>3608</v>
      </c>
      <c r="F156" s="1230" t="s">
        <v>4017</v>
      </c>
      <c r="G156" s="1230"/>
      <c r="H156" s="1230"/>
      <c r="I156" s="1227"/>
      <c r="J156" s="1230"/>
      <c r="K156" s="1229"/>
      <c r="L156" s="1208" t="s">
        <v>4064</v>
      </c>
    </row>
    <row r="157" spans="1:12" s="1203" customFormat="1" ht="12" customHeight="1">
      <c r="A157" s="1200"/>
      <c r="B157" s="1241"/>
      <c r="C157" s="1201"/>
      <c r="D157" s="1201"/>
      <c r="E157" s="1222"/>
      <c r="F157" s="1203" t="s">
        <v>4018</v>
      </c>
      <c r="I157" s="1204"/>
      <c r="J157" s="1210"/>
      <c r="L157" s="1208" t="s">
        <v>4064</v>
      </c>
    </row>
    <row r="158" spans="1:12" s="1203" customFormat="1" ht="12" customHeight="1">
      <c r="A158" s="1200"/>
      <c r="B158" s="1241"/>
      <c r="C158" s="1201"/>
      <c r="D158" s="1201"/>
      <c r="E158" s="1222"/>
      <c r="F158" s="1203" t="s">
        <v>4019</v>
      </c>
      <c r="I158" s="1204"/>
      <c r="J158" s="1210"/>
      <c r="L158" s="1208" t="s">
        <v>4064</v>
      </c>
    </row>
    <row r="159" spans="1:12" s="1203" customFormat="1" ht="12" customHeight="1">
      <c r="A159" s="1200"/>
      <c r="B159" s="1201"/>
      <c r="C159" s="1201"/>
      <c r="D159" s="1201"/>
      <c r="E159" s="1222"/>
      <c r="F159" s="1203" t="s">
        <v>4020</v>
      </c>
      <c r="I159" s="1204"/>
      <c r="J159" s="1210"/>
      <c r="L159" s="1208" t="s">
        <v>4064</v>
      </c>
    </row>
    <row r="160" spans="1:12" s="1203" customFormat="1" ht="12" customHeight="1">
      <c r="A160" s="1200"/>
      <c r="B160" s="1201"/>
      <c r="C160" s="1201"/>
      <c r="D160" s="1201"/>
      <c r="E160" s="1222"/>
      <c r="F160" s="1203" t="s">
        <v>4021</v>
      </c>
      <c r="I160" s="1204"/>
      <c r="J160" s="1210"/>
      <c r="L160" s="1208" t="s">
        <v>4064</v>
      </c>
    </row>
    <row r="161" spans="1:12" s="1203" customFormat="1" ht="12" customHeight="1">
      <c r="A161" s="1200"/>
      <c r="B161" s="1201"/>
      <c r="C161" s="1201"/>
      <c r="D161" s="1201"/>
      <c r="E161" s="1222"/>
      <c r="F161" s="1203" t="s">
        <v>4022</v>
      </c>
      <c r="I161" s="1204"/>
      <c r="J161" s="1210"/>
      <c r="L161" s="1208" t="s">
        <v>4064</v>
      </c>
    </row>
    <row r="162" spans="1:12" s="1203" customFormat="1" ht="12" customHeight="1">
      <c r="A162" s="1200"/>
      <c r="C162" s="1217"/>
      <c r="D162" s="1201" t="s">
        <v>3806</v>
      </c>
      <c r="E162" s="1209" t="s">
        <v>3606</v>
      </c>
      <c r="F162" s="1203" t="s">
        <v>4023</v>
      </c>
      <c r="I162" s="1204"/>
      <c r="J162" s="1210"/>
      <c r="L162" s="1208" t="s">
        <v>4065</v>
      </c>
    </row>
    <row r="163" spans="1:12" s="1203" customFormat="1" ht="12" customHeight="1">
      <c r="A163" s="1200"/>
      <c r="B163" s="1201"/>
      <c r="C163" s="1201"/>
      <c r="D163" s="1201"/>
      <c r="E163" s="1222"/>
      <c r="F163" s="1203" t="s">
        <v>4024</v>
      </c>
      <c r="I163" s="1204"/>
      <c r="J163" s="1210"/>
      <c r="L163" s="1208" t="s">
        <v>4065</v>
      </c>
    </row>
    <row r="164" spans="1:12" s="1203" customFormat="1" ht="12" customHeight="1">
      <c r="A164" s="1239">
        <v>36</v>
      </c>
      <c r="B164" s="1240" t="s">
        <v>4049</v>
      </c>
      <c r="C164" s="1240"/>
      <c r="D164" s="1225" t="s">
        <v>3806</v>
      </c>
      <c r="E164" s="1207" t="s">
        <v>3608</v>
      </c>
      <c r="F164" s="1251" t="s">
        <v>3908</v>
      </c>
      <c r="G164" s="1251"/>
      <c r="H164" s="1251"/>
      <c r="I164" s="1227"/>
      <c r="J164" s="1228"/>
      <c r="K164" s="1229"/>
      <c r="L164" s="1208" t="s">
        <v>4064</v>
      </c>
    </row>
    <row r="165" spans="1:12" s="1203" customFormat="1" ht="12" customHeight="1">
      <c r="A165" s="1200"/>
      <c r="B165" s="1244"/>
      <c r="C165" s="1244"/>
      <c r="D165" s="1201"/>
      <c r="E165" s="1209" t="s">
        <v>3606</v>
      </c>
      <c r="F165" s="1267" t="s">
        <v>3909</v>
      </c>
      <c r="G165" s="1267"/>
      <c r="H165" s="1267"/>
      <c r="I165" s="1204"/>
      <c r="J165" s="1210"/>
      <c r="L165" s="1208" t="s">
        <v>4064</v>
      </c>
    </row>
    <row r="166" spans="1:12" s="1203" customFormat="1" ht="12" customHeight="1">
      <c r="A166" s="1239">
        <v>37</v>
      </c>
      <c r="B166" s="1240" t="s">
        <v>4050</v>
      </c>
      <c r="C166" s="1240"/>
      <c r="D166" s="1225" t="s">
        <v>3837</v>
      </c>
      <c r="E166" s="1207" t="s">
        <v>3608</v>
      </c>
      <c r="F166" s="1230" t="s">
        <v>597</v>
      </c>
      <c r="G166" s="1230"/>
      <c r="H166" s="1230"/>
      <c r="I166" s="1227"/>
      <c r="J166" s="1228"/>
      <c r="K166" s="1229"/>
      <c r="L166" s="1208" t="s">
        <v>4065</v>
      </c>
    </row>
    <row r="167" spans="1:12" s="1203" customFormat="1" ht="12" customHeight="1">
      <c r="A167" s="1200"/>
      <c r="B167" s="1241"/>
      <c r="C167" s="1241"/>
      <c r="D167" s="1201"/>
      <c r="E167" s="1209" t="s">
        <v>3606</v>
      </c>
      <c r="F167" s="1203" t="s">
        <v>548</v>
      </c>
      <c r="I167" s="1204"/>
      <c r="J167" s="1210"/>
      <c r="L167" s="1208" t="s">
        <v>4065</v>
      </c>
    </row>
    <row r="168" spans="1:12" s="1203" customFormat="1" ht="12" customHeight="1">
      <c r="A168" s="1200"/>
      <c r="B168" s="1201"/>
      <c r="C168" s="1201"/>
      <c r="D168" s="1201"/>
      <c r="E168" s="1209" t="s">
        <v>3607</v>
      </c>
      <c r="F168" s="1203" t="s">
        <v>3910</v>
      </c>
      <c r="I168" s="1204"/>
      <c r="J168" s="1210"/>
      <c r="L168" s="1208" t="s">
        <v>4065</v>
      </c>
    </row>
    <row r="169" spans="1:12" s="1203" customFormat="1" ht="12" customHeight="1">
      <c r="A169" s="1200"/>
      <c r="C169" s="1217"/>
      <c r="D169" s="1201" t="s">
        <v>4053</v>
      </c>
      <c r="E169" s="1209" t="s">
        <v>3609</v>
      </c>
      <c r="F169" s="1203" t="s">
        <v>3911</v>
      </c>
      <c r="I169" s="1204"/>
      <c r="J169" s="1210"/>
      <c r="L169" s="1208" t="s">
        <v>4065</v>
      </c>
    </row>
    <row r="170" spans="1:12" s="1203" customFormat="1" ht="12" customHeight="1">
      <c r="A170" s="1239">
        <v>38</v>
      </c>
      <c r="B170" s="1225" t="s">
        <v>4051</v>
      </c>
      <c r="C170" s="1225"/>
      <c r="D170" s="1225" t="s">
        <v>4052</v>
      </c>
      <c r="E170" s="1207" t="s">
        <v>3608</v>
      </c>
      <c r="F170" s="1230" t="s">
        <v>4025</v>
      </c>
      <c r="G170" s="1230"/>
      <c r="H170" s="1230"/>
      <c r="I170" s="1227"/>
      <c r="J170" s="1228"/>
      <c r="K170" s="1229"/>
      <c r="L170" s="1208" t="s">
        <v>4065</v>
      </c>
    </row>
    <row r="171" spans="1:12" s="1203" customFormat="1" ht="12" customHeight="1">
      <c r="A171" s="1200"/>
      <c r="B171" s="1201"/>
      <c r="C171" s="1201"/>
      <c r="D171" s="1201"/>
      <c r="E171" s="1268"/>
      <c r="F171" s="1203" t="s">
        <v>4026</v>
      </c>
      <c r="I171" s="1204"/>
      <c r="J171" s="1210"/>
      <c r="L171" s="1208" t="s">
        <v>4065</v>
      </c>
    </row>
    <row r="172" spans="1:12" s="1203" customFormat="1" ht="12" customHeight="1">
      <c r="A172" s="1200"/>
      <c r="C172" s="1217"/>
      <c r="D172" s="1201" t="s">
        <v>3912</v>
      </c>
      <c r="E172" s="1209" t="s">
        <v>3606</v>
      </c>
      <c r="F172" s="1203" t="s">
        <v>4027</v>
      </c>
      <c r="I172" s="1204"/>
      <c r="J172" s="1210"/>
      <c r="L172" s="1208" t="s">
        <v>4065</v>
      </c>
    </row>
    <row r="173" spans="1:12" s="1203" customFormat="1" ht="12" customHeight="1">
      <c r="A173" s="1200"/>
      <c r="C173" s="1217"/>
      <c r="D173" s="1201" t="s">
        <v>3913</v>
      </c>
      <c r="E173" s="1209"/>
      <c r="F173" s="1203" t="s">
        <v>4028</v>
      </c>
      <c r="I173" s="1204"/>
      <c r="J173" s="1210"/>
      <c r="L173" s="1208" t="s">
        <v>4065</v>
      </c>
    </row>
    <row r="174" spans="1:12" s="1203" customFormat="1" ht="12" customHeight="1">
      <c r="A174" s="1200"/>
      <c r="C174" s="1217"/>
      <c r="D174" s="1201" t="s">
        <v>3914</v>
      </c>
      <c r="E174" s="1209"/>
      <c r="F174" s="1203" t="s">
        <v>4029</v>
      </c>
      <c r="I174" s="1204"/>
      <c r="J174" s="1210"/>
      <c r="L174" s="1208" t="s">
        <v>4065</v>
      </c>
    </row>
    <row r="175" spans="1:12" s="1203" customFormat="1" ht="12" customHeight="1">
      <c r="A175" s="1200"/>
      <c r="B175" s="1201"/>
      <c r="C175" s="1201"/>
      <c r="D175" s="1201"/>
      <c r="E175" s="1212"/>
      <c r="F175" s="1203" t="s">
        <v>4030</v>
      </c>
      <c r="I175" s="1204"/>
      <c r="L175" s="1208" t="s">
        <v>4065</v>
      </c>
    </row>
    <row r="176" spans="1:12" s="1203" customFormat="1" ht="12" customHeight="1">
      <c r="A176" s="1269">
        <v>39</v>
      </c>
      <c r="B176" s="1270" t="s">
        <v>4060</v>
      </c>
      <c r="C176" s="1270"/>
      <c r="D176" s="1270"/>
      <c r="E176" s="1271"/>
      <c r="F176" s="1271"/>
      <c r="G176" s="1271"/>
      <c r="H176" s="1271"/>
      <c r="I176" s="1271"/>
      <c r="J176" s="1271"/>
      <c r="K176" s="1271"/>
    </row>
    <row r="177" spans="1:12" s="1203" customFormat="1" ht="23.25" customHeight="1">
      <c r="A177" s="1215"/>
      <c r="B177" s="1272" t="s">
        <v>4058</v>
      </c>
      <c r="C177" s="1272"/>
      <c r="D177" s="1273" t="s">
        <v>4059</v>
      </c>
      <c r="E177" s="1274" t="s">
        <v>3776</v>
      </c>
      <c r="F177" s="1275" t="s">
        <v>4061</v>
      </c>
      <c r="G177" s="1276"/>
      <c r="H177" s="1276"/>
      <c r="I177" s="1276"/>
      <c r="J177" s="1276"/>
      <c r="K177" s="1276"/>
    </row>
    <row r="178" spans="1:12" s="1203" customFormat="1" ht="12" customHeight="1">
      <c r="A178" s="1215"/>
      <c r="B178" s="1277"/>
      <c r="C178" s="1278"/>
      <c r="D178" s="1279"/>
      <c r="E178" s="1280" t="s">
        <v>3608</v>
      </c>
      <c r="F178" s="1281"/>
      <c r="G178" s="1281"/>
      <c r="H178" s="1281"/>
      <c r="I178" s="1281"/>
      <c r="J178" s="1281"/>
      <c r="K178" s="1281"/>
      <c r="L178" s="1208"/>
    </row>
    <row r="179" spans="1:12" s="1203" customFormat="1" ht="12" customHeight="1">
      <c r="A179" s="1200"/>
      <c r="B179" s="1282"/>
      <c r="C179" s="1283"/>
      <c r="D179" s="1284"/>
      <c r="E179" s="1285" t="s">
        <v>3606</v>
      </c>
      <c r="F179" s="1286"/>
      <c r="G179" s="1286"/>
      <c r="H179" s="1286"/>
      <c r="I179" s="1286"/>
      <c r="J179" s="1286"/>
      <c r="K179" s="1286"/>
      <c r="L179" s="1208"/>
    </row>
    <row r="180" spans="1:12" s="1203" customFormat="1" ht="12" customHeight="1">
      <c r="A180" s="1200"/>
      <c r="B180" s="1282"/>
      <c r="C180" s="1283"/>
      <c r="D180" s="1284"/>
      <c r="E180" s="1285" t="s">
        <v>3607</v>
      </c>
      <c r="F180" s="1286"/>
      <c r="G180" s="1286"/>
      <c r="H180" s="1286"/>
      <c r="I180" s="1286"/>
      <c r="J180" s="1286"/>
      <c r="K180" s="1286"/>
      <c r="L180" s="1208"/>
    </row>
    <row r="181" spans="1:12" s="1203" customFormat="1" ht="12" customHeight="1">
      <c r="A181" s="1200"/>
      <c r="B181" s="1282"/>
      <c r="C181" s="1283"/>
      <c r="D181" s="1284"/>
      <c r="E181" s="1285" t="s">
        <v>3609</v>
      </c>
      <c r="F181" s="1286"/>
      <c r="G181" s="1286"/>
      <c r="H181" s="1286"/>
      <c r="I181" s="1286"/>
      <c r="J181" s="1286"/>
      <c r="K181" s="1286"/>
      <c r="L181" s="1208"/>
    </row>
    <row r="182" spans="1:12" s="1203" customFormat="1" ht="12" customHeight="1">
      <c r="A182" s="1200"/>
      <c r="B182" s="1282"/>
      <c r="C182" s="1283"/>
      <c r="D182" s="1284"/>
      <c r="E182" s="1285" t="s">
        <v>3610</v>
      </c>
      <c r="F182" s="1286"/>
      <c r="G182" s="1286"/>
      <c r="H182" s="1286"/>
      <c r="I182" s="1286"/>
      <c r="J182" s="1286"/>
      <c r="K182" s="1286"/>
      <c r="L182" s="1208"/>
    </row>
    <row r="183" spans="1:12" s="1203" customFormat="1" ht="12" customHeight="1">
      <c r="A183" s="1200"/>
      <c r="B183" s="1282"/>
      <c r="C183" s="1283"/>
      <c r="D183" s="1284"/>
      <c r="E183" s="1285" t="s">
        <v>3611</v>
      </c>
      <c r="F183" s="1286"/>
      <c r="G183" s="1286"/>
      <c r="H183" s="1286"/>
      <c r="I183" s="1286"/>
      <c r="J183" s="1286"/>
      <c r="K183" s="1286"/>
      <c r="L183" s="1208"/>
    </row>
    <row r="184" spans="1:12" s="1203" customFormat="1" ht="12" customHeight="1">
      <c r="A184" s="1200"/>
      <c r="B184" s="1282"/>
      <c r="C184" s="1283"/>
      <c r="D184" s="1284"/>
      <c r="E184" s="1285" t="s">
        <v>3612</v>
      </c>
      <c r="F184" s="1286"/>
      <c r="G184" s="1286"/>
      <c r="H184" s="1286"/>
      <c r="I184" s="1286"/>
      <c r="J184" s="1286"/>
      <c r="K184" s="1286"/>
      <c r="L184" s="1208"/>
    </row>
    <row r="185" spans="1:12" s="1203" customFormat="1" ht="12" customHeight="1">
      <c r="A185" s="1200"/>
      <c r="B185" s="1282"/>
      <c r="C185" s="1283"/>
      <c r="D185" s="1284"/>
      <c r="E185" s="1285" t="s">
        <v>3946</v>
      </c>
      <c r="F185" s="1286"/>
      <c r="G185" s="1286"/>
      <c r="H185" s="1286"/>
      <c r="I185" s="1286"/>
      <c r="J185" s="1286"/>
      <c r="K185" s="1286"/>
      <c r="L185" s="1208"/>
    </row>
    <row r="186" spans="1:12" s="1203" customFormat="1" ht="12" customHeight="1">
      <c r="A186" s="1200"/>
      <c r="B186" s="1282"/>
      <c r="C186" s="1283"/>
      <c r="D186" s="1284"/>
      <c r="E186" s="1285" t="s">
        <v>3947</v>
      </c>
      <c r="F186" s="1286"/>
      <c r="G186" s="1286"/>
      <c r="H186" s="1286"/>
      <c r="I186" s="1286"/>
      <c r="J186" s="1286"/>
      <c r="K186" s="1286"/>
      <c r="L186" s="1208"/>
    </row>
    <row r="187" spans="1:12" s="1203" customFormat="1" ht="12" customHeight="1">
      <c r="A187" s="1200"/>
      <c r="B187" s="1287"/>
      <c r="C187" s="1288"/>
      <c r="D187" s="1289"/>
      <c r="E187" s="1290" t="s">
        <v>4054</v>
      </c>
      <c r="F187" s="1291"/>
      <c r="G187" s="1291"/>
      <c r="H187" s="1291"/>
      <c r="I187" s="1291"/>
      <c r="J187" s="1291"/>
      <c r="K187" s="1291"/>
      <c r="L187" s="1208"/>
    </row>
    <row r="188" spans="1:12" s="1203" customFormat="1">
      <c r="A188" s="1200"/>
      <c r="B188" s="1201"/>
      <c r="C188" s="1201"/>
      <c r="D188" s="1201"/>
      <c r="E188" s="1223"/>
      <c r="I188" s="1204"/>
    </row>
    <row r="189" spans="1:12" s="1203" customFormat="1">
      <c r="A189" s="1200"/>
      <c r="B189" s="1201"/>
      <c r="C189" s="1201"/>
      <c r="D189" s="1201"/>
      <c r="E189" s="1223"/>
      <c r="I189" s="1204"/>
    </row>
    <row r="190" spans="1:12" s="1203" customFormat="1">
      <c r="A190" s="1200"/>
      <c r="B190" s="1201"/>
      <c r="C190" s="1201"/>
      <c r="D190" s="1201"/>
      <c r="E190" s="1223"/>
      <c r="I190" s="1204"/>
    </row>
    <row r="191" spans="1:12" s="1203" customFormat="1">
      <c r="A191" s="1200"/>
      <c r="B191" s="1201"/>
      <c r="C191" s="1201"/>
      <c r="D191" s="1201"/>
      <c r="E191" s="1223"/>
      <c r="I191" s="1204"/>
    </row>
    <row r="192" spans="1:12" s="1203" customFormat="1">
      <c r="A192" s="1200"/>
      <c r="B192" s="1201"/>
      <c r="C192" s="1201"/>
      <c r="D192" s="1201"/>
      <c r="E192" s="1223"/>
      <c r="I192" s="1204"/>
    </row>
    <row r="193" spans="1:9" s="1203" customFormat="1">
      <c r="A193" s="1200"/>
      <c r="B193" s="1201"/>
      <c r="C193" s="1201"/>
      <c r="D193" s="1201"/>
      <c r="E193" s="1223"/>
      <c r="I193" s="1204"/>
    </row>
    <row r="194" spans="1:9" s="1203" customFormat="1">
      <c r="A194" s="1200"/>
      <c r="B194" s="1201"/>
      <c r="C194" s="1201"/>
      <c r="D194" s="1201"/>
      <c r="E194" s="1223"/>
      <c r="I194" s="1204"/>
    </row>
    <row r="195" spans="1:9" s="1203" customFormat="1">
      <c r="A195" s="1200"/>
      <c r="B195" s="1201"/>
      <c r="C195" s="1201"/>
      <c r="D195" s="1201"/>
      <c r="E195" s="1223"/>
      <c r="I195" s="1204"/>
    </row>
    <row r="196" spans="1:9" s="1203" customFormat="1">
      <c r="A196" s="1200"/>
      <c r="B196" s="1201"/>
      <c r="C196" s="1201"/>
      <c r="D196" s="1201"/>
      <c r="E196" s="1223"/>
      <c r="I196" s="1204"/>
    </row>
    <row r="197" spans="1:9" s="1203" customFormat="1">
      <c r="A197" s="1200"/>
      <c r="B197" s="1201"/>
      <c r="C197" s="1201"/>
      <c r="D197" s="1201"/>
      <c r="E197" s="1223"/>
      <c r="I197" s="1204"/>
    </row>
    <row r="198" spans="1:9" s="1203" customFormat="1">
      <c r="A198" s="1200"/>
      <c r="B198" s="1201"/>
      <c r="C198" s="1201"/>
      <c r="D198" s="1201"/>
      <c r="E198" s="1223"/>
      <c r="I198" s="1204"/>
    </row>
    <row r="199" spans="1:9" s="1203" customFormat="1">
      <c r="A199" s="1200"/>
      <c r="B199" s="1201"/>
      <c r="C199" s="1201"/>
      <c r="D199" s="1201"/>
      <c r="E199" s="1223"/>
      <c r="I199" s="1204"/>
    </row>
    <row r="200" spans="1:9" s="1203" customFormat="1">
      <c r="A200" s="1200"/>
      <c r="B200" s="1201"/>
      <c r="C200" s="1201"/>
      <c r="D200" s="1201"/>
      <c r="E200" s="1223"/>
      <c r="I200" s="1204"/>
    </row>
    <row r="201" spans="1:9" s="1203" customFormat="1">
      <c r="A201" s="1200"/>
      <c r="B201" s="1201"/>
      <c r="C201" s="1201"/>
      <c r="D201" s="1201"/>
      <c r="E201" s="1223"/>
      <c r="I201" s="1204"/>
    </row>
    <row r="202" spans="1:9" s="1203" customFormat="1">
      <c r="A202" s="1200"/>
      <c r="B202" s="1201"/>
      <c r="C202" s="1201"/>
      <c r="D202" s="1201"/>
      <c r="E202" s="1223"/>
      <c r="I202" s="1204"/>
    </row>
    <row r="203" spans="1:9" s="1203" customFormat="1">
      <c r="A203" s="1200"/>
      <c r="B203" s="1201"/>
      <c r="C203" s="1201"/>
      <c r="D203" s="1201"/>
      <c r="E203" s="1223"/>
      <c r="I203" s="1204"/>
    </row>
    <row r="204" spans="1:9" s="1203" customFormat="1">
      <c r="A204" s="1200"/>
      <c r="B204" s="1201"/>
      <c r="C204" s="1201"/>
      <c r="D204" s="1201"/>
      <c r="E204" s="1223"/>
      <c r="I204" s="1204"/>
    </row>
    <row r="205" spans="1:9" s="1203" customFormat="1">
      <c r="A205" s="1200"/>
      <c r="B205" s="1201"/>
      <c r="C205" s="1201"/>
      <c r="D205" s="1201"/>
      <c r="E205" s="1223"/>
      <c r="I205" s="1204"/>
    </row>
    <row r="206" spans="1:9" s="1203" customFormat="1">
      <c r="A206" s="1200"/>
      <c r="B206" s="1201"/>
      <c r="C206" s="1201"/>
      <c r="D206" s="1201"/>
      <c r="E206" s="1223"/>
      <c r="I206" s="1204"/>
    </row>
    <row r="207" spans="1:9" s="1203" customFormat="1">
      <c r="A207" s="1200"/>
      <c r="B207" s="1201"/>
      <c r="C207" s="1201"/>
      <c r="D207" s="1201"/>
      <c r="E207" s="1223"/>
      <c r="I207" s="1204"/>
    </row>
    <row r="208" spans="1:9" s="1203" customFormat="1">
      <c r="A208" s="1200"/>
      <c r="B208" s="1201"/>
      <c r="C208" s="1201"/>
      <c r="D208" s="1201"/>
      <c r="E208" s="1223"/>
      <c r="I208" s="1204"/>
    </row>
    <row r="209" spans="1:9" s="1203" customFormat="1">
      <c r="A209" s="1200"/>
      <c r="B209" s="1201"/>
      <c r="C209" s="1201"/>
      <c r="D209" s="1201"/>
      <c r="E209" s="1223"/>
      <c r="I209" s="1204"/>
    </row>
    <row r="210" spans="1:9" s="1203" customFormat="1">
      <c r="A210" s="1200"/>
      <c r="B210" s="1201"/>
      <c r="C210" s="1201"/>
      <c r="D210" s="1201"/>
      <c r="E210" s="1223"/>
      <c r="I210" s="1204"/>
    </row>
    <row r="211" spans="1:9" s="1203" customFormat="1">
      <c r="A211" s="1200"/>
      <c r="B211" s="1201"/>
      <c r="C211" s="1201"/>
      <c r="D211" s="1201"/>
      <c r="E211" s="1223"/>
      <c r="I211" s="1204"/>
    </row>
    <row r="212" spans="1:9" s="1203" customFormat="1">
      <c r="A212" s="1200"/>
      <c r="B212" s="1201"/>
      <c r="C212" s="1201"/>
      <c r="D212" s="1201"/>
      <c r="E212" s="1223"/>
      <c r="I212" s="1204"/>
    </row>
    <row r="213" spans="1:9" s="1203" customFormat="1">
      <c r="A213" s="1200"/>
      <c r="B213" s="1201"/>
      <c r="C213" s="1201"/>
      <c r="D213" s="1201"/>
      <c r="E213" s="1223"/>
      <c r="I213" s="1204"/>
    </row>
    <row r="214" spans="1:9" s="1203" customFormat="1">
      <c r="A214" s="1200"/>
      <c r="B214" s="1201"/>
      <c r="C214" s="1201"/>
      <c r="D214" s="1201"/>
      <c r="E214" s="1223"/>
      <c r="I214" s="1204"/>
    </row>
    <row r="215" spans="1:9" s="1203" customFormat="1">
      <c r="A215" s="1200"/>
      <c r="B215" s="1201"/>
      <c r="C215" s="1201"/>
      <c r="D215" s="1201"/>
      <c r="E215" s="1223"/>
      <c r="I215" s="1204"/>
    </row>
    <row r="216" spans="1:9" s="1203" customFormat="1">
      <c r="A216" s="1200"/>
      <c r="B216" s="1201"/>
      <c r="C216" s="1201"/>
      <c r="D216" s="1201"/>
      <c r="E216" s="1223"/>
      <c r="I216" s="1204"/>
    </row>
    <row r="217" spans="1:9" s="1203" customFormat="1">
      <c r="A217" s="1200"/>
      <c r="B217" s="1201"/>
      <c r="C217" s="1201"/>
      <c r="D217" s="1201"/>
      <c r="E217" s="1223"/>
      <c r="I217" s="1204"/>
    </row>
    <row r="218" spans="1:9" s="1203" customFormat="1">
      <c r="A218" s="1200"/>
      <c r="B218" s="1201"/>
      <c r="C218" s="1201"/>
      <c r="D218" s="1201"/>
      <c r="E218" s="1223"/>
      <c r="I218" s="1204"/>
    </row>
    <row r="219" spans="1:9" s="1203" customFormat="1">
      <c r="A219" s="1200"/>
      <c r="B219" s="1201"/>
      <c r="C219" s="1201"/>
      <c r="D219" s="1201"/>
      <c r="E219" s="1223"/>
      <c r="I219" s="1204"/>
    </row>
    <row r="220" spans="1:9" s="1203" customFormat="1">
      <c r="A220" s="1200"/>
      <c r="B220" s="1201"/>
      <c r="C220" s="1201"/>
      <c r="D220" s="1201"/>
      <c r="E220" s="1223"/>
      <c r="I220" s="1204"/>
    </row>
    <row r="221" spans="1:9" s="1203" customFormat="1">
      <c r="A221" s="1200"/>
      <c r="B221" s="1201"/>
      <c r="C221" s="1201"/>
      <c r="D221" s="1201"/>
      <c r="E221" s="1223"/>
      <c r="I221" s="1204"/>
    </row>
    <row r="222" spans="1:9" s="1203" customFormat="1">
      <c r="A222" s="1200"/>
      <c r="B222" s="1201"/>
      <c r="C222" s="1201"/>
      <c r="D222" s="1201"/>
      <c r="E222" s="1223"/>
      <c r="I222" s="1204"/>
    </row>
    <row r="223" spans="1:9" s="1203" customFormat="1">
      <c r="A223" s="1200"/>
      <c r="B223" s="1201"/>
      <c r="C223" s="1201"/>
      <c r="D223" s="1201"/>
      <c r="E223" s="1223"/>
      <c r="I223" s="1204"/>
    </row>
    <row r="224" spans="1:9" s="1203" customFormat="1">
      <c r="A224" s="1200"/>
      <c r="B224" s="1201"/>
      <c r="C224" s="1201"/>
      <c r="D224" s="1201"/>
      <c r="E224" s="1223"/>
      <c r="I224" s="1204"/>
    </row>
    <row r="225" spans="1:9" s="1203" customFormat="1">
      <c r="A225" s="1200"/>
      <c r="B225" s="1201"/>
      <c r="C225" s="1201"/>
      <c r="D225" s="1201"/>
      <c r="E225" s="1223"/>
      <c r="I225" s="1204"/>
    </row>
    <row r="226" spans="1:9" s="1203" customFormat="1">
      <c r="A226" s="1200"/>
      <c r="B226" s="1201"/>
      <c r="C226" s="1201"/>
      <c r="D226" s="1201"/>
      <c r="E226" s="1223"/>
      <c r="I226" s="1204"/>
    </row>
    <row r="227" spans="1:9" s="1203" customFormat="1">
      <c r="A227" s="1200"/>
      <c r="B227" s="1201"/>
      <c r="C227" s="1201"/>
      <c r="D227" s="1201"/>
      <c r="E227" s="1223"/>
      <c r="I227" s="1204"/>
    </row>
    <row r="228" spans="1:9" s="1203" customFormat="1">
      <c r="A228" s="1200"/>
      <c r="B228" s="1201"/>
      <c r="C228" s="1201"/>
      <c r="D228" s="1201"/>
      <c r="E228" s="1223"/>
      <c r="I228" s="1204"/>
    </row>
    <row r="229" spans="1:9" s="1203" customFormat="1">
      <c r="A229" s="1200"/>
      <c r="B229" s="1201"/>
      <c r="C229" s="1201"/>
      <c r="D229" s="1201"/>
      <c r="E229" s="1223"/>
      <c r="I229" s="1204"/>
    </row>
    <row r="230" spans="1:9" s="1203" customFormat="1">
      <c r="A230" s="1200"/>
      <c r="B230" s="1201"/>
      <c r="C230" s="1201"/>
      <c r="D230" s="1201"/>
      <c r="E230" s="1223"/>
      <c r="I230" s="1204"/>
    </row>
    <row r="231" spans="1:9" s="1203" customFormat="1">
      <c r="A231" s="1200"/>
      <c r="B231" s="1201"/>
      <c r="C231" s="1201"/>
      <c r="D231" s="1201"/>
      <c r="E231" s="1223"/>
      <c r="I231" s="1204"/>
    </row>
    <row r="232" spans="1:9" s="1203" customFormat="1">
      <c r="A232" s="1200"/>
      <c r="B232" s="1201"/>
      <c r="C232" s="1201"/>
      <c r="D232" s="1201"/>
      <c r="E232" s="1223"/>
      <c r="I232" s="1204"/>
    </row>
    <row r="233" spans="1:9" s="1203" customFormat="1">
      <c r="A233" s="1200"/>
      <c r="B233" s="1201"/>
      <c r="C233" s="1201"/>
      <c r="D233" s="1201"/>
      <c r="E233" s="1223"/>
      <c r="I233" s="1204"/>
    </row>
    <row r="234" spans="1:9" s="1203" customFormat="1">
      <c r="A234" s="1200"/>
      <c r="B234" s="1201"/>
      <c r="C234" s="1201"/>
      <c r="D234" s="1201"/>
      <c r="E234" s="1223"/>
      <c r="I234" s="1204"/>
    </row>
    <row r="235" spans="1:9" s="1203" customFormat="1">
      <c r="A235" s="1200"/>
      <c r="B235" s="1201"/>
      <c r="C235" s="1201"/>
      <c r="D235" s="1201"/>
      <c r="E235" s="1223"/>
      <c r="I235" s="1204"/>
    </row>
    <row r="236" spans="1:9" s="1203" customFormat="1">
      <c r="A236" s="1200"/>
      <c r="B236" s="1201"/>
      <c r="C236" s="1201"/>
      <c r="D236" s="1201"/>
      <c r="E236" s="1223"/>
      <c r="I236" s="1204"/>
    </row>
    <row r="237" spans="1:9" s="1203" customFormat="1">
      <c r="A237" s="1200"/>
      <c r="B237" s="1201"/>
      <c r="C237" s="1201"/>
      <c r="D237" s="1201"/>
      <c r="E237" s="1223"/>
      <c r="I237" s="1204"/>
    </row>
    <row r="238" spans="1:9" s="1203" customFormat="1">
      <c r="A238" s="1200"/>
      <c r="B238" s="1201"/>
      <c r="C238" s="1201"/>
      <c r="D238" s="1201"/>
      <c r="E238" s="1223"/>
      <c r="I238" s="1204"/>
    </row>
    <row r="239" spans="1:9" s="1203" customFormat="1">
      <c r="A239" s="1200"/>
      <c r="B239" s="1201"/>
      <c r="C239" s="1201"/>
      <c r="D239" s="1201"/>
      <c r="E239" s="1223"/>
      <c r="I239" s="1204"/>
    </row>
    <row r="240" spans="1:9" s="1203" customFormat="1">
      <c r="A240" s="1200"/>
      <c r="B240" s="1201"/>
      <c r="C240" s="1201"/>
      <c r="D240" s="1201"/>
      <c r="E240" s="1223"/>
      <c r="I240" s="1204"/>
    </row>
    <row r="241" spans="1:9" s="1203" customFormat="1">
      <c r="A241" s="1200"/>
      <c r="B241" s="1201"/>
      <c r="C241" s="1201"/>
      <c r="D241" s="1201"/>
      <c r="E241" s="1223"/>
      <c r="I241" s="1204"/>
    </row>
    <row r="242" spans="1:9" s="1203" customFormat="1">
      <c r="A242" s="1200"/>
      <c r="B242" s="1201"/>
      <c r="C242" s="1201"/>
      <c r="D242" s="1201"/>
      <c r="E242" s="1223"/>
      <c r="I242" s="1204"/>
    </row>
    <row r="243" spans="1:9" s="1203" customFormat="1">
      <c r="A243" s="1200"/>
      <c r="B243" s="1201"/>
      <c r="C243" s="1201"/>
      <c r="D243" s="1201"/>
      <c r="E243" s="1223"/>
      <c r="I243" s="1204"/>
    </row>
    <row r="244" spans="1:9" s="1203" customFormat="1">
      <c r="A244" s="1200"/>
      <c r="B244" s="1201"/>
      <c r="C244" s="1201"/>
      <c r="D244" s="1201"/>
      <c r="E244" s="1223"/>
      <c r="I244" s="1204"/>
    </row>
    <row r="245" spans="1:9" s="1203" customFormat="1">
      <c r="A245" s="1200"/>
      <c r="B245" s="1201"/>
      <c r="C245" s="1201"/>
      <c r="D245" s="1201"/>
      <c r="E245" s="1223"/>
      <c r="I245" s="1204"/>
    </row>
    <row r="246" spans="1:9" s="1203" customFormat="1">
      <c r="A246" s="1200"/>
      <c r="B246" s="1201"/>
      <c r="C246" s="1201"/>
      <c r="D246" s="1201"/>
      <c r="E246" s="1223"/>
      <c r="I246" s="1204"/>
    </row>
    <row r="247" spans="1:9" s="1203" customFormat="1">
      <c r="A247" s="1200"/>
      <c r="B247" s="1201"/>
      <c r="C247" s="1201"/>
      <c r="D247" s="1201"/>
      <c r="E247" s="1223"/>
      <c r="I247" s="1204"/>
    </row>
    <row r="248" spans="1:9">
      <c r="A248" s="1292"/>
      <c r="B248" s="1293"/>
      <c r="C248" s="1293"/>
      <c r="D248" s="1293"/>
      <c r="E248" s="1294"/>
    </row>
    <row r="249" spans="1:9">
      <c r="A249" s="1292"/>
      <c r="B249" s="1293"/>
      <c r="C249" s="1293"/>
      <c r="D249" s="1293"/>
      <c r="E249" s="1294"/>
    </row>
    <row r="250" spans="1:9">
      <c r="A250" s="1292"/>
      <c r="B250" s="1293"/>
      <c r="C250" s="1293"/>
      <c r="D250" s="1293"/>
      <c r="E250" s="1294"/>
    </row>
    <row r="251" spans="1:9">
      <c r="A251" s="1292"/>
      <c r="B251" s="1293"/>
      <c r="C251" s="1293"/>
      <c r="D251" s="1293"/>
      <c r="E251" s="1294"/>
    </row>
    <row r="252" spans="1:9">
      <c r="A252" s="1292"/>
      <c r="B252" s="1293"/>
      <c r="C252" s="1293"/>
      <c r="D252" s="1293"/>
      <c r="E252" s="1294"/>
    </row>
    <row r="253" spans="1:9">
      <c r="A253" s="1292"/>
      <c r="B253" s="1293"/>
      <c r="C253" s="1293"/>
      <c r="D253" s="1293"/>
      <c r="E253" s="1294"/>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36" t="str">
        <f>CONCATENATE("PART SIX - PROJECTED REVENUES &amp; EXPENSES","  -  ",'Part I-Project Information'!$O$4," ",'Part I-Project Information'!$F$23,", ",'Part I-Project Information'!F26,", ",'Part I-Project Information'!J27," County")</f>
        <v>PART SIX - PROJECTED REVENUES &amp; EXPENSES  -  2013-019 BTW-Chapman Phase I, Columbus, Muscogee County</v>
      </c>
      <c r="B1" s="937"/>
      <c r="C1" s="937"/>
      <c r="D1" s="937"/>
      <c r="E1" s="937"/>
      <c r="F1" s="937"/>
      <c r="G1" s="937"/>
      <c r="H1" s="937"/>
      <c r="I1" s="937"/>
      <c r="J1" s="937"/>
      <c r="K1" s="937"/>
      <c r="L1" s="937"/>
      <c r="M1" s="937"/>
      <c r="N1" s="937"/>
      <c r="O1" s="937"/>
      <c r="P1" s="938"/>
      <c r="T1" s="1020" t="str">
        <f>A1</f>
        <v>PART SIX - PROJECTED REVENUES &amp; EXPENSES  -  2013-019 BTW-Chapman Phase I, Columbus, Muscogee County</v>
      </c>
      <c r="U1" s="1020"/>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3566</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23" t="s">
        <v>1315</v>
      </c>
      <c r="W4" s="1023" t="s">
        <v>1061</v>
      </c>
      <c r="X4" s="1023" t="s">
        <v>1062</v>
      </c>
      <c r="Y4" s="1023" t="s">
        <v>1063</v>
      </c>
      <c r="Z4" s="1023" t="s">
        <v>1064</v>
      </c>
      <c r="AA4" s="1023" t="s">
        <v>1316</v>
      </c>
      <c r="AB4" s="1023" t="s">
        <v>3041</v>
      </c>
      <c r="AC4" s="1023" t="s">
        <v>3042</v>
      </c>
      <c r="AD4" s="1023" t="s">
        <v>3043</v>
      </c>
      <c r="AE4" s="1023" t="s">
        <v>3044</v>
      </c>
      <c r="AF4" s="1023" t="s">
        <v>1317</v>
      </c>
      <c r="AG4" s="1023" t="s">
        <v>3045</v>
      </c>
      <c r="AH4" s="1023" t="s">
        <v>3046</v>
      </c>
      <c r="AI4" s="1023" t="s">
        <v>3047</v>
      </c>
      <c r="AJ4" s="1023" t="s">
        <v>3048</v>
      </c>
      <c r="AK4" s="1023" t="s">
        <v>136</v>
      </c>
      <c r="AL4" s="1023" t="s">
        <v>3049</v>
      </c>
      <c r="AM4" s="1023" t="s">
        <v>3050</v>
      </c>
      <c r="AN4" s="1023" t="s">
        <v>3051</v>
      </c>
      <c r="AO4" s="1023" t="s">
        <v>1561</v>
      </c>
      <c r="AP4" s="1023" t="s">
        <v>724</v>
      </c>
      <c r="AQ4" s="1023" t="s">
        <v>725</v>
      </c>
      <c r="AR4" s="1023" t="s">
        <v>750</v>
      </c>
      <c r="AS4" s="1023" t="s">
        <v>751</v>
      </c>
      <c r="AT4" s="1023" t="s">
        <v>752</v>
      </c>
      <c r="AU4" s="1023" t="s">
        <v>753</v>
      </c>
      <c r="AV4" s="1023" t="s">
        <v>754</v>
      </c>
      <c r="AW4" s="1023" t="s">
        <v>755</v>
      </c>
      <c r="AX4" s="1023" t="s">
        <v>756</v>
      </c>
      <c r="AY4" s="1023" t="s">
        <v>757</v>
      </c>
      <c r="AZ4" s="1023" t="s">
        <v>758</v>
      </c>
      <c r="BA4" s="1023" t="s">
        <v>759</v>
      </c>
      <c r="BB4" s="1023" t="s">
        <v>1327</v>
      </c>
      <c r="BC4" s="1023" t="s">
        <v>1328</v>
      </c>
      <c r="BD4" s="1023" t="s">
        <v>1329</v>
      </c>
      <c r="BE4" s="1023" t="s">
        <v>631</v>
      </c>
      <c r="BF4" s="1023" t="s">
        <v>632</v>
      </c>
      <c r="BG4" s="1023" t="s">
        <v>633</v>
      </c>
      <c r="BH4" s="1023" t="s">
        <v>634</v>
      </c>
      <c r="BI4" s="1023" t="s">
        <v>635</v>
      </c>
      <c r="BJ4" s="1023" t="s">
        <v>1275</v>
      </c>
      <c r="BK4" s="1023" t="s">
        <v>1276</v>
      </c>
      <c r="BL4" s="1023" t="s">
        <v>1277</v>
      </c>
      <c r="BM4" s="1023" t="s">
        <v>1278</v>
      </c>
      <c r="BN4" s="1023" t="s">
        <v>1279</v>
      </c>
      <c r="BO4" s="1023" t="s">
        <v>1280</v>
      </c>
      <c r="BP4" s="1023" t="s">
        <v>1281</v>
      </c>
      <c r="BQ4" s="1023" t="s">
        <v>1282</v>
      </c>
      <c r="BR4" s="1023" t="s">
        <v>1283</v>
      </c>
      <c r="BS4" s="1023" t="s">
        <v>1284</v>
      </c>
      <c r="BT4" s="1023" t="s">
        <v>3197</v>
      </c>
      <c r="BU4" s="1023" t="s">
        <v>3198</v>
      </c>
      <c r="BV4" s="1023" t="s">
        <v>3199</v>
      </c>
      <c r="BW4" s="1023" t="s">
        <v>3200</v>
      </c>
      <c r="BX4" s="1023" t="s">
        <v>3201</v>
      </c>
      <c r="BY4" s="1023" t="s">
        <v>123</v>
      </c>
      <c r="BZ4" s="1023" t="s">
        <v>1564</v>
      </c>
      <c r="CA4" s="1023" t="s">
        <v>1565</v>
      </c>
      <c r="CB4" s="1023" t="s">
        <v>1634</v>
      </c>
      <c r="CC4" s="1023" t="s">
        <v>1635</v>
      </c>
      <c r="CD4" s="1022" t="s">
        <v>139</v>
      </c>
      <c r="CE4" s="1022" t="s">
        <v>1636</v>
      </c>
      <c r="CF4" s="1022" t="s">
        <v>1637</v>
      </c>
      <c r="CG4" s="1022" t="s">
        <v>1638</v>
      </c>
      <c r="CH4" s="1022" t="s">
        <v>1639</v>
      </c>
      <c r="CI4" s="1022" t="s">
        <v>138</v>
      </c>
      <c r="CJ4" s="1022" t="s">
        <v>1307</v>
      </c>
      <c r="CK4" s="1022" t="s">
        <v>1308</v>
      </c>
      <c r="CL4" s="1022" t="s">
        <v>1309</v>
      </c>
      <c r="CM4" s="1022" t="s">
        <v>1310</v>
      </c>
      <c r="CN4" s="1022" t="s">
        <v>137</v>
      </c>
      <c r="CO4" s="1022" t="s">
        <v>1311</v>
      </c>
      <c r="CP4" s="1022" t="s">
        <v>1312</v>
      </c>
      <c r="CQ4" s="1022" t="s">
        <v>1313</v>
      </c>
      <c r="CR4" s="1022" t="s">
        <v>1314</v>
      </c>
      <c r="CS4" s="1022" t="s">
        <v>1202</v>
      </c>
      <c r="CT4" s="1022" t="s">
        <v>1203</v>
      </c>
      <c r="CU4" s="1022" t="s">
        <v>1204</v>
      </c>
      <c r="CV4" s="1022" t="s">
        <v>1205</v>
      </c>
      <c r="CW4" s="1022" t="s">
        <v>1206</v>
      </c>
      <c r="CX4" s="1022" t="s">
        <v>1354</v>
      </c>
      <c r="CY4" s="1022" t="s">
        <v>1355</v>
      </c>
      <c r="CZ4" s="1022" t="s">
        <v>1356</v>
      </c>
      <c r="DA4" s="1022" t="s">
        <v>1357</v>
      </c>
      <c r="DB4" s="1022" t="s">
        <v>3196</v>
      </c>
      <c r="DC4" s="1022" t="s">
        <v>1876</v>
      </c>
      <c r="DD4" s="1022" t="s">
        <v>1877</v>
      </c>
      <c r="DE4" s="1022" t="s">
        <v>1878</v>
      </c>
      <c r="DF4" s="1022" t="s">
        <v>1879</v>
      </c>
      <c r="DG4" s="1022" t="s">
        <v>1880</v>
      </c>
      <c r="DH4" s="1022" t="s">
        <v>560</v>
      </c>
      <c r="DI4" s="1022" t="s">
        <v>561</v>
      </c>
      <c r="DJ4" s="1022" t="s">
        <v>562</v>
      </c>
      <c r="DK4" s="1022" t="s">
        <v>563</v>
      </c>
      <c r="DL4" s="1022" t="s">
        <v>564</v>
      </c>
      <c r="DM4" s="1022" t="s">
        <v>18</v>
      </c>
      <c r="DN4" s="1022" t="s">
        <v>19</v>
      </c>
      <c r="DO4" s="1022" t="s">
        <v>20</v>
      </c>
      <c r="DP4" s="1022" t="s">
        <v>21</v>
      </c>
      <c r="DQ4" s="1022" t="s">
        <v>22</v>
      </c>
      <c r="DR4" s="1022" t="s">
        <v>243</v>
      </c>
      <c r="DS4" s="1022" t="s">
        <v>244</v>
      </c>
      <c r="DT4" s="1022" t="s">
        <v>245</v>
      </c>
      <c r="DU4" s="1022" t="s">
        <v>2510</v>
      </c>
      <c r="DV4" s="1022" t="s">
        <v>2511</v>
      </c>
      <c r="DW4" s="1022" t="s">
        <v>2512</v>
      </c>
      <c r="DX4" s="1022" t="s">
        <v>766</v>
      </c>
      <c r="DY4" s="1022" t="s">
        <v>767</v>
      </c>
      <c r="DZ4" s="1022" t="s">
        <v>768</v>
      </c>
      <c r="EA4" s="1022" t="s">
        <v>769</v>
      </c>
      <c r="EB4" s="1022" t="s">
        <v>23</v>
      </c>
      <c r="EC4" s="1022" t="s">
        <v>24</v>
      </c>
      <c r="ED4" s="1022" t="s">
        <v>25</v>
      </c>
      <c r="EE4" s="1022" t="s">
        <v>26</v>
      </c>
      <c r="EF4" s="1022" t="s">
        <v>27</v>
      </c>
      <c r="EG4" s="1022" t="s">
        <v>630</v>
      </c>
      <c r="EH4" s="1022" t="s">
        <v>556</v>
      </c>
      <c r="EI4" s="1022" t="s">
        <v>557</v>
      </c>
      <c r="EJ4" s="1022" t="s">
        <v>558</v>
      </c>
      <c r="EK4" s="1022" t="s">
        <v>559</v>
      </c>
      <c r="EL4" s="1022" t="s">
        <v>2930</v>
      </c>
      <c r="EM4" s="1022" t="s">
        <v>2931</v>
      </c>
      <c r="EN4" s="1022" t="s">
        <v>2932</v>
      </c>
      <c r="EO4" s="1022" t="s">
        <v>1928</v>
      </c>
      <c r="EP4" s="1022" t="s">
        <v>1929</v>
      </c>
      <c r="EQ4" s="1022" t="s">
        <v>28</v>
      </c>
      <c r="ER4" s="1022" t="s">
        <v>29</v>
      </c>
      <c r="ES4" s="1022" t="s">
        <v>30</v>
      </c>
      <c r="ET4" s="1022" t="s">
        <v>31</v>
      </c>
      <c r="EU4" s="1022"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22" t="s">
        <v>2227</v>
      </c>
      <c r="GP4" s="1022" t="s">
        <v>3312</v>
      </c>
      <c r="GQ4" s="1022" t="s">
        <v>3313</v>
      </c>
      <c r="GR4" s="1022" t="s">
        <v>420</v>
      </c>
      <c r="GS4" s="1022" t="s">
        <v>421</v>
      </c>
      <c r="GT4" s="1022" t="s">
        <v>422</v>
      </c>
      <c r="GU4" s="1022" t="s">
        <v>423</v>
      </c>
      <c r="GV4" s="1022" t="s">
        <v>424</v>
      </c>
      <c r="GW4" s="1022" t="s">
        <v>425</v>
      </c>
      <c r="GX4" s="1022" t="s">
        <v>426</v>
      </c>
      <c r="GY4" s="1022" t="s">
        <v>220</v>
      </c>
      <c r="GZ4" s="1022" t="s">
        <v>221</v>
      </c>
      <c r="HA4" s="1022" t="s">
        <v>222</v>
      </c>
      <c r="HB4" s="1022" t="s">
        <v>223</v>
      </c>
      <c r="HC4" s="1022" t="s">
        <v>224</v>
      </c>
      <c r="HD4" s="1022" t="s">
        <v>225</v>
      </c>
      <c r="HE4" s="1022" t="s">
        <v>226</v>
      </c>
      <c r="HF4" s="1022" t="s">
        <v>227</v>
      </c>
      <c r="HG4" s="1022" t="s">
        <v>228</v>
      </c>
      <c r="HH4" s="1022" t="s">
        <v>229</v>
      </c>
      <c r="HI4" s="1022" t="s">
        <v>230</v>
      </c>
      <c r="HJ4" s="1022" t="s">
        <v>231</v>
      </c>
      <c r="HK4" s="1022" t="s">
        <v>232</v>
      </c>
      <c r="HL4" s="1022" t="s">
        <v>233</v>
      </c>
      <c r="HM4" s="1022"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2551</v>
      </c>
      <c r="D5" s="1"/>
      <c r="E5" s="5"/>
      <c r="F5" s="1"/>
      <c r="G5" s="1565"/>
      <c r="N5" s="820" t="s">
        <v>749</v>
      </c>
      <c r="P5" s="816" t="s">
        <v>1439</v>
      </c>
      <c r="Q5" s="555"/>
      <c r="R5" s="555"/>
      <c r="S5" s="555"/>
      <c r="V5" s="1023"/>
      <c r="W5" s="1023"/>
      <c r="X5" s="1023"/>
      <c r="Y5" s="1023"/>
      <c r="Z5" s="1023"/>
      <c r="AA5" s="1023"/>
      <c r="AB5" s="1023"/>
      <c r="AC5" s="1023"/>
      <c r="AD5" s="1023"/>
      <c r="AE5" s="1023"/>
      <c r="AF5" s="1023"/>
      <c r="AG5" s="1023"/>
      <c r="AH5" s="1023"/>
      <c r="AI5" s="1023"/>
      <c r="AJ5" s="1023"/>
      <c r="AK5" s="1023"/>
      <c r="AL5" s="1023"/>
      <c r="AM5" s="1023"/>
      <c r="AN5" s="1023"/>
      <c r="AO5" s="1023"/>
      <c r="AP5" s="1023"/>
      <c r="AQ5" s="1023"/>
      <c r="AR5" s="1023"/>
      <c r="AS5" s="1023"/>
      <c r="AT5" s="1023"/>
      <c r="AU5" s="1023"/>
      <c r="AV5" s="1023"/>
      <c r="AW5" s="1023"/>
      <c r="AX5" s="1023"/>
      <c r="AY5" s="1023"/>
      <c r="AZ5" s="1023"/>
      <c r="BA5" s="1023"/>
      <c r="BB5" s="1023"/>
      <c r="BC5" s="1023"/>
      <c r="BD5" s="1023"/>
      <c r="BE5" s="1023"/>
      <c r="BF5" s="1023"/>
      <c r="BG5" s="1023"/>
      <c r="BH5" s="1023"/>
      <c r="BI5" s="1023"/>
      <c r="BJ5" s="1023"/>
      <c r="BK5" s="1023"/>
      <c r="BL5" s="1023"/>
      <c r="BM5" s="1023"/>
      <c r="BN5" s="1023"/>
      <c r="BO5" s="1023"/>
      <c r="BP5" s="1023"/>
      <c r="BQ5" s="1023"/>
      <c r="BR5" s="1023"/>
      <c r="BS5" s="1023"/>
      <c r="BT5" s="1023"/>
      <c r="BU5" s="1023"/>
      <c r="BV5" s="1023"/>
      <c r="BW5" s="1023"/>
      <c r="BX5" s="1023"/>
      <c r="BY5" s="1023"/>
      <c r="BZ5" s="1023"/>
      <c r="CA5" s="1023"/>
      <c r="CB5" s="1023"/>
      <c r="CC5" s="1023"/>
      <c r="CD5" s="1022"/>
      <c r="CE5" s="1022"/>
      <c r="CF5" s="1022"/>
      <c r="CG5" s="1022"/>
      <c r="CH5" s="1022"/>
      <c r="CI5" s="1022"/>
      <c r="CJ5" s="1022"/>
      <c r="CK5" s="1022"/>
      <c r="CL5" s="1022"/>
      <c r="CM5" s="1022"/>
      <c r="CN5" s="1022"/>
      <c r="CO5" s="1022"/>
      <c r="CP5" s="1022"/>
      <c r="CQ5" s="1022"/>
      <c r="CR5" s="1022"/>
      <c r="CS5" s="1022"/>
      <c r="CT5" s="1022"/>
      <c r="CU5" s="1022"/>
      <c r="CV5" s="1022"/>
      <c r="CW5" s="1022"/>
      <c r="CX5" s="1022"/>
      <c r="CY5" s="1022"/>
      <c r="CZ5" s="1022"/>
      <c r="DA5" s="1022"/>
      <c r="DB5" s="1022"/>
      <c r="DC5" s="1022"/>
      <c r="DD5" s="1022"/>
      <c r="DE5" s="1022"/>
      <c r="DF5" s="1022"/>
      <c r="DG5" s="1022"/>
      <c r="DH5" s="1022"/>
      <c r="DI5" s="1022"/>
      <c r="DJ5" s="1022"/>
      <c r="DK5" s="1022"/>
      <c r="DL5" s="1022"/>
      <c r="DM5" s="1022"/>
      <c r="DN5" s="1022"/>
      <c r="DO5" s="1022"/>
      <c r="DP5" s="1022"/>
      <c r="DQ5" s="1022"/>
      <c r="DR5" s="1022"/>
      <c r="DS5" s="1022"/>
      <c r="DT5" s="1022"/>
      <c r="DU5" s="1022"/>
      <c r="DV5" s="1022"/>
      <c r="DW5" s="1022"/>
      <c r="DX5" s="1022"/>
      <c r="DY5" s="1022"/>
      <c r="DZ5" s="1022"/>
      <c r="EA5" s="1022"/>
      <c r="EB5" s="1022"/>
      <c r="EC5" s="1022"/>
      <c r="ED5" s="1022"/>
      <c r="EE5" s="1022"/>
      <c r="EF5" s="1022"/>
      <c r="EG5" s="1022"/>
      <c r="EH5" s="1022"/>
      <c r="EI5" s="1022"/>
      <c r="EJ5" s="1022"/>
      <c r="EK5" s="1022"/>
      <c r="EL5" s="1022"/>
      <c r="EM5" s="1022"/>
      <c r="EN5" s="1022"/>
      <c r="EO5" s="1022"/>
      <c r="EP5" s="1022"/>
      <c r="EQ5" s="1022"/>
      <c r="ER5" s="1022"/>
      <c r="ES5" s="1022"/>
      <c r="ET5" s="1022"/>
      <c r="EU5" s="1022"/>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22"/>
      <c r="GP5" s="1022"/>
      <c r="GQ5" s="1022"/>
      <c r="GR5" s="1022"/>
      <c r="GS5" s="1022"/>
      <c r="GT5" s="1022"/>
      <c r="GU5" s="1022"/>
      <c r="GV5" s="1022"/>
      <c r="GW5" s="1022"/>
      <c r="GX5" s="1022"/>
      <c r="GY5" s="1022"/>
      <c r="GZ5" s="1022"/>
      <c r="HA5" s="1022"/>
      <c r="HB5" s="1022"/>
      <c r="HC5" s="1022"/>
      <c r="HD5" s="1022"/>
      <c r="HE5" s="1022"/>
      <c r="HF5" s="1022"/>
      <c r="HG5" s="1022"/>
      <c r="HH5" s="1022"/>
      <c r="HI5" s="1022"/>
      <c r="HJ5" s="1022"/>
      <c r="HK5" s="1022"/>
      <c r="HL5" s="1022"/>
      <c r="HM5" s="1022"/>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66"/>
      <c r="J6" s="814" t="s">
        <v>3169</v>
      </c>
      <c r="N6" s="1026" t="str">
        <f>'Part I-Project Information'!$J$28</f>
        <v>Columbus</v>
      </c>
      <c r="O6" s="1026"/>
      <c r="P6" s="558">
        <f>VLOOKUP('Part I-Project Information'!$J$28,'DCA Underwriting Assumptions'!$C$81:$D$191,2)</f>
        <v>41500</v>
      </c>
      <c r="Q6" s="628"/>
      <c r="R6" s="1028" t="s">
        <v>3601</v>
      </c>
      <c r="S6" s="1028"/>
      <c r="V6" s="1023"/>
      <c r="W6" s="1023"/>
      <c r="X6" s="1023"/>
      <c r="Y6" s="1023"/>
      <c r="Z6" s="1023"/>
      <c r="AA6" s="1023"/>
      <c r="AB6" s="1023"/>
      <c r="AC6" s="1023"/>
      <c r="AD6" s="1023"/>
      <c r="AE6" s="1023"/>
      <c r="AF6" s="1023"/>
      <c r="AG6" s="1023"/>
      <c r="AH6" s="1023"/>
      <c r="AI6" s="1023"/>
      <c r="AJ6" s="1023"/>
      <c r="AK6" s="1023"/>
      <c r="AL6" s="1023"/>
      <c r="AM6" s="1023"/>
      <c r="AN6" s="1023"/>
      <c r="AO6" s="1023"/>
      <c r="AP6" s="1023"/>
      <c r="AQ6" s="1023"/>
      <c r="AR6" s="1023"/>
      <c r="AS6" s="1023"/>
      <c r="AT6" s="1023"/>
      <c r="AU6" s="1023"/>
      <c r="AV6" s="1023"/>
      <c r="AW6" s="1023"/>
      <c r="AX6" s="1023"/>
      <c r="AY6" s="1023"/>
      <c r="AZ6" s="1023"/>
      <c r="BA6" s="1023"/>
      <c r="BB6" s="1023"/>
      <c r="BC6" s="1023"/>
      <c r="BD6" s="1023"/>
      <c r="BE6" s="1023"/>
      <c r="BF6" s="1023"/>
      <c r="BG6" s="1023"/>
      <c r="BH6" s="1023"/>
      <c r="BI6" s="1023"/>
      <c r="BJ6" s="1023"/>
      <c r="BK6" s="1023"/>
      <c r="BL6" s="1023"/>
      <c r="BM6" s="1023"/>
      <c r="BN6" s="1023"/>
      <c r="BO6" s="1023"/>
      <c r="BP6" s="1023"/>
      <c r="BQ6" s="1023"/>
      <c r="BR6" s="1023"/>
      <c r="BS6" s="1023"/>
      <c r="BT6" s="1023"/>
      <c r="BU6" s="1023"/>
      <c r="BV6" s="1023"/>
      <c r="BW6" s="1023"/>
      <c r="BX6" s="1023"/>
      <c r="BY6" s="1023"/>
      <c r="BZ6" s="1023"/>
      <c r="CA6" s="1023"/>
      <c r="CB6" s="1023"/>
      <c r="CC6" s="1023"/>
      <c r="CD6" s="1022"/>
      <c r="CE6" s="1022"/>
      <c r="CF6" s="1022"/>
      <c r="CG6" s="1022"/>
      <c r="CH6" s="1022"/>
      <c r="CI6" s="1022"/>
      <c r="CJ6" s="1022"/>
      <c r="CK6" s="1022"/>
      <c r="CL6" s="1022"/>
      <c r="CM6" s="1022"/>
      <c r="CN6" s="1022"/>
      <c r="CO6" s="1022"/>
      <c r="CP6" s="1022"/>
      <c r="CQ6" s="1022"/>
      <c r="CR6" s="1022"/>
      <c r="CS6" s="1022"/>
      <c r="CT6" s="1022"/>
      <c r="CU6" s="1022"/>
      <c r="CV6" s="1022"/>
      <c r="CW6" s="1022"/>
      <c r="CX6" s="1022"/>
      <c r="CY6" s="1022"/>
      <c r="CZ6" s="1022"/>
      <c r="DA6" s="1022"/>
      <c r="DB6" s="1022"/>
      <c r="DC6" s="1022"/>
      <c r="DD6" s="1022"/>
      <c r="DE6" s="1022"/>
      <c r="DF6" s="1022"/>
      <c r="DG6" s="1022"/>
      <c r="DH6" s="1022"/>
      <c r="DI6" s="1022"/>
      <c r="DJ6" s="1022"/>
      <c r="DK6" s="1022"/>
      <c r="DL6" s="1022"/>
      <c r="DM6" s="1022"/>
      <c r="DN6" s="1022"/>
      <c r="DO6" s="1022"/>
      <c r="DP6" s="1022"/>
      <c r="DQ6" s="1022"/>
      <c r="DR6" s="1022"/>
      <c r="DS6" s="1022"/>
      <c r="DT6" s="1022"/>
      <c r="DU6" s="1022"/>
      <c r="DV6" s="1022"/>
      <c r="DW6" s="1022"/>
      <c r="DX6" s="1022"/>
      <c r="DY6" s="1022"/>
      <c r="DZ6" s="1022"/>
      <c r="EA6" s="1022"/>
      <c r="EB6" s="1022"/>
      <c r="EC6" s="1022"/>
      <c r="ED6" s="1022"/>
      <c r="EE6" s="1022"/>
      <c r="EF6" s="1022"/>
      <c r="EG6" s="1022"/>
      <c r="EH6" s="1022"/>
      <c r="EI6" s="1022"/>
      <c r="EJ6" s="1022"/>
      <c r="EK6" s="1022"/>
      <c r="EL6" s="1022"/>
      <c r="EM6" s="1022"/>
      <c r="EN6" s="1022"/>
      <c r="EO6" s="1022"/>
      <c r="EP6" s="1022"/>
      <c r="EQ6" s="1022"/>
      <c r="ER6" s="1022"/>
      <c r="ES6" s="1022"/>
      <c r="ET6" s="1022"/>
      <c r="EU6" s="1022"/>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22"/>
      <c r="GP6" s="1022"/>
      <c r="GQ6" s="1022"/>
      <c r="GR6" s="1022"/>
      <c r="GS6" s="1022"/>
      <c r="GT6" s="1022"/>
      <c r="GU6" s="1022"/>
      <c r="GV6" s="1022"/>
      <c r="GW6" s="1022"/>
      <c r="GX6" s="1022"/>
      <c r="GY6" s="1022"/>
      <c r="GZ6" s="1022"/>
      <c r="HA6" s="1022"/>
      <c r="HB6" s="1022"/>
      <c r="HC6" s="1022"/>
      <c r="HD6" s="1022"/>
      <c r="HE6" s="1022"/>
      <c r="HF6" s="1022"/>
      <c r="HG6" s="1022"/>
      <c r="HH6" s="1022"/>
      <c r="HI6" s="1022"/>
      <c r="HJ6" s="1022"/>
      <c r="HK6" s="1022"/>
      <c r="HL6" s="1022"/>
      <c r="HM6" s="1022"/>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25" t="str">
        <f>IF(A48&gt;0,"Finish!","")</f>
        <v/>
      </c>
      <c r="B7" s="5"/>
      <c r="C7" s="1"/>
      <c r="D7" s="5"/>
      <c r="E7" s="1"/>
      <c r="F7" s="1"/>
      <c r="G7" s="1"/>
      <c r="H7" s="1"/>
      <c r="I7" s="1"/>
      <c r="J7" s="814" t="s">
        <v>3170</v>
      </c>
      <c r="K7" s="1"/>
      <c r="L7" s="1"/>
      <c r="M7" s="1"/>
      <c r="N7" s="37"/>
      <c r="O7" s="37"/>
      <c r="P7" s="664"/>
      <c r="Q7" s="664"/>
      <c r="R7" s="665"/>
      <c r="S7" s="666" t="s">
        <v>3598</v>
      </c>
      <c r="T7" s="554"/>
      <c r="U7" s="555"/>
      <c r="V7" s="1023"/>
      <c r="W7" s="1023"/>
      <c r="X7" s="1023"/>
      <c r="Y7" s="1023"/>
      <c r="Z7" s="1023"/>
      <c r="AA7" s="1023"/>
      <c r="AB7" s="1023"/>
      <c r="AC7" s="1023"/>
      <c r="AD7" s="1023"/>
      <c r="AE7" s="1023"/>
      <c r="AF7" s="1023"/>
      <c r="AG7" s="1023"/>
      <c r="AH7" s="1023"/>
      <c r="AI7" s="1023"/>
      <c r="AJ7" s="1023"/>
      <c r="AK7" s="1023"/>
      <c r="AL7" s="1023"/>
      <c r="AM7" s="1023"/>
      <c r="AN7" s="1023"/>
      <c r="AO7" s="1023"/>
      <c r="AP7" s="1023"/>
      <c r="AQ7" s="1023"/>
      <c r="AR7" s="1023"/>
      <c r="AS7" s="1023"/>
      <c r="AT7" s="1023"/>
      <c r="AU7" s="1023"/>
      <c r="AV7" s="1023"/>
      <c r="AW7" s="1023"/>
      <c r="AX7" s="1023"/>
      <c r="AY7" s="1023"/>
      <c r="AZ7" s="1023"/>
      <c r="BA7" s="1023"/>
      <c r="BB7" s="1023"/>
      <c r="BC7" s="1023"/>
      <c r="BD7" s="1023"/>
      <c r="BE7" s="1023"/>
      <c r="BF7" s="1023"/>
      <c r="BG7" s="1023"/>
      <c r="BH7" s="1023"/>
      <c r="BI7" s="1023"/>
      <c r="BJ7" s="1023"/>
      <c r="BK7" s="1023"/>
      <c r="BL7" s="1023"/>
      <c r="BM7" s="1023"/>
      <c r="BN7" s="1023"/>
      <c r="BO7" s="1023"/>
      <c r="BP7" s="1023"/>
      <c r="BQ7" s="1023"/>
      <c r="BR7" s="1023"/>
      <c r="BS7" s="1023"/>
      <c r="BT7" s="1023"/>
      <c r="BU7" s="1023"/>
      <c r="BV7" s="1023"/>
      <c r="BW7" s="1023"/>
      <c r="BX7" s="1023"/>
      <c r="BY7" s="1023"/>
      <c r="BZ7" s="1023"/>
      <c r="CA7" s="1023"/>
      <c r="CB7" s="1023"/>
      <c r="CC7" s="1023"/>
      <c r="CD7" s="1022"/>
      <c r="CE7" s="1022"/>
      <c r="CF7" s="1022"/>
      <c r="CG7" s="1022"/>
      <c r="CH7" s="1022"/>
      <c r="CI7" s="1022"/>
      <c r="CJ7" s="1022"/>
      <c r="CK7" s="1022"/>
      <c r="CL7" s="1022"/>
      <c r="CM7" s="1022"/>
      <c r="CN7" s="1022"/>
      <c r="CO7" s="1022"/>
      <c r="CP7" s="1022"/>
      <c r="CQ7" s="1022"/>
      <c r="CR7" s="1022"/>
      <c r="CS7" s="1022"/>
      <c r="CT7" s="1022"/>
      <c r="CU7" s="1022"/>
      <c r="CV7" s="1022"/>
      <c r="CW7" s="1022"/>
      <c r="CX7" s="1022"/>
      <c r="CY7" s="1022"/>
      <c r="CZ7" s="1022"/>
      <c r="DA7" s="1022"/>
      <c r="DB7" s="1022"/>
      <c r="DC7" s="1022"/>
      <c r="DD7" s="1022"/>
      <c r="DE7" s="1022"/>
      <c r="DF7" s="1022"/>
      <c r="DG7" s="1022"/>
      <c r="DH7" s="1022"/>
      <c r="DI7" s="1022"/>
      <c r="DJ7" s="1022"/>
      <c r="DK7" s="1022"/>
      <c r="DL7" s="1022"/>
      <c r="DM7" s="1022"/>
      <c r="DN7" s="1022"/>
      <c r="DO7" s="1022"/>
      <c r="DP7" s="1022"/>
      <c r="DQ7" s="1022"/>
      <c r="DR7" s="1022"/>
      <c r="DS7" s="1022"/>
      <c r="DT7" s="1022"/>
      <c r="DU7" s="1022"/>
      <c r="DV7" s="1022"/>
      <c r="DW7" s="1022"/>
      <c r="DX7" s="1022"/>
      <c r="DY7" s="1022"/>
      <c r="DZ7" s="1022"/>
      <c r="EA7" s="1022"/>
      <c r="EB7" s="1022"/>
      <c r="EC7" s="1022"/>
      <c r="ED7" s="1022"/>
      <c r="EE7" s="1022"/>
      <c r="EF7" s="1022"/>
      <c r="EG7" s="1022"/>
      <c r="EH7" s="1022"/>
      <c r="EI7" s="1022"/>
      <c r="EJ7" s="1022"/>
      <c r="EK7" s="1022"/>
      <c r="EL7" s="1022"/>
      <c r="EM7" s="1022"/>
      <c r="EN7" s="1022"/>
      <c r="EO7" s="1022"/>
      <c r="EP7" s="1022"/>
      <c r="EQ7" s="1022"/>
      <c r="ER7" s="1022"/>
      <c r="ES7" s="1022"/>
      <c r="ET7" s="1022"/>
      <c r="EU7" s="1022"/>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22"/>
      <c r="GP7" s="1022"/>
      <c r="GQ7" s="1022"/>
      <c r="GR7" s="1022"/>
      <c r="GS7" s="1022"/>
      <c r="GT7" s="1022"/>
      <c r="GU7" s="1022"/>
      <c r="GV7" s="1022"/>
      <c r="GW7" s="1022"/>
      <c r="GX7" s="1022"/>
      <c r="GY7" s="1022"/>
      <c r="GZ7" s="1022"/>
      <c r="HA7" s="1022"/>
      <c r="HB7" s="1022"/>
      <c r="HC7" s="1022"/>
      <c r="HD7" s="1022"/>
      <c r="HE7" s="1022"/>
      <c r="HF7" s="1022"/>
      <c r="HG7" s="1022"/>
      <c r="HH7" s="1022"/>
      <c r="HI7" s="1022"/>
      <c r="HJ7" s="1022"/>
      <c r="HK7" s="1022"/>
      <c r="HL7" s="1022"/>
      <c r="HM7" s="1022"/>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25"/>
      <c r="B8" s="198" t="s">
        <v>1927</v>
      </c>
      <c r="C8" s="814" t="s">
        <v>188</v>
      </c>
      <c r="D8" s="814" t="s">
        <v>712</v>
      </c>
      <c r="E8" s="814" t="s">
        <v>1925</v>
      </c>
      <c r="F8" s="814" t="s">
        <v>1925</v>
      </c>
      <c r="G8" s="814" t="s">
        <v>3146</v>
      </c>
      <c r="H8" s="814" t="s">
        <v>3144</v>
      </c>
      <c r="I8" s="814" t="s">
        <v>1191</v>
      </c>
      <c r="J8" s="814" t="s">
        <v>3171</v>
      </c>
      <c r="K8" s="1024" t="s">
        <v>152</v>
      </c>
      <c r="L8" s="1024"/>
      <c r="M8" s="814" t="s">
        <v>3122</v>
      </c>
      <c r="N8" s="814" t="s">
        <v>699</v>
      </c>
      <c r="O8" s="814" t="s">
        <v>417</v>
      </c>
      <c r="P8" s="1027" t="s">
        <v>1446</v>
      </c>
      <c r="Q8" s="1027"/>
      <c r="R8" s="815" t="s">
        <v>3597</v>
      </c>
      <c r="S8" s="815" t="s">
        <v>3599</v>
      </c>
      <c r="T8" s="556"/>
      <c r="U8" s="557"/>
      <c r="V8" s="1023"/>
      <c r="W8" s="1023"/>
      <c r="X8" s="1023"/>
      <c r="Y8" s="1023"/>
      <c r="Z8" s="1023"/>
      <c r="AA8" s="1023"/>
      <c r="AB8" s="1023"/>
      <c r="AC8" s="1023"/>
      <c r="AD8" s="1023"/>
      <c r="AE8" s="1023"/>
      <c r="AF8" s="1023"/>
      <c r="AG8" s="1023"/>
      <c r="AH8" s="1023"/>
      <c r="AI8" s="1023"/>
      <c r="AJ8" s="1023"/>
      <c r="AK8" s="1023"/>
      <c r="AL8" s="1023"/>
      <c r="AM8" s="1023"/>
      <c r="AN8" s="1023"/>
      <c r="AO8" s="1023"/>
      <c r="AP8" s="1023"/>
      <c r="AQ8" s="1023"/>
      <c r="AR8" s="1023"/>
      <c r="AS8" s="1023"/>
      <c r="AT8" s="1023"/>
      <c r="AU8" s="1023"/>
      <c r="AV8" s="1023"/>
      <c r="AW8" s="1023"/>
      <c r="AX8" s="1023"/>
      <c r="AY8" s="1023"/>
      <c r="AZ8" s="1023"/>
      <c r="BA8" s="1023"/>
      <c r="BB8" s="1023"/>
      <c r="BC8" s="1023"/>
      <c r="BD8" s="1023"/>
      <c r="BE8" s="1023"/>
      <c r="BF8" s="1023"/>
      <c r="BG8" s="1023"/>
      <c r="BH8" s="1023"/>
      <c r="BI8" s="1023"/>
      <c r="BJ8" s="1023"/>
      <c r="BK8" s="1023"/>
      <c r="BL8" s="1023"/>
      <c r="BM8" s="1023"/>
      <c r="BN8" s="1023"/>
      <c r="BO8" s="1023"/>
      <c r="BP8" s="1023"/>
      <c r="BQ8" s="1023"/>
      <c r="BR8" s="1023"/>
      <c r="BS8" s="1023"/>
      <c r="BT8" s="1023"/>
      <c r="BU8" s="1023"/>
      <c r="BV8" s="1023"/>
      <c r="BW8" s="1023"/>
      <c r="BX8" s="1023"/>
      <c r="BY8" s="1023"/>
      <c r="BZ8" s="1023"/>
      <c r="CA8" s="1023"/>
      <c r="CB8" s="1023"/>
      <c r="CC8" s="1023"/>
      <c r="CD8" s="1022"/>
      <c r="CE8" s="1022"/>
      <c r="CF8" s="1022"/>
      <c r="CG8" s="1022"/>
      <c r="CH8" s="1022"/>
      <c r="CI8" s="1022"/>
      <c r="CJ8" s="1022"/>
      <c r="CK8" s="1022"/>
      <c r="CL8" s="1022"/>
      <c r="CM8" s="1022"/>
      <c r="CN8" s="1022"/>
      <c r="CO8" s="1022"/>
      <c r="CP8" s="1022"/>
      <c r="CQ8" s="1022"/>
      <c r="CR8" s="1022"/>
      <c r="CS8" s="1022"/>
      <c r="CT8" s="1022"/>
      <c r="CU8" s="1022"/>
      <c r="CV8" s="1022"/>
      <c r="CW8" s="1022"/>
      <c r="CX8" s="1022"/>
      <c r="CY8" s="1022"/>
      <c r="CZ8" s="1022"/>
      <c r="DA8" s="1022"/>
      <c r="DB8" s="1022"/>
      <c r="DC8" s="1022"/>
      <c r="DD8" s="1022"/>
      <c r="DE8" s="1022"/>
      <c r="DF8" s="1022"/>
      <c r="DG8" s="1022"/>
      <c r="DH8" s="1022"/>
      <c r="DI8" s="1022"/>
      <c r="DJ8" s="1022"/>
      <c r="DK8" s="1022"/>
      <c r="DL8" s="1022"/>
      <c r="DM8" s="1022"/>
      <c r="DN8" s="1022"/>
      <c r="DO8" s="1022"/>
      <c r="DP8" s="1022"/>
      <c r="DQ8" s="1022"/>
      <c r="DR8" s="1022"/>
      <c r="DS8" s="1022"/>
      <c r="DT8" s="1022"/>
      <c r="DU8" s="1022"/>
      <c r="DV8" s="1022"/>
      <c r="DW8" s="1022"/>
      <c r="DX8" s="1022"/>
      <c r="DY8" s="1022"/>
      <c r="DZ8" s="1022"/>
      <c r="EA8" s="1022"/>
      <c r="EB8" s="1022"/>
      <c r="EC8" s="1022"/>
      <c r="ED8" s="1022"/>
      <c r="EE8" s="1022"/>
      <c r="EF8" s="1022"/>
      <c r="EG8" s="1022"/>
      <c r="EH8" s="1022"/>
      <c r="EI8" s="1022"/>
      <c r="EJ8" s="1022"/>
      <c r="EK8" s="1022"/>
      <c r="EL8" s="1022"/>
      <c r="EM8" s="1022"/>
      <c r="EN8" s="1022"/>
      <c r="EO8" s="1022"/>
      <c r="EP8" s="1022"/>
      <c r="EQ8" s="1022"/>
      <c r="ER8" s="1022"/>
      <c r="ES8" s="1022"/>
      <c r="ET8" s="1022"/>
      <c r="EU8" s="1022"/>
      <c r="EV8" s="1022" t="s">
        <v>1908</v>
      </c>
      <c r="EW8" s="635" t="s">
        <v>3207</v>
      </c>
      <c r="EX8" s="635" t="s">
        <v>3208</v>
      </c>
      <c r="EY8" s="635" t="s">
        <v>3209</v>
      </c>
      <c r="EZ8" s="635" t="s">
        <v>3210</v>
      </c>
      <c r="FA8" s="1022" t="s">
        <v>3279</v>
      </c>
      <c r="FB8" s="1022" t="s">
        <v>3279</v>
      </c>
      <c r="FC8" s="1022" t="s">
        <v>3279</v>
      </c>
      <c r="FD8" s="1022" t="s">
        <v>3279</v>
      </c>
      <c r="FE8" s="1022" t="s">
        <v>3279</v>
      </c>
      <c r="FF8" s="635" t="s">
        <v>619</v>
      </c>
      <c r="FG8" s="635" t="s">
        <v>3207</v>
      </c>
      <c r="FH8" s="635" t="s">
        <v>3208</v>
      </c>
      <c r="FI8" s="635" t="s">
        <v>3209</v>
      </c>
      <c r="FJ8" s="635" t="s">
        <v>3210</v>
      </c>
      <c r="FK8" s="1022" t="s">
        <v>3281</v>
      </c>
      <c r="FL8" s="1022" t="s">
        <v>3281</v>
      </c>
      <c r="FM8" s="1022" t="s">
        <v>3281</v>
      </c>
      <c r="FN8" s="1022" t="s">
        <v>3281</v>
      </c>
      <c r="FO8" s="1022" t="s">
        <v>3281</v>
      </c>
      <c r="FP8" s="1022" t="s">
        <v>392</v>
      </c>
      <c r="FQ8" s="1022" t="s">
        <v>392</v>
      </c>
      <c r="FR8" s="1022" t="s">
        <v>392</v>
      </c>
      <c r="FS8" s="1022" t="s">
        <v>392</v>
      </c>
      <c r="FT8" s="1022" t="s">
        <v>392</v>
      </c>
      <c r="FU8" s="1022" t="s">
        <v>393</v>
      </c>
      <c r="FV8" s="1022" t="s">
        <v>393</v>
      </c>
      <c r="FW8" s="1022" t="s">
        <v>393</v>
      </c>
      <c r="FX8" s="1022" t="s">
        <v>393</v>
      </c>
      <c r="FY8" s="1022" t="s">
        <v>393</v>
      </c>
      <c r="FZ8" s="1022" t="s">
        <v>394</v>
      </c>
      <c r="GA8" s="1022" t="s">
        <v>394</v>
      </c>
      <c r="GB8" s="1022" t="s">
        <v>394</v>
      </c>
      <c r="GC8" s="1022" t="s">
        <v>394</v>
      </c>
      <c r="GD8" s="1022" t="s">
        <v>394</v>
      </c>
      <c r="GE8" s="1022" t="s">
        <v>395</v>
      </c>
      <c r="GF8" s="1022" t="s">
        <v>395</v>
      </c>
      <c r="GG8" s="1022" t="s">
        <v>395</v>
      </c>
      <c r="GH8" s="1022" t="s">
        <v>395</v>
      </c>
      <c r="GI8" s="1022" t="s">
        <v>395</v>
      </c>
      <c r="GJ8" s="1022" t="s">
        <v>1907</v>
      </c>
      <c r="GK8" s="1022" t="s">
        <v>1907</v>
      </c>
      <c r="GL8" s="1022" t="s">
        <v>1907</v>
      </c>
      <c r="GM8" s="1022" t="s">
        <v>1907</v>
      </c>
      <c r="GN8" s="1022" t="s">
        <v>1907</v>
      </c>
      <c r="GO8" s="1022"/>
      <c r="GP8" s="1022"/>
      <c r="GQ8" s="1022"/>
      <c r="GR8" s="1022"/>
      <c r="GS8" s="1022"/>
      <c r="GT8" s="1022"/>
      <c r="GU8" s="1022"/>
      <c r="GV8" s="1022"/>
      <c r="GW8" s="1022"/>
      <c r="GX8" s="1022"/>
      <c r="GY8" s="1022"/>
      <c r="GZ8" s="1022"/>
      <c r="HA8" s="1022"/>
      <c r="HB8" s="1022"/>
      <c r="HC8" s="1022"/>
      <c r="HD8" s="1022"/>
      <c r="HE8" s="1022"/>
      <c r="HF8" s="1022"/>
      <c r="HG8" s="1022"/>
      <c r="HH8" s="1022"/>
      <c r="HI8" s="1022"/>
      <c r="HJ8" s="1022"/>
      <c r="HK8" s="1022"/>
      <c r="HL8" s="1022"/>
      <c r="HM8" s="1022"/>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25"/>
      <c r="B9" s="198" t="s">
        <v>1730</v>
      </c>
      <c r="C9" s="814" t="s">
        <v>187</v>
      </c>
      <c r="D9" s="814" t="s">
        <v>189</v>
      </c>
      <c r="E9" s="814" t="s">
        <v>1926</v>
      </c>
      <c r="F9" s="814" t="s">
        <v>1704</v>
      </c>
      <c r="G9" s="814" t="s">
        <v>1705</v>
      </c>
      <c r="H9" s="814" t="s">
        <v>3145</v>
      </c>
      <c r="I9" s="814" t="s">
        <v>1192</v>
      </c>
      <c r="J9" s="625" t="s">
        <v>383</v>
      </c>
      <c r="K9" s="814" t="s">
        <v>1987</v>
      </c>
      <c r="L9" s="814" t="s">
        <v>706</v>
      </c>
      <c r="M9" s="814" t="s">
        <v>1925</v>
      </c>
      <c r="N9" s="814" t="s">
        <v>1730</v>
      </c>
      <c r="O9" s="814" t="s">
        <v>418</v>
      </c>
      <c r="P9" s="815" t="s">
        <v>1444</v>
      </c>
      <c r="Q9" s="815" t="s">
        <v>1445</v>
      </c>
      <c r="R9" s="815" t="s">
        <v>1927</v>
      </c>
      <c r="S9" s="815" t="s">
        <v>3600</v>
      </c>
      <c r="T9" s="893" t="s">
        <v>2550</v>
      </c>
      <c r="U9" s="893"/>
      <c r="V9" s="1023"/>
      <c r="W9" s="1023"/>
      <c r="X9" s="1023"/>
      <c r="Y9" s="1023"/>
      <c r="Z9" s="1023"/>
      <c r="AA9" s="1023"/>
      <c r="AB9" s="1023"/>
      <c r="AC9" s="1023"/>
      <c r="AD9" s="1023"/>
      <c r="AE9" s="1023"/>
      <c r="AF9" s="1023"/>
      <c r="AG9" s="1023"/>
      <c r="AH9" s="1023"/>
      <c r="AI9" s="1023"/>
      <c r="AJ9" s="1023"/>
      <c r="AK9" s="1023"/>
      <c r="AL9" s="1023"/>
      <c r="AM9" s="1023"/>
      <c r="AN9" s="1023"/>
      <c r="AO9" s="1023"/>
      <c r="AP9" s="1023"/>
      <c r="AQ9" s="1023"/>
      <c r="AR9" s="1023"/>
      <c r="AS9" s="1023"/>
      <c r="AT9" s="1023"/>
      <c r="AU9" s="1023"/>
      <c r="AV9" s="1023"/>
      <c r="AW9" s="1023"/>
      <c r="AX9" s="1023"/>
      <c r="AY9" s="1023"/>
      <c r="AZ9" s="1023"/>
      <c r="BA9" s="1023"/>
      <c r="BB9" s="1023"/>
      <c r="BC9" s="1023"/>
      <c r="BD9" s="1023"/>
      <c r="BE9" s="1023"/>
      <c r="BF9" s="1023"/>
      <c r="BG9" s="1023"/>
      <c r="BH9" s="1023"/>
      <c r="BI9" s="1023"/>
      <c r="BJ9" s="1023"/>
      <c r="BK9" s="1023"/>
      <c r="BL9" s="1023"/>
      <c r="BM9" s="1023"/>
      <c r="BN9" s="1023"/>
      <c r="BO9" s="1023"/>
      <c r="BP9" s="1023"/>
      <c r="BQ9" s="1023"/>
      <c r="BR9" s="1023"/>
      <c r="BS9" s="1023"/>
      <c r="BT9" s="1023"/>
      <c r="BU9" s="1023"/>
      <c r="BV9" s="1023"/>
      <c r="BW9" s="1023"/>
      <c r="BX9" s="1023"/>
      <c r="BY9" s="1023"/>
      <c r="BZ9" s="1023"/>
      <c r="CA9" s="1023"/>
      <c r="CB9" s="1023"/>
      <c r="CC9" s="1023"/>
      <c r="CD9" s="1022"/>
      <c r="CE9" s="1022"/>
      <c r="CF9" s="1022"/>
      <c r="CG9" s="1022"/>
      <c r="CH9" s="1022"/>
      <c r="CI9" s="1022"/>
      <c r="CJ9" s="1022"/>
      <c r="CK9" s="1022"/>
      <c r="CL9" s="1022"/>
      <c r="CM9" s="1022"/>
      <c r="CN9" s="1022"/>
      <c r="CO9" s="1022"/>
      <c r="CP9" s="1022"/>
      <c r="CQ9" s="1022"/>
      <c r="CR9" s="1022"/>
      <c r="CS9" s="1022"/>
      <c r="CT9" s="1022"/>
      <c r="CU9" s="1022"/>
      <c r="CV9" s="1022"/>
      <c r="CW9" s="1022"/>
      <c r="CX9" s="1022"/>
      <c r="CY9" s="1022"/>
      <c r="CZ9" s="1022"/>
      <c r="DA9" s="1022"/>
      <c r="DB9" s="1022"/>
      <c r="DC9" s="1022"/>
      <c r="DD9" s="1022"/>
      <c r="DE9" s="1022"/>
      <c r="DF9" s="1022"/>
      <c r="DG9" s="1022"/>
      <c r="DH9" s="1022"/>
      <c r="DI9" s="1022"/>
      <c r="DJ9" s="1022"/>
      <c r="DK9" s="1022"/>
      <c r="DL9" s="1022"/>
      <c r="DM9" s="1022"/>
      <c r="DN9" s="1022"/>
      <c r="DO9" s="1022"/>
      <c r="DP9" s="1022"/>
      <c r="DQ9" s="1022"/>
      <c r="DR9" s="1022"/>
      <c r="DS9" s="1022"/>
      <c r="DT9" s="1022"/>
      <c r="DU9" s="1022"/>
      <c r="DV9" s="1022"/>
      <c r="DW9" s="1022"/>
      <c r="DX9" s="1022"/>
      <c r="DY9" s="1022"/>
      <c r="DZ9" s="1022"/>
      <c r="EA9" s="1022"/>
      <c r="EB9" s="1022"/>
      <c r="EC9" s="1022"/>
      <c r="ED9" s="1022"/>
      <c r="EE9" s="1022"/>
      <c r="EF9" s="1022"/>
      <c r="EG9" s="1022"/>
      <c r="EH9" s="1022"/>
      <c r="EI9" s="1022"/>
      <c r="EJ9" s="1022"/>
      <c r="EK9" s="1022"/>
      <c r="EL9" s="1022"/>
      <c r="EM9" s="1022"/>
      <c r="EN9" s="1022"/>
      <c r="EO9" s="1022"/>
      <c r="EP9" s="1022"/>
      <c r="EQ9" s="1022"/>
      <c r="ER9" s="1022"/>
      <c r="ES9" s="1022"/>
      <c r="ET9" s="1022"/>
      <c r="EU9" s="1022"/>
      <c r="EV9" s="1022"/>
      <c r="EW9" s="635" t="s">
        <v>3278</v>
      </c>
      <c r="EX9" s="635" t="s">
        <v>3278</v>
      </c>
      <c r="EY9" s="635" t="s">
        <v>3278</v>
      </c>
      <c r="EZ9" s="635" t="s">
        <v>3278</v>
      </c>
      <c r="FA9" s="1022"/>
      <c r="FB9" s="1022"/>
      <c r="FC9" s="1022"/>
      <c r="FD9" s="1022"/>
      <c r="FE9" s="1022"/>
      <c r="FF9" s="635" t="s">
        <v>3280</v>
      </c>
      <c r="FG9" s="635" t="s">
        <v>3280</v>
      </c>
      <c r="FH9" s="635" t="s">
        <v>3280</v>
      </c>
      <c r="FI9" s="635" t="s">
        <v>3280</v>
      </c>
      <c r="FJ9" s="635" t="s">
        <v>3280</v>
      </c>
      <c r="FK9" s="1022"/>
      <c r="FL9" s="1022"/>
      <c r="FM9" s="1022"/>
      <c r="FN9" s="1022"/>
      <c r="FO9" s="1022"/>
      <c r="FP9" s="1022"/>
      <c r="FQ9" s="1022"/>
      <c r="FR9" s="1022"/>
      <c r="FS9" s="1022"/>
      <c r="FT9" s="1022"/>
      <c r="FU9" s="1022"/>
      <c r="FV9" s="1022"/>
      <c r="FW9" s="1022"/>
      <c r="FX9" s="1022"/>
      <c r="FY9" s="1022"/>
      <c r="FZ9" s="1022"/>
      <c r="GA9" s="1022"/>
      <c r="GB9" s="1022"/>
      <c r="GC9" s="1022"/>
      <c r="GD9" s="1022"/>
      <c r="GE9" s="1022"/>
      <c r="GF9" s="1022"/>
      <c r="GG9" s="1022"/>
      <c r="GH9" s="1022"/>
      <c r="GI9" s="1022"/>
      <c r="GJ9" s="1022"/>
      <c r="GK9" s="1022"/>
      <c r="GL9" s="1022"/>
      <c r="GM9" s="1022"/>
      <c r="GN9" s="1022"/>
      <c r="GO9" s="1022"/>
      <c r="GP9" s="1022"/>
      <c r="GQ9" s="1022"/>
      <c r="GR9" s="1022"/>
      <c r="GS9" s="1022"/>
      <c r="GT9" s="1022"/>
      <c r="GU9" s="1022"/>
      <c r="GV9" s="1022"/>
      <c r="GW9" s="1022"/>
      <c r="GX9" s="1022"/>
      <c r="GY9" s="1022"/>
      <c r="GZ9" s="1022"/>
      <c r="HA9" s="1022"/>
      <c r="HB9" s="1022"/>
      <c r="HC9" s="1022"/>
      <c r="HD9" s="1022"/>
      <c r="HE9" s="1022"/>
      <c r="HF9" s="1022"/>
      <c r="HG9" s="1022"/>
      <c r="HH9" s="1022"/>
      <c r="HI9" s="1022"/>
      <c r="HJ9" s="1022"/>
      <c r="HK9" s="1022"/>
      <c r="HL9" s="1022"/>
      <c r="HM9" s="1022"/>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67" t="s">
        <v>124</v>
      </c>
      <c r="C10" s="1568">
        <v>1</v>
      </c>
      <c r="D10" s="1569">
        <v>1</v>
      </c>
      <c r="E10" s="1570">
        <v>12</v>
      </c>
      <c r="F10" s="1570">
        <v>721</v>
      </c>
      <c r="G10" s="1570">
        <v>466</v>
      </c>
      <c r="H10" s="1570">
        <v>0</v>
      </c>
      <c r="I10" s="1570">
        <v>0</v>
      </c>
      <c r="J10" s="1571" t="s">
        <v>4121</v>
      </c>
      <c r="K10" s="204">
        <f>MAX(0,H10-I10)</f>
        <v>0</v>
      </c>
      <c r="L10" s="204">
        <f t="shared" ref="L10:L47" si="0">MAX(0,E10*K10)</f>
        <v>0</v>
      </c>
      <c r="M10" s="1572" t="s">
        <v>4065</v>
      </c>
      <c r="N10" s="1572" t="s">
        <v>4122</v>
      </c>
      <c r="O10" s="1572" t="s">
        <v>3024</v>
      </c>
      <c r="P10" s="559">
        <f>IF(H10="","",H10*12/0.3)</f>
        <v>0</v>
      </c>
      <c r="Q10" s="560">
        <f>IF(H10="","",P10/($P$6*VLOOKUP(C10,'DCA Underwriting Assumptions'!$J$81:$K$86,2,FALSE)))</f>
        <v>0</v>
      </c>
      <c r="R10" s="667"/>
      <c r="S10" s="560"/>
      <c r="T10" s="1515"/>
      <c r="U10" s="1516"/>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12</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f>IF(OR(AND($C10=1,$J10="PHA Oper Sub",$B10="50% AMI",NOT($M10="Common")),AND($C10=1,$J10="PHA Oper Sub",$B10="HOME 50% AMI",NOT($M10="Common"))),$E10,"")</f>
        <v>12</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8652</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f t="shared" ref="CT10:CT47" si="47">IF(AND(C10=1,NOT(J10=""),NOT($J10=0),NOT(M10="Common")),E10*F10,"")</f>
        <v>8652</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12</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12</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12</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73" t="s">
        <v>124</v>
      </c>
      <c r="C11" s="1574">
        <v>2</v>
      </c>
      <c r="D11" s="1575">
        <v>1</v>
      </c>
      <c r="E11" s="1576">
        <v>3</v>
      </c>
      <c r="F11" s="1576">
        <v>984</v>
      </c>
      <c r="G11" s="1576">
        <v>560</v>
      </c>
      <c r="H11" s="1576">
        <v>0</v>
      </c>
      <c r="I11" s="1576">
        <v>0</v>
      </c>
      <c r="J11" s="1577" t="s">
        <v>4121</v>
      </c>
      <c r="K11" s="205">
        <f t="shared" ref="K11:K27" si="172">MAX(0,H11-I11)</f>
        <v>0</v>
      </c>
      <c r="L11" s="205">
        <f t="shared" si="0"/>
        <v>0</v>
      </c>
      <c r="M11" s="1578" t="s">
        <v>4065</v>
      </c>
      <c r="N11" s="1578" t="s">
        <v>4122</v>
      </c>
      <c r="O11" s="1578" t="s">
        <v>3024</v>
      </c>
      <c r="P11" s="559">
        <f>IF(H11="","",H11*12/0.3)</f>
        <v>0</v>
      </c>
      <c r="Q11" s="560">
        <f>IF(H11="","",P11/($P$6*VLOOKUP(C11,'DCA Underwriting Assumptions'!$J$81:$K$86,2,FALSE)))</f>
        <v>0</v>
      </c>
      <c r="R11" s="667"/>
      <c r="S11" s="560"/>
      <c r="T11" s="1517"/>
      <c r="U11" s="1518"/>
      <c r="V11" s="624" t="str">
        <f t="shared" si="1"/>
        <v/>
      </c>
      <c r="W11" s="624" t="str">
        <f t="shared" si="2"/>
        <v/>
      </c>
      <c r="X11" s="624" t="str">
        <f t="shared" si="3"/>
        <v/>
      </c>
      <c r="Y11" s="624" t="str">
        <f t="shared" si="4"/>
        <v/>
      </c>
      <c r="Z11" s="624" t="str">
        <f t="shared" si="5"/>
        <v/>
      </c>
      <c r="AA11" s="624" t="str">
        <f t="shared" si="6"/>
        <v/>
      </c>
      <c r="AB11" s="624" t="str">
        <f t="shared" si="7"/>
        <v/>
      </c>
      <c r="AC11" s="624">
        <f t="shared" si="8"/>
        <v>3</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f t="shared" ref="BL11:BL47" si="195">IF(OR(AND($C11=2,$J11="PHA Oper Sub",$B11="50% AMI",NOT($M11="Common")),AND($C11=2,$J11="PHA Oper Sub",$B11="HOME 50% AMI",NOT($M11="Common"))),$E11,"")</f>
        <v>3</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2952</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f t="shared" si="48"/>
        <v>2952</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3</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3</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f t="shared" si="143"/>
        <v>3</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73" t="s">
        <v>1562</v>
      </c>
      <c r="C12" s="1574">
        <v>1</v>
      </c>
      <c r="D12" s="1575">
        <v>1</v>
      </c>
      <c r="E12" s="1576">
        <v>64</v>
      </c>
      <c r="F12" s="1576">
        <v>721</v>
      </c>
      <c r="G12" s="1576">
        <v>559</v>
      </c>
      <c r="H12" s="1576">
        <v>656</v>
      </c>
      <c r="I12" s="1576">
        <v>114</v>
      </c>
      <c r="J12" s="1577" t="s">
        <v>4123</v>
      </c>
      <c r="K12" s="205">
        <f t="shared" si="172"/>
        <v>542</v>
      </c>
      <c r="L12" s="205">
        <f t="shared" si="0"/>
        <v>34688</v>
      </c>
      <c r="M12" s="1578" t="s">
        <v>4065</v>
      </c>
      <c r="N12" s="1578" t="s">
        <v>4122</v>
      </c>
      <c r="O12" s="1578" t="s">
        <v>3024</v>
      </c>
      <c r="P12" s="559">
        <f>IF(H12="","",H12*12/0.3)</f>
        <v>26240</v>
      </c>
      <c r="Q12" s="560">
        <f>IF(H12="","",P12/($P$6*VLOOKUP(C12,'DCA Underwriting Assumptions'!$J$81:$K$86,2,FALSE)))</f>
        <v>0.84305220883534138</v>
      </c>
      <c r="R12" s="667"/>
      <c r="S12" s="560"/>
      <c r="T12" s="1517"/>
      <c r="U12" s="1518"/>
      <c r="V12" s="624" t="str">
        <f t="shared" si="1"/>
        <v/>
      </c>
      <c r="W12" s="624">
        <f t="shared" si="2"/>
        <v>64</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f t="shared" si="184"/>
        <v>64</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f t="shared" si="27"/>
        <v>46144</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f t="shared" si="47"/>
        <v>46144</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f t="shared" si="57"/>
        <v>64</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64</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f t="shared" si="142"/>
        <v>64</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73" t="s">
        <v>1562</v>
      </c>
      <c r="C13" s="1574">
        <v>2</v>
      </c>
      <c r="D13" s="1575">
        <v>1</v>
      </c>
      <c r="E13" s="1576">
        <v>16</v>
      </c>
      <c r="F13" s="1576">
        <v>984</v>
      </c>
      <c r="G13" s="1576">
        <v>672</v>
      </c>
      <c r="H13" s="1576">
        <v>772</v>
      </c>
      <c r="I13" s="1576">
        <v>142</v>
      </c>
      <c r="J13" s="1577" t="s">
        <v>4123</v>
      </c>
      <c r="K13" s="205">
        <f t="shared" si="172"/>
        <v>630</v>
      </c>
      <c r="L13" s="205">
        <f t="shared" si="0"/>
        <v>10080</v>
      </c>
      <c r="M13" s="1578" t="s">
        <v>4065</v>
      </c>
      <c r="N13" s="1578" t="s">
        <v>4122</v>
      </c>
      <c r="O13" s="1578" t="s">
        <v>3024</v>
      </c>
      <c r="P13" s="559">
        <f>IF(H13="","",H13*12/0.3)</f>
        <v>30880</v>
      </c>
      <c r="Q13" s="560">
        <f>IF(H13="","",P13/($P$6*VLOOKUP(C13,'DCA Underwriting Assumptions'!$J$81:$K$86,2,FALSE)))</f>
        <v>0.82677376171352079</v>
      </c>
      <c r="R13" s="667"/>
      <c r="S13" s="560"/>
      <c r="T13" s="1517"/>
      <c r="U13" s="1518"/>
      <c r="V13" s="624" t="str">
        <f t="shared" si="1"/>
        <v/>
      </c>
      <c r="W13" s="624" t="str">
        <f t="shared" si="2"/>
        <v/>
      </c>
      <c r="X13" s="624">
        <f t="shared" si="3"/>
        <v>16</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f t="shared" si="185"/>
        <v>16</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15744</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f t="shared" si="48"/>
        <v>15744</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16</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16</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f t="shared" si="143"/>
        <v>16</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73" t="s">
        <v>333</v>
      </c>
      <c r="C14" s="1574">
        <v>1</v>
      </c>
      <c r="D14" s="1575">
        <v>1</v>
      </c>
      <c r="E14" s="1576">
        <v>4</v>
      </c>
      <c r="F14" s="1576">
        <v>721</v>
      </c>
      <c r="G14" s="1576">
        <v>0</v>
      </c>
      <c r="H14" s="1576">
        <v>575</v>
      </c>
      <c r="I14" s="1576">
        <v>0</v>
      </c>
      <c r="J14" s="1577"/>
      <c r="K14" s="205">
        <f t="shared" si="172"/>
        <v>575</v>
      </c>
      <c r="L14" s="205">
        <f t="shared" si="0"/>
        <v>2300</v>
      </c>
      <c r="M14" s="1578" t="s">
        <v>4065</v>
      </c>
      <c r="N14" s="1578" t="s">
        <v>4122</v>
      </c>
      <c r="O14" s="1578" t="s">
        <v>3024</v>
      </c>
      <c r="P14" s="559">
        <f>IF(H14="","",H14*12/0.3)</f>
        <v>23000</v>
      </c>
      <c r="Q14" s="560">
        <f>IF(H14="","",P14/($P$6*VLOOKUP(C14,'DCA Underwriting Assumptions'!$J$81:$K$86,2,FALSE)))</f>
        <v>0.73895582329317266</v>
      </c>
      <c r="R14" s="667"/>
      <c r="S14" s="560"/>
      <c r="T14" s="1517"/>
      <c r="U14" s="1518"/>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f t="shared" si="17"/>
        <v>4</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f t="shared" si="42"/>
        <v>2884</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f t="shared" si="62"/>
        <v>4</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f t="shared" si="102"/>
        <v>4</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f t="shared" si="142"/>
        <v>4</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73" t="s">
        <v>333</v>
      </c>
      <c r="C15" s="1574">
        <v>2</v>
      </c>
      <c r="D15" s="1575">
        <v>1</v>
      </c>
      <c r="E15" s="1576">
        <v>1</v>
      </c>
      <c r="F15" s="1576">
        <v>984</v>
      </c>
      <c r="G15" s="1576">
        <v>0</v>
      </c>
      <c r="H15" s="1576">
        <v>625</v>
      </c>
      <c r="I15" s="1576"/>
      <c r="J15" s="1577"/>
      <c r="K15" s="205">
        <f t="shared" si="172"/>
        <v>625</v>
      </c>
      <c r="L15" s="205">
        <f t="shared" si="0"/>
        <v>625</v>
      </c>
      <c r="M15" s="1578" t="s">
        <v>4065</v>
      </c>
      <c r="N15" s="1578" t="s">
        <v>4122</v>
      </c>
      <c r="O15" s="1578" t="s">
        <v>3024</v>
      </c>
      <c r="P15" s="559">
        <f t="shared" ref="P15:P47" si="203">IF(H15="","",H15*12/0.3)</f>
        <v>25000</v>
      </c>
      <c r="Q15" s="560">
        <f>IF(H15="","",P15/($P$6*VLOOKUP(C15,'DCA Underwriting Assumptions'!$J$81:$K$86,2,FALSE)))</f>
        <v>0.66934404283801874</v>
      </c>
      <c r="R15" s="667"/>
      <c r="S15" s="560"/>
      <c r="T15" s="1517"/>
      <c r="U15" s="1518"/>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f t="shared" si="18"/>
        <v>1</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f t="shared" si="43"/>
        <v>984</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f t="shared" si="63"/>
        <v>1</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f t="shared" si="103"/>
        <v>1</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f t="shared" si="143"/>
        <v>1</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73"/>
      <c r="C16" s="1574"/>
      <c r="D16" s="1575"/>
      <c r="E16" s="1576"/>
      <c r="F16" s="1576"/>
      <c r="G16" s="1576"/>
      <c r="H16" s="1576"/>
      <c r="I16" s="1576"/>
      <c r="J16" s="1577"/>
      <c r="K16" s="205">
        <f t="shared" si="172"/>
        <v>0</v>
      </c>
      <c r="L16" s="205">
        <f t="shared" si="0"/>
        <v>0</v>
      </c>
      <c r="M16" s="1578"/>
      <c r="N16" s="1578"/>
      <c r="O16" s="1578"/>
      <c r="P16" s="559" t="str">
        <f t="shared" si="203"/>
        <v/>
      </c>
      <c r="Q16" s="560" t="str">
        <f>IF(H16="","",P16/($P$6*VLOOKUP(C16,'DCA Underwriting Assumptions'!$J$81:$K$86,2,FALSE)))</f>
        <v/>
      </c>
      <c r="R16" s="667"/>
      <c r="S16" s="560"/>
      <c r="T16" s="1517"/>
      <c r="U16" s="1518"/>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73" t="s">
        <v>2466</v>
      </c>
      <c r="C17" s="1574"/>
      <c r="D17" s="1575"/>
      <c r="E17" s="1576"/>
      <c r="F17" s="1576"/>
      <c r="G17" s="1576"/>
      <c r="H17" s="1576"/>
      <c r="I17" s="1576"/>
      <c r="J17" s="1577"/>
      <c r="K17" s="205">
        <f t="shared" si="172"/>
        <v>0</v>
      </c>
      <c r="L17" s="205">
        <f t="shared" si="0"/>
        <v>0</v>
      </c>
      <c r="M17" s="1578"/>
      <c r="N17" s="1578"/>
      <c r="O17" s="1578"/>
      <c r="P17" s="559" t="str">
        <f t="shared" si="203"/>
        <v/>
      </c>
      <c r="Q17" s="560" t="str">
        <f>IF(H17="","",P17/($P$6*VLOOKUP(C17,'DCA Underwriting Assumptions'!$J$81:$K$86,2,FALSE)))</f>
        <v/>
      </c>
      <c r="R17" s="667"/>
      <c r="S17" s="560"/>
      <c r="T17" s="1517"/>
      <c r="U17" s="1518"/>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73" t="s">
        <v>2466</v>
      </c>
      <c r="C18" s="1574"/>
      <c r="D18" s="1575"/>
      <c r="E18" s="1576"/>
      <c r="F18" s="1576"/>
      <c r="G18" s="1576"/>
      <c r="H18" s="1576"/>
      <c r="I18" s="1576"/>
      <c r="J18" s="1577"/>
      <c r="K18" s="205">
        <f t="shared" si="172"/>
        <v>0</v>
      </c>
      <c r="L18" s="205">
        <f t="shared" si="0"/>
        <v>0</v>
      </c>
      <c r="M18" s="1578"/>
      <c r="N18" s="1578"/>
      <c r="O18" s="1578"/>
      <c r="P18" s="559" t="str">
        <f t="shared" si="203"/>
        <v/>
      </c>
      <c r="Q18" s="560" t="str">
        <f>IF(H18="","",P18/($P$6*VLOOKUP(C18,'DCA Underwriting Assumptions'!$J$81:$K$86,2,FALSE)))</f>
        <v/>
      </c>
      <c r="R18" s="667"/>
      <c r="S18" s="560"/>
      <c r="T18" s="1517"/>
      <c r="U18" s="1518"/>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73" t="s">
        <v>2466</v>
      </c>
      <c r="C19" s="1574"/>
      <c r="D19" s="1575"/>
      <c r="E19" s="1576"/>
      <c r="F19" s="1576"/>
      <c r="G19" s="1576"/>
      <c r="H19" s="1576"/>
      <c r="I19" s="1576"/>
      <c r="J19" s="1577"/>
      <c r="K19" s="205">
        <f t="shared" si="172"/>
        <v>0</v>
      </c>
      <c r="L19" s="205">
        <f t="shared" si="0"/>
        <v>0</v>
      </c>
      <c r="M19" s="1578"/>
      <c r="N19" s="1578"/>
      <c r="O19" s="1578"/>
      <c r="P19" s="559" t="str">
        <f t="shared" si="203"/>
        <v/>
      </c>
      <c r="Q19" s="560" t="str">
        <f>IF(H19="","",P19/($P$6*VLOOKUP(C19,'DCA Underwriting Assumptions'!$J$81:$K$86,2,FALSE)))</f>
        <v/>
      </c>
      <c r="R19" s="667"/>
      <c r="S19" s="560"/>
      <c r="T19" s="1517"/>
      <c r="U19" s="1518"/>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73" t="s">
        <v>2466</v>
      </c>
      <c r="C20" s="1574"/>
      <c r="D20" s="1575"/>
      <c r="E20" s="1576"/>
      <c r="F20" s="1576"/>
      <c r="G20" s="1576"/>
      <c r="H20" s="1576"/>
      <c r="I20" s="1576"/>
      <c r="J20" s="1577"/>
      <c r="K20" s="205">
        <f t="shared" si="172"/>
        <v>0</v>
      </c>
      <c r="L20" s="205">
        <f t="shared" si="0"/>
        <v>0</v>
      </c>
      <c r="M20" s="1578"/>
      <c r="N20" s="1578"/>
      <c r="O20" s="1578"/>
      <c r="P20" s="559" t="str">
        <f t="shared" si="203"/>
        <v/>
      </c>
      <c r="Q20" s="560" t="str">
        <f>IF(H20="","",P20/($P$6*VLOOKUP(C20,'DCA Underwriting Assumptions'!$J$81:$K$86,2,FALSE)))</f>
        <v/>
      </c>
      <c r="R20" s="667"/>
      <c r="S20" s="560"/>
      <c r="T20" s="1517"/>
      <c r="U20" s="1518"/>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73" t="s">
        <v>2466</v>
      </c>
      <c r="C21" s="1574"/>
      <c r="D21" s="1575"/>
      <c r="E21" s="1576"/>
      <c r="F21" s="1576"/>
      <c r="G21" s="1576"/>
      <c r="H21" s="1576"/>
      <c r="I21" s="1576"/>
      <c r="J21" s="1577"/>
      <c r="K21" s="205">
        <f t="shared" si="172"/>
        <v>0</v>
      </c>
      <c r="L21" s="205">
        <f t="shared" si="0"/>
        <v>0</v>
      </c>
      <c r="M21" s="1578"/>
      <c r="N21" s="1578"/>
      <c r="O21" s="1578"/>
      <c r="P21" s="559" t="str">
        <f t="shared" si="203"/>
        <v/>
      </c>
      <c r="Q21" s="560" t="str">
        <f>IF(H21="","",P21/($P$6*VLOOKUP(C21,'DCA Underwriting Assumptions'!$J$81:$K$86,2,FALSE)))</f>
        <v/>
      </c>
      <c r="R21" s="667"/>
      <c r="S21" s="560"/>
      <c r="T21" s="1517"/>
      <c r="U21" s="1518"/>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73" t="s">
        <v>2466</v>
      </c>
      <c r="C22" s="1574"/>
      <c r="D22" s="1575"/>
      <c r="E22" s="1576"/>
      <c r="F22" s="1576"/>
      <c r="G22" s="1576"/>
      <c r="H22" s="1576"/>
      <c r="I22" s="1576"/>
      <c r="J22" s="1577"/>
      <c r="K22" s="205">
        <f t="shared" si="172"/>
        <v>0</v>
      </c>
      <c r="L22" s="205">
        <f t="shared" si="0"/>
        <v>0</v>
      </c>
      <c r="M22" s="1578"/>
      <c r="N22" s="1578"/>
      <c r="O22" s="1578"/>
      <c r="P22" s="559" t="str">
        <f t="shared" si="203"/>
        <v/>
      </c>
      <c r="Q22" s="560" t="str">
        <f>IF(H22="","",P22/($P$6*VLOOKUP(C22,'DCA Underwriting Assumptions'!$J$81:$K$86,2,FALSE)))</f>
        <v/>
      </c>
      <c r="R22" s="667"/>
      <c r="S22" s="560"/>
      <c r="T22" s="1517"/>
      <c r="U22" s="1518"/>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73" t="s">
        <v>2466</v>
      </c>
      <c r="C23" s="1574"/>
      <c r="D23" s="1575"/>
      <c r="E23" s="1576"/>
      <c r="F23" s="1576"/>
      <c r="G23" s="1576"/>
      <c r="H23" s="1576"/>
      <c r="I23" s="1576"/>
      <c r="J23" s="1577"/>
      <c r="K23" s="205">
        <f t="shared" si="172"/>
        <v>0</v>
      </c>
      <c r="L23" s="205">
        <f t="shared" si="0"/>
        <v>0</v>
      </c>
      <c r="M23" s="1578"/>
      <c r="N23" s="1578"/>
      <c r="O23" s="1578"/>
      <c r="P23" s="559" t="str">
        <f t="shared" si="203"/>
        <v/>
      </c>
      <c r="Q23" s="560" t="str">
        <f>IF(H23="","",P23/($P$6*VLOOKUP(C23,'DCA Underwriting Assumptions'!$J$81:$K$86,2,FALSE)))</f>
        <v/>
      </c>
      <c r="R23" s="667"/>
      <c r="S23" s="560"/>
      <c r="T23" s="1517"/>
      <c r="U23" s="1518"/>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73" t="s">
        <v>2466</v>
      </c>
      <c r="C24" s="1574"/>
      <c r="D24" s="1575"/>
      <c r="E24" s="1576"/>
      <c r="F24" s="1576"/>
      <c r="G24" s="1576"/>
      <c r="H24" s="1576"/>
      <c r="I24" s="1576"/>
      <c r="J24" s="1577"/>
      <c r="K24" s="205">
        <f t="shared" si="172"/>
        <v>0</v>
      </c>
      <c r="L24" s="205">
        <f t="shared" si="0"/>
        <v>0</v>
      </c>
      <c r="M24" s="1578"/>
      <c r="N24" s="1578"/>
      <c r="O24" s="1578"/>
      <c r="P24" s="559" t="str">
        <f t="shared" si="203"/>
        <v/>
      </c>
      <c r="Q24" s="560" t="str">
        <f>IF(H24="","",P24/($P$6*VLOOKUP(C24,'DCA Underwriting Assumptions'!$J$81:$K$86,2,FALSE)))</f>
        <v/>
      </c>
      <c r="R24" s="667"/>
      <c r="S24" s="560"/>
      <c r="T24" s="1517"/>
      <c r="U24" s="1518"/>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73" t="s">
        <v>2466</v>
      </c>
      <c r="C25" s="1574"/>
      <c r="D25" s="1575"/>
      <c r="E25" s="1576"/>
      <c r="F25" s="1576"/>
      <c r="G25" s="1576"/>
      <c r="H25" s="1576"/>
      <c r="I25" s="1576"/>
      <c r="J25" s="1577"/>
      <c r="K25" s="205">
        <f t="shared" si="172"/>
        <v>0</v>
      </c>
      <c r="L25" s="205">
        <f t="shared" si="0"/>
        <v>0</v>
      </c>
      <c r="M25" s="1578"/>
      <c r="N25" s="1578"/>
      <c r="O25" s="1578"/>
      <c r="P25" s="559" t="str">
        <f t="shared" si="203"/>
        <v/>
      </c>
      <c r="Q25" s="560" t="str">
        <f>IF(H25="","",P25/($P$6*VLOOKUP(C25,'DCA Underwriting Assumptions'!$J$81:$K$86,2,FALSE)))</f>
        <v/>
      </c>
      <c r="R25" s="667"/>
      <c r="S25" s="560"/>
      <c r="T25" s="1517"/>
      <c r="U25" s="1518"/>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73" t="s">
        <v>2466</v>
      </c>
      <c r="C26" s="1574"/>
      <c r="D26" s="1575"/>
      <c r="E26" s="1576"/>
      <c r="F26" s="1576"/>
      <c r="G26" s="1576"/>
      <c r="H26" s="1576"/>
      <c r="I26" s="1576"/>
      <c r="J26" s="1577"/>
      <c r="K26" s="205">
        <f t="shared" si="172"/>
        <v>0</v>
      </c>
      <c r="L26" s="205">
        <f t="shared" si="0"/>
        <v>0</v>
      </c>
      <c r="M26" s="1578"/>
      <c r="N26" s="1578"/>
      <c r="O26" s="1578"/>
      <c r="P26" s="559" t="str">
        <f t="shared" si="203"/>
        <v/>
      </c>
      <c r="Q26" s="560" t="str">
        <f>IF(H26="","",P26/($P$6*VLOOKUP(C26,'DCA Underwriting Assumptions'!$J$81:$K$86,2,FALSE)))</f>
        <v/>
      </c>
      <c r="R26" s="667"/>
      <c r="S26" s="560"/>
      <c r="T26" s="1517"/>
      <c r="U26" s="1518"/>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73" t="s">
        <v>2466</v>
      </c>
      <c r="C27" s="1574"/>
      <c r="D27" s="1575"/>
      <c r="E27" s="1576"/>
      <c r="F27" s="1576"/>
      <c r="G27" s="1576"/>
      <c r="H27" s="1576"/>
      <c r="I27" s="1576"/>
      <c r="J27" s="1577"/>
      <c r="K27" s="205">
        <f t="shared" si="172"/>
        <v>0</v>
      </c>
      <c r="L27" s="205">
        <f t="shared" si="0"/>
        <v>0</v>
      </c>
      <c r="M27" s="1578"/>
      <c r="N27" s="1578"/>
      <c r="O27" s="1578"/>
      <c r="P27" s="559" t="str">
        <f t="shared" si="203"/>
        <v/>
      </c>
      <c r="Q27" s="560" t="str">
        <f>IF(H27="","",P27/($P$6*VLOOKUP(C27,'DCA Underwriting Assumptions'!$J$81:$K$86,2,FALSE)))</f>
        <v/>
      </c>
      <c r="R27" s="667"/>
      <c r="S27" s="560"/>
      <c r="T27" s="1517"/>
      <c r="U27" s="1518"/>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73" t="s">
        <v>2466</v>
      </c>
      <c r="C28" s="1574"/>
      <c r="D28" s="1575"/>
      <c r="E28" s="1576"/>
      <c r="F28" s="1576"/>
      <c r="G28" s="1576"/>
      <c r="H28" s="1576"/>
      <c r="I28" s="1576"/>
      <c r="J28" s="1577"/>
      <c r="K28" s="205">
        <f>MAX(0,H28-I28)</f>
        <v>0</v>
      </c>
      <c r="L28" s="205">
        <f t="shared" si="0"/>
        <v>0</v>
      </c>
      <c r="M28" s="1578"/>
      <c r="N28" s="1578"/>
      <c r="O28" s="1578"/>
      <c r="P28" s="559" t="str">
        <f t="shared" si="203"/>
        <v/>
      </c>
      <c r="Q28" s="560" t="str">
        <f>IF(H28="","",P28/($P$6*VLOOKUP(C28,'DCA Underwriting Assumptions'!$J$81:$K$86,2,FALSE)))</f>
        <v/>
      </c>
      <c r="R28" s="667"/>
      <c r="S28" s="560"/>
      <c r="T28" s="1517"/>
      <c r="U28" s="1518"/>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73" t="s">
        <v>2466</v>
      </c>
      <c r="C29" s="1574"/>
      <c r="D29" s="1575"/>
      <c r="E29" s="1576"/>
      <c r="F29" s="1576"/>
      <c r="G29" s="1576"/>
      <c r="H29" s="1576"/>
      <c r="I29" s="1576"/>
      <c r="J29" s="1577"/>
      <c r="K29" s="205">
        <f t="shared" ref="K29:K47" si="204">MAX(0,H29-I29)</f>
        <v>0</v>
      </c>
      <c r="L29" s="205">
        <f t="shared" si="0"/>
        <v>0</v>
      </c>
      <c r="M29" s="1578"/>
      <c r="N29" s="1578"/>
      <c r="O29" s="1578"/>
      <c r="P29" s="559" t="str">
        <f t="shared" si="203"/>
        <v/>
      </c>
      <c r="Q29" s="560" t="str">
        <f>IF(H29="","",P29/($P$6*VLOOKUP(C29,'DCA Underwriting Assumptions'!$J$81:$K$86,2,FALSE)))</f>
        <v/>
      </c>
      <c r="R29" s="667"/>
      <c r="S29" s="560"/>
      <c r="T29" s="1517"/>
      <c r="U29" s="1518"/>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73" t="s">
        <v>2466</v>
      </c>
      <c r="C30" s="1574"/>
      <c r="D30" s="1575"/>
      <c r="E30" s="1576"/>
      <c r="F30" s="1576"/>
      <c r="G30" s="1576"/>
      <c r="H30" s="1576"/>
      <c r="I30" s="1576"/>
      <c r="J30" s="1577"/>
      <c r="K30" s="205">
        <f t="shared" si="204"/>
        <v>0</v>
      </c>
      <c r="L30" s="205">
        <f t="shared" si="0"/>
        <v>0</v>
      </c>
      <c r="M30" s="1578"/>
      <c r="N30" s="1578"/>
      <c r="O30" s="1578"/>
      <c r="P30" s="559" t="str">
        <f t="shared" si="203"/>
        <v/>
      </c>
      <c r="Q30" s="560" t="str">
        <f>IF(H30="","",P30/($P$6*VLOOKUP(C30,'DCA Underwriting Assumptions'!$J$81:$K$86,2,FALSE)))</f>
        <v/>
      </c>
      <c r="R30" s="667"/>
      <c r="S30" s="560"/>
      <c r="T30" s="1517"/>
      <c r="U30" s="1518"/>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73" t="s">
        <v>2466</v>
      </c>
      <c r="C31" s="1574"/>
      <c r="D31" s="1575"/>
      <c r="E31" s="1576"/>
      <c r="F31" s="1576"/>
      <c r="G31" s="1576"/>
      <c r="H31" s="1576"/>
      <c r="I31" s="1576"/>
      <c r="J31" s="1577"/>
      <c r="K31" s="205">
        <f t="shared" si="204"/>
        <v>0</v>
      </c>
      <c r="L31" s="205">
        <f t="shared" si="0"/>
        <v>0</v>
      </c>
      <c r="M31" s="1578"/>
      <c r="N31" s="1578"/>
      <c r="O31" s="1578"/>
      <c r="P31" s="559" t="str">
        <f t="shared" si="203"/>
        <v/>
      </c>
      <c r="Q31" s="560" t="str">
        <f>IF(H31="","",P31/($P$6*VLOOKUP(C31,'DCA Underwriting Assumptions'!$J$81:$K$86,2,FALSE)))</f>
        <v/>
      </c>
      <c r="R31" s="667"/>
      <c r="S31" s="560"/>
      <c r="T31" s="1517"/>
      <c r="U31" s="1518"/>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73" t="s">
        <v>2466</v>
      </c>
      <c r="C32" s="1574"/>
      <c r="D32" s="1575"/>
      <c r="E32" s="1576"/>
      <c r="F32" s="1576"/>
      <c r="G32" s="1576"/>
      <c r="H32" s="1576"/>
      <c r="I32" s="1576"/>
      <c r="J32" s="1577"/>
      <c r="K32" s="205">
        <f t="shared" si="204"/>
        <v>0</v>
      </c>
      <c r="L32" s="205">
        <f t="shared" si="0"/>
        <v>0</v>
      </c>
      <c r="M32" s="1578"/>
      <c r="N32" s="1578"/>
      <c r="O32" s="1578"/>
      <c r="P32" s="559" t="str">
        <f t="shared" si="203"/>
        <v/>
      </c>
      <c r="Q32" s="560" t="str">
        <f>IF(H32="","",P32/($P$6*VLOOKUP(C32,'DCA Underwriting Assumptions'!$J$81:$K$86,2,FALSE)))</f>
        <v/>
      </c>
      <c r="R32" s="667"/>
      <c r="S32" s="560"/>
      <c r="T32" s="1517"/>
      <c r="U32" s="1518"/>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73" t="s">
        <v>2466</v>
      </c>
      <c r="C33" s="1574"/>
      <c r="D33" s="1575"/>
      <c r="E33" s="1576"/>
      <c r="F33" s="1576"/>
      <c r="G33" s="1576"/>
      <c r="H33" s="1576"/>
      <c r="I33" s="1576"/>
      <c r="J33" s="1577"/>
      <c r="K33" s="205">
        <f t="shared" si="204"/>
        <v>0</v>
      </c>
      <c r="L33" s="205">
        <f t="shared" si="0"/>
        <v>0</v>
      </c>
      <c r="M33" s="1578"/>
      <c r="N33" s="1578"/>
      <c r="O33" s="1578"/>
      <c r="P33" s="559" t="str">
        <f t="shared" si="203"/>
        <v/>
      </c>
      <c r="Q33" s="560" t="str">
        <f>IF(H33="","",P33/($P$6*VLOOKUP(C33,'DCA Underwriting Assumptions'!$J$81:$K$86,2,FALSE)))</f>
        <v/>
      </c>
      <c r="R33" s="667"/>
      <c r="S33" s="560"/>
      <c r="T33" s="1517"/>
      <c r="U33" s="1518"/>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73" t="s">
        <v>2466</v>
      </c>
      <c r="C34" s="1574"/>
      <c r="D34" s="1575"/>
      <c r="E34" s="1576"/>
      <c r="F34" s="1576"/>
      <c r="G34" s="1576"/>
      <c r="H34" s="1576"/>
      <c r="I34" s="1576"/>
      <c r="J34" s="1577"/>
      <c r="K34" s="205">
        <f t="shared" si="204"/>
        <v>0</v>
      </c>
      <c r="L34" s="205">
        <f t="shared" si="0"/>
        <v>0</v>
      </c>
      <c r="M34" s="1578"/>
      <c r="N34" s="1578"/>
      <c r="O34" s="1578"/>
      <c r="P34" s="559" t="str">
        <f t="shared" si="203"/>
        <v/>
      </c>
      <c r="Q34" s="560" t="str">
        <f>IF(H34="","",P34/($P$6*VLOOKUP(C34,'DCA Underwriting Assumptions'!$J$81:$K$86,2,FALSE)))</f>
        <v/>
      </c>
      <c r="R34" s="667"/>
      <c r="S34" s="560"/>
      <c r="T34" s="1517"/>
      <c r="U34" s="1518"/>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73" t="s">
        <v>2466</v>
      </c>
      <c r="C35" s="1574"/>
      <c r="D35" s="1575"/>
      <c r="E35" s="1576"/>
      <c r="F35" s="1576"/>
      <c r="G35" s="1576"/>
      <c r="H35" s="1576"/>
      <c r="I35" s="1576"/>
      <c r="J35" s="1577"/>
      <c r="K35" s="205">
        <f t="shared" si="204"/>
        <v>0</v>
      </c>
      <c r="L35" s="205">
        <f t="shared" si="0"/>
        <v>0</v>
      </c>
      <c r="M35" s="1578"/>
      <c r="N35" s="1578"/>
      <c r="O35" s="1578"/>
      <c r="P35" s="559" t="str">
        <f t="shared" si="203"/>
        <v/>
      </c>
      <c r="Q35" s="560" t="str">
        <f>IF(H35="","",P35/($P$6*VLOOKUP(C35,'DCA Underwriting Assumptions'!$J$81:$K$86,2,FALSE)))</f>
        <v/>
      </c>
      <c r="R35" s="667"/>
      <c r="S35" s="560"/>
      <c r="T35" s="1517"/>
      <c r="U35" s="1518"/>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73" t="s">
        <v>2466</v>
      </c>
      <c r="C36" s="1574"/>
      <c r="D36" s="1575"/>
      <c r="E36" s="1576"/>
      <c r="F36" s="1576"/>
      <c r="G36" s="1576"/>
      <c r="H36" s="1576"/>
      <c r="I36" s="1576"/>
      <c r="J36" s="1577"/>
      <c r="K36" s="205">
        <f t="shared" si="204"/>
        <v>0</v>
      </c>
      <c r="L36" s="205">
        <f t="shared" si="0"/>
        <v>0</v>
      </c>
      <c r="M36" s="1578"/>
      <c r="N36" s="1578"/>
      <c r="O36" s="1578"/>
      <c r="P36" s="559" t="str">
        <f t="shared" si="203"/>
        <v/>
      </c>
      <c r="Q36" s="560" t="str">
        <f>IF(H36="","",P36/($P$6*VLOOKUP(C36,'DCA Underwriting Assumptions'!$J$81:$K$86,2,FALSE)))</f>
        <v/>
      </c>
      <c r="R36" s="667"/>
      <c r="S36" s="560"/>
      <c r="T36" s="1517"/>
      <c r="U36" s="1518"/>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73" t="s">
        <v>2466</v>
      </c>
      <c r="C37" s="1574"/>
      <c r="D37" s="1575"/>
      <c r="E37" s="1576"/>
      <c r="F37" s="1576"/>
      <c r="G37" s="1576"/>
      <c r="H37" s="1576"/>
      <c r="I37" s="1576"/>
      <c r="J37" s="1577"/>
      <c r="K37" s="205">
        <f t="shared" si="204"/>
        <v>0</v>
      </c>
      <c r="L37" s="205">
        <f t="shared" si="0"/>
        <v>0</v>
      </c>
      <c r="M37" s="1578"/>
      <c r="N37" s="1578"/>
      <c r="O37" s="1578"/>
      <c r="P37" s="559" t="str">
        <f t="shared" si="203"/>
        <v/>
      </c>
      <c r="Q37" s="560" t="str">
        <f>IF(H37="","",P37/($P$6*VLOOKUP(C37,'DCA Underwriting Assumptions'!$J$81:$K$86,2,FALSE)))</f>
        <v/>
      </c>
      <c r="R37" s="667"/>
      <c r="S37" s="560"/>
      <c r="T37" s="1517"/>
      <c r="U37" s="1518"/>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73" t="s">
        <v>2466</v>
      </c>
      <c r="C38" s="1574"/>
      <c r="D38" s="1575"/>
      <c r="E38" s="1576"/>
      <c r="F38" s="1576"/>
      <c r="G38" s="1576"/>
      <c r="H38" s="1576"/>
      <c r="I38" s="1576"/>
      <c r="J38" s="1577"/>
      <c r="K38" s="205">
        <f>MAX(0,H38-I38)</f>
        <v>0</v>
      </c>
      <c r="L38" s="205">
        <f t="shared" si="0"/>
        <v>0</v>
      </c>
      <c r="M38" s="1578"/>
      <c r="N38" s="1578"/>
      <c r="O38" s="1578"/>
      <c r="P38" s="559" t="str">
        <f t="shared" si="203"/>
        <v/>
      </c>
      <c r="Q38" s="560" t="str">
        <f>IF(H38="","",P38/($P$6*VLOOKUP(C38,'DCA Underwriting Assumptions'!$J$81:$K$86,2,FALSE)))</f>
        <v/>
      </c>
      <c r="R38" s="667"/>
      <c r="S38" s="560"/>
      <c r="T38" s="1517"/>
      <c r="U38" s="1518"/>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73" t="s">
        <v>2466</v>
      </c>
      <c r="C39" s="1574"/>
      <c r="D39" s="1575"/>
      <c r="E39" s="1576"/>
      <c r="F39" s="1576"/>
      <c r="G39" s="1576"/>
      <c r="H39" s="1576"/>
      <c r="I39" s="1576"/>
      <c r="J39" s="1577"/>
      <c r="K39" s="205">
        <f t="shared" ref="K39:K46" si="205">MAX(0,H39-I39)</f>
        <v>0</v>
      </c>
      <c r="L39" s="205">
        <f t="shared" si="0"/>
        <v>0</v>
      </c>
      <c r="M39" s="1578"/>
      <c r="N39" s="1578"/>
      <c r="O39" s="1578"/>
      <c r="P39" s="559" t="str">
        <f t="shared" si="203"/>
        <v/>
      </c>
      <c r="Q39" s="560" t="str">
        <f>IF(H39="","",P39/($P$6*VLOOKUP(C39,'DCA Underwriting Assumptions'!$J$81:$K$86,2,FALSE)))</f>
        <v/>
      </c>
      <c r="R39" s="667"/>
      <c r="S39" s="560"/>
      <c r="T39" s="1517"/>
      <c r="U39" s="1518"/>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73" t="s">
        <v>2466</v>
      </c>
      <c r="C40" s="1574"/>
      <c r="D40" s="1575"/>
      <c r="E40" s="1576"/>
      <c r="F40" s="1576"/>
      <c r="G40" s="1576"/>
      <c r="H40" s="1576"/>
      <c r="I40" s="1576"/>
      <c r="J40" s="1577"/>
      <c r="K40" s="205">
        <f t="shared" si="205"/>
        <v>0</v>
      </c>
      <c r="L40" s="205">
        <f t="shared" si="0"/>
        <v>0</v>
      </c>
      <c r="M40" s="1578"/>
      <c r="N40" s="1578"/>
      <c r="O40" s="1578"/>
      <c r="P40" s="559" t="str">
        <f t="shared" si="203"/>
        <v/>
      </c>
      <c r="Q40" s="560" t="str">
        <f>IF(H40="","",P40/($P$6*VLOOKUP(C40,'DCA Underwriting Assumptions'!$J$81:$K$86,2,FALSE)))</f>
        <v/>
      </c>
      <c r="R40" s="667"/>
      <c r="S40" s="560"/>
      <c r="T40" s="1517"/>
      <c r="U40" s="1518"/>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73" t="s">
        <v>2466</v>
      </c>
      <c r="C41" s="1574"/>
      <c r="D41" s="1575"/>
      <c r="E41" s="1576"/>
      <c r="F41" s="1576"/>
      <c r="G41" s="1576"/>
      <c r="H41" s="1576"/>
      <c r="I41" s="1576"/>
      <c r="J41" s="1577"/>
      <c r="K41" s="205">
        <f t="shared" si="205"/>
        <v>0</v>
      </c>
      <c r="L41" s="205">
        <f t="shared" si="0"/>
        <v>0</v>
      </c>
      <c r="M41" s="1578"/>
      <c r="N41" s="1578"/>
      <c r="O41" s="1578"/>
      <c r="P41" s="559" t="str">
        <f t="shared" si="203"/>
        <v/>
      </c>
      <c r="Q41" s="560" t="str">
        <f>IF(H41="","",P41/($P$6*VLOOKUP(C41,'DCA Underwriting Assumptions'!$J$81:$K$86,2,FALSE)))</f>
        <v/>
      </c>
      <c r="R41" s="667"/>
      <c r="S41" s="560"/>
      <c r="T41" s="1517"/>
      <c r="U41" s="1518"/>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73" t="s">
        <v>2466</v>
      </c>
      <c r="C42" s="1574"/>
      <c r="D42" s="1575"/>
      <c r="E42" s="1576"/>
      <c r="F42" s="1576"/>
      <c r="G42" s="1576"/>
      <c r="H42" s="1576"/>
      <c r="I42" s="1576"/>
      <c r="J42" s="1577"/>
      <c r="K42" s="205">
        <f t="shared" si="205"/>
        <v>0</v>
      </c>
      <c r="L42" s="205">
        <f t="shared" si="0"/>
        <v>0</v>
      </c>
      <c r="M42" s="1578"/>
      <c r="N42" s="1578"/>
      <c r="O42" s="1578"/>
      <c r="P42" s="559" t="str">
        <f t="shared" si="203"/>
        <v/>
      </c>
      <c r="Q42" s="560" t="str">
        <f>IF(H42="","",P42/($P$6*VLOOKUP(C42,'DCA Underwriting Assumptions'!$J$81:$K$86,2,FALSE)))</f>
        <v/>
      </c>
      <c r="R42" s="667"/>
      <c r="S42" s="560"/>
      <c r="T42" s="1517"/>
      <c r="U42" s="1518"/>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73" t="s">
        <v>2466</v>
      </c>
      <c r="C43" s="1574"/>
      <c r="D43" s="1575"/>
      <c r="E43" s="1576"/>
      <c r="F43" s="1576"/>
      <c r="G43" s="1576"/>
      <c r="H43" s="1576"/>
      <c r="I43" s="1576"/>
      <c r="J43" s="1577"/>
      <c r="K43" s="205">
        <f t="shared" si="205"/>
        <v>0</v>
      </c>
      <c r="L43" s="205">
        <f t="shared" si="0"/>
        <v>0</v>
      </c>
      <c r="M43" s="1578"/>
      <c r="N43" s="1578"/>
      <c r="O43" s="1578"/>
      <c r="P43" s="559" t="str">
        <f t="shared" si="203"/>
        <v/>
      </c>
      <c r="Q43" s="560" t="str">
        <f>IF(H43="","",P43/($P$6*VLOOKUP(C43,'DCA Underwriting Assumptions'!$J$81:$K$86,2,FALSE)))</f>
        <v/>
      </c>
      <c r="R43" s="667"/>
      <c r="S43" s="560"/>
      <c r="T43" s="1517"/>
      <c r="U43" s="1518"/>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73" t="s">
        <v>2466</v>
      </c>
      <c r="C44" s="1574"/>
      <c r="D44" s="1575"/>
      <c r="E44" s="1576"/>
      <c r="F44" s="1576"/>
      <c r="G44" s="1576"/>
      <c r="H44" s="1576"/>
      <c r="I44" s="1576"/>
      <c r="J44" s="1577"/>
      <c r="K44" s="205">
        <f t="shared" si="205"/>
        <v>0</v>
      </c>
      <c r="L44" s="205">
        <f t="shared" si="0"/>
        <v>0</v>
      </c>
      <c r="M44" s="1578"/>
      <c r="N44" s="1578"/>
      <c r="O44" s="1578"/>
      <c r="P44" s="559" t="str">
        <f t="shared" si="203"/>
        <v/>
      </c>
      <c r="Q44" s="560" t="str">
        <f>IF(H44="","",P44/($P$6*VLOOKUP(C44,'DCA Underwriting Assumptions'!$J$81:$K$86,2,FALSE)))</f>
        <v/>
      </c>
      <c r="R44" s="667"/>
      <c r="S44" s="560"/>
      <c r="T44" s="1517"/>
      <c r="U44" s="1518"/>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73" t="s">
        <v>2466</v>
      </c>
      <c r="C45" s="1574"/>
      <c r="D45" s="1575"/>
      <c r="E45" s="1576"/>
      <c r="F45" s="1576"/>
      <c r="G45" s="1576"/>
      <c r="H45" s="1576"/>
      <c r="I45" s="1576"/>
      <c r="J45" s="1577"/>
      <c r="K45" s="205">
        <f t="shared" si="205"/>
        <v>0</v>
      </c>
      <c r="L45" s="205">
        <f t="shared" si="0"/>
        <v>0</v>
      </c>
      <c r="M45" s="1578"/>
      <c r="N45" s="1578"/>
      <c r="O45" s="1578"/>
      <c r="P45" s="559" t="str">
        <f t="shared" si="203"/>
        <v/>
      </c>
      <c r="Q45" s="560" t="str">
        <f>IF(H45="","",P45/($P$6*VLOOKUP(C45,'DCA Underwriting Assumptions'!$J$81:$K$86,2,FALSE)))</f>
        <v/>
      </c>
      <c r="R45" s="667"/>
      <c r="S45" s="560"/>
      <c r="T45" s="1517"/>
      <c r="U45" s="1518"/>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73" t="s">
        <v>2466</v>
      </c>
      <c r="C46" s="1574"/>
      <c r="D46" s="1575"/>
      <c r="E46" s="1576"/>
      <c r="F46" s="1576"/>
      <c r="G46" s="1576"/>
      <c r="H46" s="1576"/>
      <c r="I46" s="1576"/>
      <c r="J46" s="1577"/>
      <c r="K46" s="205">
        <f t="shared" si="205"/>
        <v>0</v>
      </c>
      <c r="L46" s="205">
        <f t="shared" si="0"/>
        <v>0</v>
      </c>
      <c r="M46" s="1578"/>
      <c r="N46" s="1578"/>
      <c r="O46" s="1578"/>
      <c r="P46" s="559" t="str">
        <f t="shared" si="203"/>
        <v/>
      </c>
      <c r="Q46" s="560" t="str">
        <f>IF(H46="","",P46/($P$6*VLOOKUP(C46,'DCA Underwriting Assumptions'!$J$81:$K$86,2,FALSE)))</f>
        <v/>
      </c>
      <c r="R46" s="667"/>
      <c r="S46" s="560"/>
      <c r="T46" s="1517"/>
      <c r="U46" s="1518"/>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79" t="s">
        <v>2466</v>
      </c>
      <c r="C47" s="1580"/>
      <c r="D47" s="1581"/>
      <c r="E47" s="1582"/>
      <c r="F47" s="1582"/>
      <c r="G47" s="1582"/>
      <c r="H47" s="1582"/>
      <c r="I47" s="1582"/>
      <c r="J47" s="1583"/>
      <c r="K47" s="206">
        <f t="shared" si="204"/>
        <v>0</v>
      </c>
      <c r="L47" s="206">
        <f t="shared" si="0"/>
        <v>0</v>
      </c>
      <c r="M47" s="1584"/>
      <c r="N47" s="1584"/>
      <c r="O47" s="1584"/>
      <c r="P47" s="559" t="str">
        <f t="shared" si="203"/>
        <v/>
      </c>
      <c r="Q47" s="560" t="str">
        <f>IF(H47="","",P47/($P$6*VLOOKUP(C47,'DCA Underwriting Assumptions'!$J$81:$K$86,2,FALSE)))</f>
        <v/>
      </c>
      <c r="R47" s="667"/>
      <c r="S47" s="560"/>
      <c r="T47" s="1520"/>
      <c r="U47" s="1521"/>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100</v>
      </c>
      <c r="F48" s="154">
        <f>(E10*F10+E11*F11+E12*F12+E13*F13+E14*F14+E15*F15+E16*F16+E17*F17+E18*F18+E19*F19+E20*F20+E21*F21+E22*F22+E23*F23+E24*F24+E25*F25+E26*F26+E27*F27+E28*F28+E29*F29+E30*F30+E31*F31+E32*F32+E33*F33+E34*F34+E35*F35+E36*F36+E37*F37+E38*F38+E39*F39+E40*F40+E41*F41+E42*F42+E43*F43+E44*F44+E45*F45+E46*F46+E47*F47)</f>
        <v>77360</v>
      </c>
      <c r="G48" s="145"/>
      <c r="H48" s="146"/>
      <c r="I48" s="146"/>
      <c r="J48" s="146"/>
      <c r="K48" s="15" t="s">
        <v>1736</v>
      </c>
      <c r="L48" s="152">
        <f>SUM(L10:L47)</f>
        <v>47693</v>
      </c>
      <c r="M48" s="1"/>
      <c r="N48" s="40"/>
      <c r="O48" s="1"/>
      <c r="P48" s="562"/>
      <c r="Q48" s="562"/>
      <c r="R48" s="562"/>
      <c r="S48" s="562"/>
      <c r="T48" s="561"/>
      <c r="U48" s="563"/>
      <c r="V48" s="638">
        <f t="shared" ref="V48:CK48" si="206">SUM(V10:V47)</f>
        <v>0</v>
      </c>
      <c r="W48" s="638">
        <f t="shared" si="206"/>
        <v>64</v>
      </c>
      <c r="X48" s="638">
        <f t="shared" si="206"/>
        <v>16</v>
      </c>
      <c r="Y48" s="638">
        <f t="shared" si="206"/>
        <v>0</v>
      </c>
      <c r="Z48" s="638">
        <f t="shared" si="206"/>
        <v>0</v>
      </c>
      <c r="AA48" s="638">
        <f t="shared" si="206"/>
        <v>0</v>
      </c>
      <c r="AB48" s="638">
        <f t="shared" si="206"/>
        <v>12</v>
      </c>
      <c r="AC48" s="638">
        <f t="shared" si="206"/>
        <v>3</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4</v>
      </c>
      <c r="AM48" s="638">
        <f t="shared" si="206"/>
        <v>1</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64</v>
      </c>
      <c r="BB48" s="638">
        <f t="shared" si="206"/>
        <v>16</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12</v>
      </c>
      <c r="BL48" s="638">
        <f t="shared" si="207"/>
        <v>3</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46144</v>
      </c>
      <c r="CA48" s="638">
        <f t="shared" si="206"/>
        <v>15744</v>
      </c>
      <c r="CB48" s="638">
        <f t="shared" si="206"/>
        <v>0</v>
      </c>
      <c r="CC48" s="638">
        <f t="shared" si="206"/>
        <v>0</v>
      </c>
      <c r="CD48" s="638">
        <f t="shared" si="206"/>
        <v>0</v>
      </c>
      <c r="CE48" s="638">
        <f t="shared" si="206"/>
        <v>8652</v>
      </c>
      <c r="CF48" s="638">
        <f t="shared" si="206"/>
        <v>2952</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2884</v>
      </c>
      <c r="CP48" s="638">
        <f t="shared" si="208"/>
        <v>984</v>
      </c>
      <c r="CQ48" s="638">
        <f t="shared" si="208"/>
        <v>0</v>
      </c>
      <c r="CR48" s="638">
        <f t="shared" si="208"/>
        <v>0</v>
      </c>
      <c r="CS48" s="638">
        <f t="shared" si="208"/>
        <v>0</v>
      </c>
      <c r="CT48" s="638">
        <f t="shared" si="208"/>
        <v>54796</v>
      </c>
      <c r="CU48" s="638">
        <f t="shared" si="208"/>
        <v>18696</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76</v>
      </c>
      <c r="DE48" s="638">
        <f t="shared" si="208"/>
        <v>19</v>
      </c>
      <c r="DF48" s="638">
        <f t="shared" si="208"/>
        <v>0</v>
      </c>
      <c r="DG48" s="638">
        <f t="shared" si="208"/>
        <v>0</v>
      </c>
      <c r="DH48" s="638">
        <f t="shared" si="208"/>
        <v>0</v>
      </c>
      <c r="DI48" s="638">
        <f t="shared" si="208"/>
        <v>4</v>
      </c>
      <c r="DJ48" s="638">
        <f t="shared" si="208"/>
        <v>1</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80</v>
      </c>
      <c r="EX48" s="638">
        <f t="shared" si="209"/>
        <v>20</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80</v>
      </c>
      <c r="GL48" s="638">
        <f t="shared" si="209"/>
        <v>20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572316</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42" t="s">
        <v>3421</v>
      </c>
      <c r="B51" s="1585"/>
      <c r="C51" s="1585"/>
      <c r="D51" s="1585"/>
      <c r="E51" s="1585"/>
      <c r="F51" s="1585"/>
      <c r="G51" s="1585"/>
      <c r="H51" s="1585"/>
      <c r="I51" s="1585"/>
      <c r="J51" s="1585"/>
      <c r="K51" s="1585"/>
      <c r="L51" s="1585"/>
      <c r="M51" s="1585"/>
      <c r="N51" s="1585"/>
      <c r="O51" s="1585"/>
      <c r="P51" s="1585"/>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85"/>
      <c r="B52" s="1585"/>
      <c r="C52" s="1585"/>
      <c r="D52" s="1585"/>
      <c r="E52" s="1585"/>
      <c r="F52" s="1585"/>
      <c r="G52" s="1585"/>
      <c r="H52" s="1585"/>
      <c r="I52" s="1585"/>
      <c r="J52" s="1585"/>
      <c r="K52" s="1585"/>
      <c r="L52" s="1585"/>
      <c r="M52" s="1585"/>
      <c r="N52" s="1585"/>
      <c r="O52" s="1585"/>
      <c r="P52" s="1585"/>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33" t="str">
        <f>IF(SUM(Q56:Q100)&gt;0,"ERROR Between Rent Schedule &amp; Unit Summary:", "")</f>
        <v>ERROR Between Rent Schedule &amp; Unit Summary:</v>
      </c>
      <c r="R53" s="811"/>
      <c r="S53" s="81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34"/>
      <c r="R54" s="812"/>
      <c r="S54" s="81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34"/>
      <c r="R55" s="812"/>
      <c r="S55" s="812"/>
      <c r="T55" s="893" t="s">
        <v>2550</v>
      </c>
      <c r="U55" s="89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64</v>
      </c>
      <c r="J56" s="343">
        <f>X48</f>
        <v>16</v>
      </c>
      <c r="K56" s="343">
        <f>Y48</f>
        <v>0</v>
      </c>
      <c r="L56" s="343">
        <f>Z48</f>
        <v>0</v>
      </c>
      <c r="M56" s="343">
        <f t="shared" ref="M56:M62" si="211">SUM(H56:L56)</f>
        <v>80</v>
      </c>
      <c r="N56" s="1035" t="s">
        <v>1286</v>
      </c>
      <c r="O56" s="1036"/>
      <c r="P56" s="813"/>
      <c r="Q56" s="538">
        <f t="shared" ref="Q56:Q62" si="212">ABS(M56-AF56)</f>
        <v>80</v>
      </c>
      <c r="R56" s="538"/>
      <c r="S56" s="538"/>
      <c r="T56" s="1515"/>
      <c r="U56" s="1516"/>
      <c r="V56" s="642"/>
      <c r="W56" s="642"/>
      <c r="X56" s="642"/>
      <c r="Y56" s="642"/>
      <c r="Z56" s="643"/>
      <c r="AA56" s="644"/>
      <c r="AB56" s="644"/>
      <c r="AC56" s="644"/>
      <c r="AD56" s="644"/>
      <c r="AE56" s="644"/>
      <c r="AF56" s="644"/>
      <c r="AG56" s="643"/>
      <c r="AH56" s="628"/>
      <c r="GW56" s="640"/>
      <c r="HL56" s="624"/>
    </row>
    <row r="57" spans="1:221" ht="12" customHeight="1">
      <c r="A57" s="1030" t="s">
        <v>567</v>
      </c>
      <c r="B57" s="1030"/>
      <c r="C57" s="5"/>
      <c r="D57" s="1"/>
      <c r="E57" s="1"/>
      <c r="F57" s="1"/>
      <c r="G57" s="44" t="s">
        <v>124</v>
      </c>
      <c r="H57" s="344">
        <f>AA48</f>
        <v>0</v>
      </c>
      <c r="I57" s="344">
        <f>AB48</f>
        <v>12</v>
      </c>
      <c r="J57" s="344">
        <f>AC48</f>
        <v>3</v>
      </c>
      <c r="K57" s="344">
        <f>AD48</f>
        <v>0</v>
      </c>
      <c r="L57" s="344">
        <f>AE48</f>
        <v>0</v>
      </c>
      <c r="M57" s="344">
        <f t="shared" si="211"/>
        <v>15</v>
      </c>
      <c r="N57" s="1035"/>
      <c r="O57" s="1036"/>
      <c r="P57" s="813"/>
      <c r="Q57" s="538">
        <f t="shared" si="212"/>
        <v>15</v>
      </c>
      <c r="R57" s="538"/>
      <c r="S57" s="538"/>
      <c r="T57" s="1517"/>
      <c r="U57" s="1518"/>
      <c r="V57" s="645"/>
      <c r="W57" s="642"/>
      <c r="X57" s="642"/>
      <c r="Y57" s="642"/>
      <c r="Z57" s="643"/>
      <c r="AA57" s="644"/>
      <c r="AB57" s="644"/>
      <c r="AC57" s="644"/>
      <c r="AD57" s="644"/>
      <c r="AE57" s="644"/>
      <c r="AF57" s="644"/>
      <c r="AG57" s="643"/>
      <c r="AH57" s="628"/>
      <c r="GW57" s="640"/>
      <c r="HL57" s="624"/>
    </row>
    <row r="58" spans="1:221" ht="12" customHeight="1">
      <c r="A58" s="1030"/>
      <c r="B58" s="1030"/>
      <c r="C58" s="5"/>
      <c r="D58" s="1"/>
      <c r="E58" s="1"/>
      <c r="F58" s="1"/>
      <c r="G58" s="44" t="s">
        <v>706</v>
      </c>
      <c r="H58" s="345">
        <f>SUM(H56:H57)</f>
        <v>0</v>
      </c>
      <c r="I58" s="345">
        <f>SUM(I56:I57)</f>
        <v>76</v>
      </c>
      <c r="J58" s="345">
        <f>SUM(J56:J57)</f>
        <v>19</v>
      </c>
      <c r="K58" s="345">
        <f>SUM(K56:K57)</f>
        <v>0</v>
      </c>
      <c r="L58" s="345">
        <f>SUM(L56:L57)</f>
        <v>0</v>
      </c>
      <c r="M58" s="345">
        <f t="shared" si="211"/>
        <v>95</v>
      </c>
      <c r="N58" s="348"/>
      <c r="O58" s="99"/>
      <c r="Q58" s="538">
        <f t="shared" si="212"/>
        <v>95</v>
      </c>
      <c r="R58" s="538"/>
      <c r="S58" s="538"/>
      <c r="T58" s="1517"/>
      <c r="U58" s="1518"/>
      <c r="V58" s="645"/>
      <c r="W58" s="642"/>
      <c r="X58" s="642"/>
      <c r="Y58" s="642"/>
      <c r="Z58" s="643"/>
      <c r="AA58" s="644"/>
      <c r="AB58" s="644"/>
      <c r="AC58" s="644"/>
      <c r="AD58" s="644"/>
      <c r="AE58" s="644"/>
      <c r="AF58" s="644"/>
      <c r="AG58" s="643"/>
      <c r="AH58" s="628"/>
      <c r="GW58" s="640"/>
      <c r="HL58" s="624"/>
    </row>
    <row r="59" spans="1:221" ht="12" customHeight="1">
      <c r="A59" s="1030"/>
      <c r="B59" s="1030"/>
      <c r="C59" s="1" t="s">
        <v>333</v>
      </c>
      <c r="D59" s="1"/>
      <c r="E59" s="1"/>
      <c r="F59" s="1"/>
      <c r="G59" s="44"/>
      <c r="H59" s="345">
        <f>AK48</f>
        <v>0</v>
      </c>
      <c r="I59" s="345">
        <f>AL48</f>
        <v>4</v>
      </c>
      <c r="J59" s="345">
        <f>AM48</f>
        <v>1</v>
      </c>
      <c r="K59" s="345">
        <f>AN48</f>
        <v>0</v>
      </c>
      <c r="L59" s="345">
        <f>AO48</f>
        <v>0</v>
      </c>
      <c r="M59" s="345">
        <f t="shared" si="211"/>
        <v>5</v>
      </c>
      <c r="N59" s="64"/>
      <c r="O59" s="99"/>
      <c r="Q59" s="538">
        <f t="shared" si="212"/>
        <v>5</v>
      </c>
      <c r="R59" s="538"/>
      <c r="S59" s="538"/>
      <c r="T59" s="1517"/>
      <c r="U59" s="1518"/>
      <c r="V59" s="628"/>
      <c r="W59" s="642"/>
      <c r="X59" s="642"/>
      <c r="Y59" s="642"/>
      <c r="Z59" s="643"/>
      <c r="AA59" s="644"/>
      <c r="AB59" s="644"/>
      <c r="AC59" s="644"/>
      <c r="AD59" s="644"/>
      <c r="AE59" s="644"/>
      <c r="AF59" s="644"/>
      <c r="AG59" s="623"/>
      <c r="AH59" s="628"/>
      <c r="GW59" s="640"/>
      <c r="HL59" s="624"/>
    </row>
    <row r="60" spans="1:221" ht="12" customHeight="1">
      <c r="A60" s="1030"/>
      <c r="B60" s="1030"/>
      <c r="C60" s="1" t="s">
        <v>1551</v>
      </c>
      <c r="D60" s="1"/>
      <c r="E60" s="1"/>
      <c r="F60" s="1"/>
      <c r="G60" s="44"/>
      <c r="H60" s="345">
        <f>SUM(H58:H59)</f>
        <v>0</v>
      </c>
      <c r="I60" s="345">
        <f>SUM(I58:I59)</f>
        <v>80</v>
      </c>
      <c r="J60" s="345">
        <f>SUM(J58:J59)</f>
        <v>20</v>
      </c>
      <c r="K60" s="345">
        <f>SUM(K58:K59)</f>
        <v>0</v>
      </c>
      <c r="L60" s="345">
        <f>SUM(L58:L59)</f>
        <v>0</v>
      </c>
      <c r="M60" s="345">
        <f t="shared" si="211"/>
        <v>100</v>
      </c>
      <c r="N60" s="64"/>
      <c r="O60" s="99"/>
      <c r="Q60" s="538">
        <f t="shared" si="212"/>
        <v>100</v>
      </c>
      <c r="R60" s="538"/>
      <c r="S60" s="538"/>
      <c r="T60" s="1517"/>
      <c r="U60" s="1518"/>
      <c r="V60" s="642"/>
      <c r="W60" s="642"/>
      <c r="X60" s="642"/>
      <c r="Y60" s="642"/>
      <c r="Z60" s="643"/>
      <c r="AA60" s="644"/>
      <c r="AB60" s="644"/>
      <c r="AC60" s="644"/>
      <c r="AD60" s="644"/>
      <c r="AE60" s="644"/>
      <c r="AF60" s="644"/>
      <c r="AG60" s="623"/>
      <c r="AH60" s="628"/>
      <c r="GW60" s="640"/>
      <c r="HL60" s="624"/>
    </row>
    <row r="61" spans="1:221" ht="12" customHeight="1">
      <c r="A61" s="1030"/>
      <c r="B61" s="1030"/>
      <c r="C61" s="1" t="s">
        <v>3298</v>
      </c>
      <c r="D61" s="1"/>
      <c r="E61" s="1"/>
      <c r="F61" s="1"/>
      <c r="G61" s="44"/>
      <c r="H61" s="345">
        <f>BT48</f>
        <v>0</v>
      </c>
      <c r="I61" s="345">
        <f>BU48</f>
        <v>0</v>
      </c>
      <c r="J61" s="345">
        <f>BV48</f>
        <v>0</v>
      </c>
      <c r="K61" s="345">
        <f>BW48</f>
        <v>0</v>
      </c>
      <c r="L61" s="345">
        <f>BX48</f>
        <v>0</v>
      </c>
      <c r="M61" s="345">
        <f t="shared" si="211"/>
        <v>0</v>
      </c>
      <c r="N61" s="61" t="s">
        <v>2935</v>
      </c>
      <c r="O61" s="99"/>
      <c r="Q61" s="538">
        <f t="shared" si="212"/>
        <v>0</v>
      </c>
      <c r="R61" s="538"/>
      <c r="S61" s="538"/>
      <c r="T61" s="1517"/>
      <c r="U61" s="1518"/>
      <c r="V61" s="642"/>
      <c r="W61" s="642"/>
      <c r="X61" s="642"/>
      <c r="Y61" s="642"/>
      <c r="Z61" s="643"/>
      <c r="AA61" s="644"/>
      <c r="AB61" s="644"/>
      <c r="AC61" s="644"/>
      <c r="AD61" s="644"/>
      <c r="AE61" s="644"/>
      <c r="AF61" s="644"/>
      <c r="AG61" s="643"/>
      <c r="AH61" s="628"/>
      <c r="GW61" s="640"/>
      <c r="HL61" s="624"/>
    </row>
    <row r="62" spans="1:221" ht="12" customHeight="1">
      <c r="A62" s="1030"/>
      <c r="B62" s="1030"/>
      <c r="C62" s="1" t="s">
        <v>706</v>
      </c>
      <c r="D62" s="1"/>
      <c r="E62" s="1"/>
      <c r="F62" s="1"/>
      <c r="G62" s="44"/>
      <c r="H62" s="345">
        <f>SUM(H60:H61)</f>
        <v>0</v>
      </c>
      <c r="I62" s="345">
        <f>SUM(I60:I61)</f>
        <v>80</v>
      </c>
      <c r="J62" s="345">
        <f>SUM(J60:J61)</f>
        <v>20</v>
      </c>
      <c r="K62" s="345">
        <f>SUM(K60:K61)</f>
        <v>0</v>
      </c>
      <c r="L62" s="345">
        <f>SUM(L60:L61)</f>
        <v>0</v>
      </c>
      <c r="M62" s="345">
        <f t="shared" si="211"/>
        <v>100</v>
      </c>
      <c r="O62" s="99"/>
      <c r="Q62" s="538">
        <f t="shared" si="212"/>
        <v>100</v>
      </c>
      <c r="R62" s="538"/>
      <c r="S62" s="538"/>
      <c r="T62" s="1520"/>
      <c r="U62" s="1521"/>
      <c r="V62" s="642"/>
      <c r="W62" s="642"/>
      <c r="X62" s="642"/>
      <c r="Y62" s="642"/>
      <c r="Z62" s="643"/>
      <c r="AA62" s="644"/>
      <c r="AB62" s="644"/>
      <c r="AC62" s="644"/>
      <c r="AD62" s="644"/>
      <c r="AE62" s="644"/>
      <c r="AF62" s="644"/>
      <c r="AG62" s="639"/>
      <c r="AH62" s="628"/>
      <c r="GW62" s="640"/>
      <c r="HL62" s="624"/>
    </row>
    <row r="63" spans="1:221" ht="12" customHeight="1">
      <c r="A63" s="1030"/>
      <c r="B63" s="1030"/>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30"/>
      <c r="B64" s="1030"/>
      <c r="C64" s="1" t="s">
        <v>1330</v>
      </c>
      <c r="D64" s="1"/>
      <c r="E64" s="131"/>
      <c r="F64" s="1"/>
      <c r="G64" s="44" t="s">
        <v>1562</v>
      </c>
      <c r="H64" s="343">
        <f>AZ48</f>
        <v>0</v>
      </c>
      <c r="I64" s="343">
        <f>BA48</f>
        <v>64</v>
      </c>
      <c r="J64" s="343">
        <f>BB48</f>
        <v>16</v>
      </c>
      <c r="K64" s="343">
        <f>BC48</f>
        <v>0</v>
      </c>
      <c r="L64" s="343">
        <f>BD48</f>
        <v>0</v>
      </c>
      <c r="M64" s="343">
        <f>SUM(H64:L64)</f>
        <v>80</v>
      </c>
      <c r="N64" s="61"/>
      <c r="O64" s="99"/>
      <c r="Q64" s="538">
        <f>ABS(M64-AF64)</f>
        <v>80</v>
      </c>
      <c r="R64" s="538"/>
      <c r="S64" s="538"/>
      <c r="T64" s="1515"/>
      <c r="U64" s="1516"/>
      <c r="V64" s="642"/>
      <c r="W64" s="642"/>
      <c r="X64" s="646"/>
      <c r="Y64" s="642"/>
      <c r="Z64" s="643"/>
      <c r="AA64" s="644"/>
      <c r="AB64" s="644"/>
      <c r="AC64" s="644"/>
      <c r="AD64" s="644"/>
      <c r="AE64" s="644"/>
      <c r="AF64" s="644"/>
      <c r="AG64" s="643"/>
      <c r="AH64" s="628"/>
      <c r="GW64" s="640"/>
      <c r="HL64" s="624"/>
    </row>
    <row r="65" spans="1:220" ht="12" customHeight="1">
      <c r="A65" s="1030"/>
      <c r="B65" s="1030"/>
      <c r="C65" s="44" t="s">
        <v>3299</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517"/>
      <c r="U65" s="1518"/>
      <c r="V65" s="643"/>
      <c r="W65" s="642"/>
      <c r="X65" s="646"/>
      <c r="Y65" s="642"/>
      <c r="Z65" s="643"/>
      <c r="AA65" s="644"/>
      <c r="AB65" s="644"/>
      <c r="AC65" s="644"/>
      <c r="AD65" s="644"/>
      <c r="AE65" s="644"/>
      <c r="AF65" s="644"/>
      <c r="AG65" s="643"/>
      <c r="AH65" s="628"/>
      <c r="GW65" s="640"/>
      <c r="HL65" s="624"/>
    </row>
    <row r="66" spans="1:220" ht="12" customHeight="1">
      <c r="A66" s="1030"/>
      <c r="B66" s="1030"/>
      <c r="C66" s="5"/>
      <c r="D66" s="1"/>
      <c r="E66" s="131"/>
      <c r="F66" s="1"/>
      <c r="G66" s="44" t="s">
        <v>706</v>
      </c>
      <c r="H66" s="345">
        <f>SUM(H64:H65)</f>
        <v>0</v>
      </c>
      <c r="I66" s="345">
        <f>SUM(I64:I65)</f>
        <v>64</v>
      </c>
      <c r="J66" s="345">
        <f>SUM(J64:J65)</f>
        <v>16</v>
      </c>
      <c r="K66" s="345">
        <f>SUM(K64:K65)</f>
        <v>0</v>
      </c>
      <c r="L66" s="345">
        <f>SUM(L64:L65)</f>
        <v>0</v>
      </c>
      <c r="M66" s="345">
        <f>SUM(H66:L66)</f>
        <v>80</v>
      </c>
      <c r="N66" s="61"/>
      <c r="O66" s="99"/>
      <c r="Q66" s="538">
        <f>ABS(M66-AF66)</f>
        <v>80</v>
      </c>
      <c r="R66" s="538"/>
      <c r="S66" s="538"/>
      <c r="T66" s="1520"/>
      <c r="U66" s="1521"/>
      <c r="V66" s="645"/>
      <c r="W66" s="642"/>
      <c r="X66" s="646"/>
      <c r="Y66" s="642"/>
      <c r="Z66" s="643"/>
      <c r="AA66" s="644"/>
      <c r="AB66" s="644"/>
      <c r="AC66" s="644"/>
      <c r="AD66" s="644"/>
      <c r="AE66" s="644"/>
      <c r="AF66" s="644"/>
      <c r="AG66" s="643"/>
      <c r="AH66" s="628"/>
      <c r="GW66" s="640"/>
      <c r="HL66" s="624"/>
    </row>
    <row r="67" spans="1:220" ht="12" customHeight="1">
      <c r="A67" s="1030"/>
      <c r="B67" s="1030"/>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30"/>
      <c r="B68" s="1030"/>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515"/>
      <c r="U68" s="1516"/>
      <c r="V68" s="628"/>
      <c r="W68" s="642"/>
      <c r="X68" s="646"/>
      <c r="Y68" s="642"/>
      <c r="Z68" s="643"/>
      <c r="AA68" s="644"/>
      <c r="AB68" s="644"/>
      <c r="AC68" s="644"/>
      <c r="AD68" s="644"/>
      <c r="AE68" s="644"/>
      <c r="AF68" s="644"/>
      <c r="AG68" s="643"/>
      <c r="AH68" s="628"/>
      <c r="GW68" s="640"/>
      <c r="HL68" s="624"/>
    </row>
    <row r="69" spans="1:220" ht="12" customHeight="1">
      <c r="A69" s="1030"/>
      <c r="B69" s="1030"/>
      <c r="C69" s="44" t="s">
        <v>3299</v>
      </c>
      <c r="D69" s="1"/>
      <c r="E69" s="131"/>
      <c r="F69" s="1"/>
      <c r="G69" s="44" t="s">
        <v>124</v>
      </c>
      <c r="H69" s="344">
        <f>BJ48</f>
        <v>0</v>
      </c>
      <c r="I69" s="344">
        <f>BK48</f>
        <v>12</v>
      </c>
      <c r="J69" s="344">
        <f>BL48</f>
        <v>3</v>
      </c>
      <c r="K69" s="344">
        <f>BM48</f>
        <v>0</v>
      </c>
      <c r="L69" s="344">
        <f>BN48</f>
        <v>0</v>
      </c>
      <c r="M69" s="346">
        <f>SUM(H69:L69)</f>
        <v>15</v>
      </c>
      <c r="N69" s="61"/>
      <c r="O69" s="99"/>
      <c r="Q69" s="538">
        <f>ABS(M69-AF69)</f>
        <v>15</v>
      </c>
      <c r="R69" s="538"/>
      <c r="S69" s="538"/>
      <c r="T69" s="1517"/>
      <c r="U69" s="1518"/>
      <c r="V69" s="647"/>
      <c r="W69" s="642"/>
      <c r="X69" s="646"/>
      <c r="Y69" s="642"/>
      <c r="Z69" s="643"/>
      <c r="AA69" s="644"/>
      <c r="AB69" s="644"/>
      <c r="AC69" s="644"/>
      <c r="AD69" s="644"/>
      <c r="AE69" s="644"/>
      <c r="AF69" s="644"/>
      <c r="AG69" s="643"/>
      <c r="AH69" s="628"/>
      <c r="GW69" s="640"/>
      <c r="HL69" s="624"/>
    </row>
    <row r="70" spans="1:220" ht="12" customHeight="1">
      <c r="A70" s="1030"/>
      <c r="B70" s="1030"/>
      <c r="C70" s="5"/>
      <c r="D70" s="1"/>
      <c r="E70" s="131"/>
      <c r="F70" s="1"/>
      <c r="G70" s="44" t="s">
        <v>706</v>
      </c>
      <c r="H70" s="345">
        <f>SUM(H68:H69)</f>
        <v>0</v>
      </c>
      <c r="I70" s="345">
        <f>SUM(I68:I69)</f>
        <v>12</v>
      </c>
      <c r="J70" s="345">
        <f>SUM(J68:J69)</f>
        <v>3</v>
      </c>
      <c r="K70" s="345">
        <f>SUM(K68:K69)</f>
        <v>0</v>
      </c>
      <c r="L70" s="345">
        <f>SUM(L68:L69)</f>
        <v>0</v>
      </c>
      <c r="M70" s="345">
        <f>SUM(H70:L70)</f>
        <v>15</v>
      </c>
      <c r="N70" s="61"/>
      <c r="O70" s="99"/>
      <c r="Q70" s="538">
        <f>ABS(M70-AF70)</f>
        <v>15</v>
      </c>
      <c r="R70" s="538"/>
      <c r="S70" s="538"/>
      <c r="T70" s="1520"/>
      <c r="U70" s="1521"/>
      <c r="V70" s="645"/>
      <c r="W70" s="642"/>
      <c r="X70" s="646"/>
      <c r="Y70" s="642"/>
      <c r="Z70" s="643"/>
      <c r="AA70" s="644"/>
      <c r="AB70" s="644"/>
      <c r="AC70" s="644"/>
      <c r="AD70" s="644"/>
      <c r="AE70" s="644"/>
      <c r="AF70" s="644"/>
      <c r="AG70" s="643"/>
      <c r="AH70" s="628"/>
      <c r="GW70" s="640"/>
      <c r="HL70" s="624"/>
    </row>
    <row r="71" spans="1:220" ht="12" customHeight="1">
      <c r="A71" s="1030"/>
      <c r="B71" s="1030"/>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30"/>
      <c r="B72" s="1030"/>
      <c r="C72" s="1"/>
      <c r="D72" s="1"/>
      <c r="E72" s="124" t="s">
        <v>3024</v>
      </c>
      <c r="F72" s="1"/>
      <c r="G72" s="44" t="s">
        <v>1875</v>
      </c>
      <c r="H72" s="343">
        <f>DC48</f>
        <v>0</v>
      </c>
      <c r="I72" s="343">
        <f>DD48</f>
        <v>76</v>
      </c>
      <c r="J72" s="343">
        <f>DE48</f>
        <v>19</v>
      </c>
      <c r="K72" s="343">
        <f>DF48</f>
        <v>0</v>
      </c>
      <c r="L72" s="343">
        <f>DG48</f>
        <v>0</v>
      </c>
      <c r="M72" s="343">
        <f t="shared" ref="M72:M82" si="213">SUM(H72:L72)</f>
        <v>95</v>
      </c>
      <c r="N72" s="31"/>
      <c r="O72" s="99"/>
      <c r="Q72" s="538">
        <f t="shared" ref="Q72:Q80" si="214">ABS(M72-AF72)</f>
        <v>95</v>
      </c>
      <c r="R72" s="538"/>
      <c r="S72" s="538"/>
      <c r="T72" s="1515"/>
      <c r="U72" s="1516"/>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30"/>
      <c r="B73" s="1030"/>
      <c r="C73" s="1"/>
      <c r="D73" s="1"/>
      <c r="E73" s="131"/>
      <c r="F73" s="1"/>
      <c r="G73" s="44" t="s">
        <v>333</v>
      </c>
      <c r="H73" s="347">
        <f>DH48</f>
        <v>0</v>
      </c>
      <c r="I73" s="347">
        <f>DI48</f>
        <v>4</v>
      </c>
      <c r="J73" s="347">
        <f>DJ48</f>
        <v>1</v>
      </c>
      <c r="K73" s="347">
        <f>DK48</f>
        <v>0</v>
      </c>
      <c r="L73" s="347">
        <f>DL48</f>
        <v>0</v>
      </c>
      <c r="M73" s="347">
        <f t="shared" si="213"/>
        <v>5</v>
      </c>
      <c r="N73" s="64"/>
      <c r="O73" s="99"/>
      <c r="Q73" s="538">
        <f t="shared" si="214"/>
        <v>5</v>
      </c>
      <c r="R73" s="538"/>
      <c r="S73" s="538"/>
      <c r="T73" s="1517"/>
      <c r="U73" s="1518"/>
      <c r="V73" s="642"/>
      <c r="W73" s="642"/>
      <c r="X73" s="646"/>
      <c r="Y73" s="642"/>
      <c r="Z73" s="643"/>
      <c r="AA73" s="644"/>
      <c r="AB73" s="644"/>
      <c r="AC73" s="644"/>
      <c r="AD73" s="644"/>
      <c r="AE73" s="644"/>
      <c r="AF73" s="644"/>
      <c r="AG73" s="623"/>
      <c r="AH73" s="628"/>
      <c r="GW73" s="640"/>
      <c r="HL73" s="624"/>
    </row>
    <row r="74" spans="1:220" ht="12" customHeight="1">
      <c r="A74" s="1030"/>
      <c r="B74" s="1030"/>
      <c r="C74" s="5"/>
      <c r="D74" s="1"/>
      <c r="E74" s="131"/>
      <c r="F74" s="1"/>
      <c r="G74" s="44" t="s">
        <v>33</v>
      </c>
      <c r="H74" s="345">
        <f>SUM(H72:H73)+DM48</f>
        <v>0</v>
      </c>
      <c r="I74" s="345">
        <f>SUM(I72:I73)+DN48</f>
        <v>80</v>
      </c>
      <c r="J74" s="345">
        <f>SUM(J72:J73)+DO48</f>
        <v>20</v>
      </c>
      <c r="K74" s="345">
        <f>SUM(K72:K73)+DP48</f>
        <v>0</v>
      </c>
      <c r="L74" s="345">
        <f>SUM(L72:L73)+DQ48</f>
        <v>0</v>
      </c>
      <c r="M74" s="345">
        <f t="shared" si="213"/>
        <v>100</v>
      </c>
      <c r="N74" s="61"/>
      <c r="O74" s="99"/>
      <c r="Q74" s="538">
        <f t="shared" si="214"/>
        <v>100</v>
      </c>
      <c r="R74" s="538"/>
      <c r="S74" s="538"/>
      <c r="T74" s="1517"/>
      <c r="U74" s="1518"/>
      <c r="V74" s="645"/>
      <c r="W74" s="642"/>
      <c r="X74" s="646"/>
      <c r="Y74" s="642"/>
      <c r="Z74" s="647"/>
      <c r="AA74" s="644"/>
      <c r="AB74" s="644"/>
      <c r="AC74" s="644"/>
      <c r="AD74" s="644"/>
      <c r="AE74" s="644"/>
      <c r="AF74" s="644"/>
      <c r="AG74" s="643"/>
      <c r="AH74" s="628"/>
      <c r="GW74" s="640"/>
      <c r="HL74" s="624"/>
    </row>
    <row r="75" spans="1:220" ht="12" customHeight="1">
      <c r="A75" s="1030"/>
      <c r="B75" s="1030"/>
      <c r="C75" s="1"/>
      <c r="D75" s="1"/>
      <c r="E75" s="124" t="s">
        <v>2853</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517"/>
      <c r="U75" s="1518"/>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517"/>
      <c r="U76" s="1518"/>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517"/>
      <c r="U77" s="1518"/>
      <c r="V77" s="645"/>
      <c r="W77" s="642"/>
      <c r="X77" s="646"/>
      <c r="Y77" s="642"/>
      <c r="Z77" s="647"/>
      <c r="AA77" s="644"/>
      <c r="AB77" s="644"/>
      <c r="AC77" s="644"/>
      <c r="AD77" s="644"/>
      <c r="AE77" s="644"/>
      <c r="AF77" s="644"/>
      <c r="AG77" s="643"/>
      <c r="AH77" s="628"/>
      <c r="GW77" s="640"/>
      <c r="HL77" s="624"/>
    </row>
    <row r="78" spans="1:220" ht="12" customHeight="1">
      <c r="C78" s="1"/>
      <c r="D78" s="1"/>
      <c r="E78" s="1041" t="s">
        <v>1860</v>
      </c>
      <c r="F78" s="1041"/>
      <c r="G78" s="44" t="s">
        <v>1875</v>
      </c>
      <c r="H78" s="343">
        <f>EG48</f>
        <v>0</v>
      </c>
      <c r="I78" s="343">
        <f>EH48</f>
        <v>0</v>
      </c>
      <c r="J78" s="343">
        <f>EI48</f>
        <v>0</v>
      </c>
      <c r="K78" s="343">
        <f>EJ48</f>
        <v>0</v>
      </c>
      <c r="L78" s="343">
        <f>EK48</f>
        <v>0</v>
      </c>
      <c r="M78" s="343">
        <f t="shared" si="213"/>
        <v>0</v>
      </c>
      <c r="N78" s="31"/>
      <c r="O78" s="99"/>
      <c r="Q78" s="538">
        <f t="shared" si="214"/>
        <v>0</v>
      </c>
      <c r="R78" s="538"/>
      <c r="S78" s="538"/>
      <c r="T78" s="1517"/>
      <c r="U78" s="1518"/>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41"/>
      <c r="F79" s="1041"/>
      <c r="G79" s="44" t="s">
        <v>333</v>
      </c>
      <c r="H79" s="347">
        <f>EL48</f>
        <v>0</v>
      </c>
      <c r="I79" s="347">
        <f>EM48</f>
        <v>0</v>
      </c>
      <c r="J79" s="347">
        <f>EN48</f>
        <v>0</v>
      </c>
      <c r="K79" s="347">
        <f>EO48</f>
        <v>0</v>
      </c>
      <c r="L79" s="347">
        <f>EP48</f>
        <v>0</v>
      </c>
      <c r="M79" s="347">
        <f t="shared" si="213"/>
        <v>0</v>
      </c>
      <c r="N79" s="64"/>
      <c r="O79" s="99"/>
      <c r="Q79" s="538">
        <f t="shared" si="214"/>
        <v>0</v>
      </c>
      <c r="R79" s="538"/>
      <c r="S79" s="538"/>
      <c r="T79" s="1517"/>
      <c r="U79" s="1518"/>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517"/>
      <c r="U80" s="1518"/>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86"/>
      <c r="I81" s="1586"/>
      <c r="J81" s="1586"/>
      <c r="K81" s="1586"/>
      <c r="L81" s="1586"/>
      <c r="M81" s="343">
        <f t="shared" si="213"/>
        <v>0</v>
      </c>
      <c r="N81" s="31"/>
      <c r="O81" s="99"/>
      <c r="T81" s="1517"/>
      <c r="U81" s="1518"/>
      <c r="V81" s="642"/>
      <c r="W81" s="642"/>
      <c r="X81" s="642"/>
      <c r="Y81" s="642"/>
      <c r="Z81" s="643"/>
      <c r="AA81" s="644"/>
      <c r="AB81" s="644"/>
      <c r="AC81" s="644"/>
      <c r="AD81" s="644"/>
      <c r="AE81" s="644"/>
      <c r="AF81" s="644"/>
      <c r="AG81" s="623"/>
      <c r="AH81" s="628"/>
      <c r="GW81" s="640"/>
      <c r="HL81" s="624"/>
    </row>
    <row r="82" spans="1:220" ht="12" customHeight="1">
      <c r="A82" s="1029" t="str">
        <f>IF(AND('Part IV-Uses of Funds'!$T$162="Yes",'Part IX A-Scoring Criteria'!$O$240&gt;0,M82&lt;1),"SHOW HISTORIC UNITS HERE &gt;&gt;&gt;&gt;","")</f>
        <v/>
      </c>
      <c r="B82" s="1029"/>
      <c r="C82" s="1029"/>
      <c r="D82" s="1029"/>
      <c r="E82" s="762" t="s">
        <v>400</v>
      </c>
      <c r="F82" s="1"/>
      <c r="G82" s="44"/>
      <c r="H82" s="1587"/>
      <c r="I82" s="1587"/>
      <c r="J82" s="1587"/>
      <c r="K82" s="1587"/>
      <c r="L82" s="1587"/>
      <c r="M82" s="347">
        <f t="shared" si="213"/>
        <v>0</v>
      </c>
      <c r="N82" s="64"/>
      <c r="O82" s="99"/>
      <c r="T82" s="1520"/>
      <c r="U82" s="1521"/>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80</v>
      </c>
      <c r="J84" s="343">
        <f>SUM(J85:J88)</f>
        <v>20</v>
      </c>
      <c r="K84" s="343">
        <f>SUM(K85:K88)</f>
        <v>0</v>
      </c>
      <c r="L84" s="343">
        <f>SUM(L85:L88)</f>
        <v>0</v>
      </c>
      <c r="M84" s="343">
        <f t="shared" ref="M84:M92" si="215">SUM(H84:L84)</f>
        <v>100</v>
      </c>
      <c r="N84" s="31"/>
      <c r="O84" s="99"/>
      <c r="Q84" s="538">
        <f>ABS(M84-AF84)</f>
        <v>100</v>
      </c>
      <c r="R84" s="538"/>
      <c r="S84" s="538"/>
      <c r="T84" s="1515"/>
      <c r="U84" s="1516"/>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0</v>
      </c>
      <c r="J85" s="346">
        <f>FW48</f>
        <v>0</v>
      </c>
      <c r="K85" s="346">
        <f>FX48</f>
        <v>0</v>
      </c>
      <c r="L85" s="346">
        <f>FY48</f>
        <v>0</v>
      </c>
      <c r="M85" s="344">
        <f t="shared" si="215"/>
        <v>0</v>
      </c>
      <c r="N85" s="31"/>
      <c r="O85" s="99"/>
      <c r="Q85" s="538"/>
      <c r="R85" s="538"/>
      <c r="S85" s="538"/>
      <c r="T85" s="1517"/>
      <c r="U85" s="1518"/>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0</v>
      </c>
      <c r="J86" s="346">
        <f>GB48</f>
        <v>0</v>
      </c>
      <c r="K86" s="346">
        <f>GC48</f>
        <v>0</v>
      </c>
      <c r="L86" s="346">
        <f>GD48</f>
        <v>0</v>
      </c>
      <c r="M86" s="344">
        <f t="shared" si="215"/>
        <v>0</v>
      </c>
      <c r="N86" s="31"/>
      <c r="O86" s="99"/>
      <c r="Q86" s="538"/>
      <c r="R86" s="538"/>
      <c r="S86" s="538"/>
      <c r="T86" s="1517"/>
      <c r="U86" s="1518"/>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0</v>
      </c>
      <c r="J87" s="346">
        <f>GG48</f>
        <v>0</v>
      </c>
      <c r="K87" s="346">
        <f>GH48</f>
        <v>0</v>
      </c>
      <c r="L87" s="346">
        <f>GI48</f>
        <v>0</v>
      </c>
      <c r="M87" s="344">
        <f t="shared" si="215"/>
        <v>0</v>
      </c>
      <c r="N87" s="31"/>
      <c r="O87" s="99"/>
      <c r="Q87" s="538"/>
      <c r="R87" s="538"/>
      <c r="S87" s="538"/>
      <c r="T87" s="1517"/>
      <c r="U87" s="1518"/>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80</v>
      </c>
      <c r="J88" s="346">
        <f>GL48</f>
        <v>20</v>
      </c>
      <c r="K88" s="346">
        <f>GM48</f>
        <v>0</v>
      </c>
      <c r="L88" s="346">
        <f>GN48</f>
        <v>0</v>
      </c>
      <c r="M88" s="346">
        <f t="shared" si="215"/>
        <v>100</v>
      </c>
      <c r="N88" s="31"/>
      <c r="O88" s="99"/>
      <c r="Q88" s="538"/>
      <c r="R88" s="538"/>
      <c r="S88" s="538"/>
      <c r="T88" s="1517"/>
      <c r="U88" s="1518"/>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517"/>
      <c r="U89" s="1518"/>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517"/>
      <c r="U90" s="1518"/>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517"/>
      <c r="U91" s="1518"/>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520"/>
      <c r="U92" s="1521"/>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2852</v>
      </c>
      <c r="D94" s="1"/>
      <c r="E94" s="1"/>
      <c r="F94" s="1"/>
      <c r="G94" s="44" t="s">
        <v>1562</v>
      </c>
      <c r="H94" s="201">
        <f>BY48</f>
        <v>0</v>
      </c>
      <c r="I94" s="201">
        <f>BZ48</f>
        <v>46144</v>
      </c>
      <c r="J94" s="201">
        <f>CA48</f>
        <v>15744</v>
      </c>
      <c r="K94" s="201">
        <f>CB48</f>
        <v>0</v>
      </c>
      <c r="L94" s="201">
        <f>CC48</f>
        <v>0</v>
      </c>
      <c r="M94" s="201">
        <f t="shared" ref="M94:M100" si="216">SUM(H94:L94)</f>
        <v>61888</v>
      </c>
      <c r="O94" s="99"/>
      <c r="Q94" s="538">
        <f t="shared" ref="Q94:Q100" si="217">ABS(M94-AF94)</f>
        <v>61888</v>
      </c>
      <c r="R94" s="538"/>
      <c r="S94" s="538"/>
      <c r="T94" s="1515"/>
      <c r="U94" s="1516"/>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8652</v>
      </c>
      <c r="J95" s="203">
        <f>CF48</f>
        <v>2952</v>
      </c>
      <c r="K95" s="203">
        <f>CG48</f>
        <v>0</v>
      </c>
      <c r="L95" s="203">
        <f>CH48</f>
        <v>0</v>
      </c>
      <c r="M95" s="203">
        <f t="shared" si="216"/>
        <v>11604</v>
      </c>
      <c r="N95" s="6"/>
      <c r="O95" s="99"/>
      <c r="Q95" s="538">
        <f t="shared" si="217"/>
        <v>11604</v>
      </c>
      <c r="R95" s="538"/>
      <c r="S95" s="538"/>
      <c r="T95" s="1517"/>
      <c r="U95" s="1518"/>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54796</v>
      </c>
      <c r="J96" s="200">
        <f>SUM(J94:J95)</f>
        <v>18696</v>
      </c>
      <c r="K96" s="200">
        <f>SUM(K94:K95)</f>
        <v>0</v>
      </c>
      <c r="L96" s="200">
        <f>SUM(L94:L95)</f>
        <v>0</v>
      </c>
      <c r="M96" s="200">
        <f t="shared" si="216"/>
        <v>73492</v>
      </c>
      <c r="N96" s="6"/>
      <c r="O96" s="99"/>
      <c r="Q96" s="538">
        <f t="shared" si="217"/>
        <v>73492</v>
      </c>
      <c r="R96" s="538"/>
      <c r="S96" s="538"/>
      <c r="T96" s="1517"/>
      <c r="U96" s="1518"/>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2884</v>
      </c>
      <c r="J97" s="200">
        <f>CP48</f>
        <v>984</v>
      </c>
      <c r="K97" s="200">
        <f>CQ48</f>
        <v>0</v>
      </c>
      <c r="L97" s="200">
        <f>CR48</f>
        <v>0</v>
      </c>
      <c r="M97" s="200">
        <f t="shared" si="216"/>
        <v>3868</v>
      </c>
      <c r="O97" s="99"/>
      <c r="Q97" s="538">
        <f t="shared" si="217"/>
        <v>3868</v>
      </c>
      <c r="R97" s="538"/>
      <c r="S97" s="538"/>
      <c r="T97" s="1517"/>
      <c r="U97" s="1518"/>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57680</v>
      </c>
      <c r="J98" s="200">
        <f>SUM(J96:J97)</f>
        <v>19680</v>
      </c>
      <c r="K98" s="200">
        <f>SUM(K96:K97)</f>
        <v>0</v>
      </c>
      <c r="L98" s="200">
        <f>SUM(L96:L97)</f>
        <v>0</v>
      </c>
      <c r="M98" s="200">
        <f t="shared" si="216"/>
        <v>77360</v>
      </c>
      <c r="O98" s="99"/>
      <c r="Q98" s="538">
        <f t="shared" si="217"/>
        <v>77360</v>
      </c>
      <c r="R98" s="538"/>
      <c r="S98" s="538"/>
      <c r="T98" s="1517"/>
      <c r="U98" s="1518"/>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517"/>
      <c r="U99" s="1518"/>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57680</v>
      </c>
      <c r="J100" s="200">
        <f>SUM(J98:J99)</f>
        <v>19680</v>
      </c>
      <c r="K100" s="200">
        <f>SUM(K98:K99)</f>
        <v>0</v>
      </c>
      <c r="L100" s="200">
        <f>SUM(L98:L99)</f>
        <v>0</v>
      </c>
      <c r="M100" s="200">
        <f t="shared" si="216"/>
        <v>77360</v>
      </c>
      <c r="O100" s="99"/>
      <c r="Q100" s="538">
        <f t="shared" si="217"/>
        <v>77360</v>
      </c>
      <c r="R100" s="538"/>
      <c r="S100" s="538"/>
      <c r="T100" s="1520"/>
      <c r="U100" s="1521"/>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2550</v>
      </c>
      <c r="FY102" s="624"/>
      <c r="GP102" s="635"/>
      <c r="GV102" s="624"/>
      <c r="GW102" s="640"/>
      <c r="HL102" s="624"/>
      <c r="HN102" s="640"/>
    </row>
    <row r="103" spans="1:222" ht="9" customHeight="1">
      <c r="P103" s="539"/>
    </row>
    <row r="104" spans="1:222" ht="12.6" customHeight="1">
      <c r="B104" s="16" t="s">
        <v>1418</v>
      </c>
      <c r="D104" s="131"/>
      <c r="H104" s="1588">
        <f>'Part VII-Pro Forma'!B9*L49</f>
        <v>11446.32</v>
      </c>
      <c r="I104" s="1589"/>
      <c r="K104" s="747" t="s">
        <v>3759</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90">
        <v>55980</v>
      </c>
      <c r="H109" s="1590">
        <v>57100</v>
      </c>
      <c r="I109" s="1590">
        <v>58242</v>
      </c>
      <c r="J109" s="1590">
        <v>59407</v>
      </c>
      <c r="K109" s="1590">
        <v>60595</v>
      </c>
      <c r="L109" s="1590">
        <v>61807</v>
      </c>
      <c r="M109" s="1590">
        <v>63043</v>
      </c>
      <c r="N109" s="1590">
        <v>64304</v>
      </c>
      <c r="O109" s="1590">
        <v>65590</v>
      </c>
      <c r="P109" s="1590">
        <v>66902</v>
      </c>
      <c r="T109" s="1515"/>
      <c r="U109" s="1516"/>
    </row>
    <row r="110" spans="1:222" ht="15" customHeight="1">
      <c r="B110" s="9" t="s">
        <v>1046</v>
      </c>
      <c r="C110" s="1591"/>
      <c r="D110" s="1592"/>
      <c r="E110" s="1592"/>
      <c r="F110" s="1593"/>
      <c r="G110" s="1594"/>
      <c r="H110" s="1594"/>
      <c r="I110" s="1594"/>
      <c r="J110" s="1594"/>
      <c r="K110" s="1595"/>
      <c r="L110" s="1594"/>
      <c r="M110" s="1594"/>
      <c r="N110" s="1594"/>
      <c r="O110" s="1594"/>
      <c r="P110" s="1594"/>
      <c r="T110" s="1517"/>
      <c r="U110" s="1518"/>
    </row>
    <row r="111" spans="1:222" ht="15" customHeight="1">
      <c r="C111" s="107" t="s">
        <v>1324</v>
      </c>
      <c r="G111" s="39">
        <f t="shared" ref="G111:P111" si="218">SUM(G109:G110)</f>
        <v>55980</v>
      </c>
      <c r="H111" s="39">
        <f t="shared" si="218"/>
        <v>57100</v>
      </c>
      <c r="I111" s="39">
        <f t="shared" si="218"/>
        <v>58242</v>
      </c>
      <c r="J111" s="39">
        <f t="shared" si="218"/>
        <v>59407</v>
      </c>
      <c r="K111" s="39">
        <f t="shared" si="218"/>
        <v>60595</v>
      </c>
      <c r="L111" s="39">
        <f t="shared" si="218"/>
        <v>61807</v>
      </c>
      <c r="M111" s="39">
        <f t="shared" si="218"/>
        <v>63043</v>
      </c>
      <c r="N111" s="39">
        <f t="shared" si="218"/>
        <v>64304</v>
      </c>
      <c r="O111" s="39">
        <f t="shared" si="218"/>
        <v>65590</v>
      </c>
      <c r="P111" s="39">
        <f t="shared" si="218"/>
        <v>66902</v>
      </c>
      <c r="T111" s="1520"/>
      <c r="U111" s="1521"/>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90">
        <v>94752</v>
      </c>
      <c r="H114" s="1590">
        <v>97595</v>
      </c>
      <c r="I114" s="1590">
        <v>100523</v>
      </c>
      <c r="J114" s="1590">
        <v>103539</v>
      </c>
      <c r="K114" s="1590">
        <v>106645</v>
      </c>
      <c r="L114" s="1590">
        <v>109844</v>
      </c>
      <c r="M114" s="1590">
        <v>113139</v>
      </c>
      <c r="N114" s="1590">
        <v>116533</v>
      </c>
      <c r="O114" s="1590">
        <v>120029</v>
      </c>
      <c r="P114" s="1590">
        <v>123630</v>
      </c>
      <c r="T114" s="1517"/>
      <c r="U114" s="1518"/>
    </row>
    <row r="115" spans="2:21" ht="15" customHeight="1">
      <c r="B115" s="9" t="s">
        <v>1046</v>
      </c>
      <c r="C115" s="1591"/>
      <c r="D115" s="1592"/>
      <c r="E115" s="1592"/>
      <c r="F115" s="1593"/>
      <c r="G115" s="1594"/>
      <c r="H115" s="1594"/>
      <c r="I115" s="1594"/>
      <c r="J115" s="1594"/>
      <c r="K115" s="1595"/>
      <c r="L115" s="1594"/>
      <c r="M115" s="1594"/>
      <c r="N115" s="1594"/>
      <c r="O115" s="1594"/>
      <c r="P115" s="1594"/>
      <c r="T115" s="1517"/>
      <c r="U115" s="1518"/>
    </row>
    <row r="116" spans="2:21" ht="15" customHeight="1">
      <c r="C116" s="107" t="s">
        <v>210</v>
      </c>
      <c r="G116" s="39">
        <f t="shared" ref="G116:P116" si="219">SUM(G114:G115)</f>
        <v>94752</v>
      </c>
      <c r="H116" s="39">
        <f t="shared" si="219"/>
        <v>97595</v>
      </c>
      <c r="I116" s="39">
        <f t="shared" si="219"/>
        <v>100523</v>
      </c>
      <c r="J116" s="39">
        <f t="shared" si="219"/>
        <v>103539</v>
      </c>
      <c r="K116" s="39">
        <f t="shared" si="219"/>
        <v>106645</v>
      </c>
      <c r="L116" s="39">
        <f t="shared" si="219"/>
        <v>109844</v>
      </c>
      <c r="M116" s="39">
        <f t="shared" si="219"/>
        <v>113139</v>
      </c>
      <c r="N116" s="39">
        <f t="shared" si="219"/>
        <v>116533</v>
      </c>
      <c r="O116" s="39">
        <f t="shared" si="219"/>
        <v>120029</v>
      </c>
      <c r="P116" s="39">
        <f t="shared" si="219"/>
        <v>123630</v>
      </c>
      <c r="T116" s="1520"/>
      <c r="U116" s="1521"/>
    </row>
    <row r="117" spans="2:21" ht="42.6" customHeight="1">
      <c r="B117" s="16"/>
      <c r="G117" s="42"/>
      <c r="P117" s="9"/>
      <c r="T117" s="213" t="s">
        <v>3422</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90">
        <v>68240</v>
      </c>
      <c r="H119" s="1590">
        <v>69605</v>
      </c>
      <c r="I119" s="1590">
        <v>70997</v>
      </c>
      <c r="J119" s="1590">
        <v>72417</v>
      </c>
      <c r="K119" s="1590">
        <v>73865</v>
      </c>
      <c r="L119" s="1590">
        <v>75342</v>
      </c>
      <c r="M119" s="1590">
        <v>76849</v>
      </c>
      <c r="N119" s="1590">
        <v>78386</v>
      </c>
      <c r="O119" s="1590">
        <v>79954</v>
      </c>
      <c r="P119" s="1590">
        <v>81553</v>
      </c>
      <c r="T119" s="1515"/>
      <c r="U119" s="1516"/>
    </row>
    <row r="120" spans="2:21" ht="15" customHeight="1">
      <c r="B120" s="9" t="s">
        <v>1046</v>
      </c>
      <c r="C120" s="1591"/>
      <c r="D120" s="1592"/>
      <c r="E120" s="1592"/>
      <c r="F120" s="1593"/>
      <c r="G120" s="1594"/>
      <c r="H120" s="1594"/>
      <c r="I120" s="1594"/>
      <c r="J120" s="1594"/>
      <c r="K120" s="1595"/>
      <c r="L120" s="1594"/>
      <c r="M120" s="1594"/>
      <c r="N120" s="1594"/>
      <c r="O120" s="1594"/>
      <c r="P120" s="1594"/>
      <c r="T120" s="1517"/>
      <c r="U120" s="1518"/>
    </row>
    <row r="121" spans="2:21" ht="15" customHeight="1">
      <c r="C121" s="107" t="s">
        <v>1324</v>
      </c>
      <c r="G121" s="39">
        <f t="shared" ref="G121:P121" si="220">SUM(G119:G120)</f>
        <v>68240</v>
      </c>
      <c r="H121" s="39">
        <f t="shared" si="220"/>
        <v>69605</v>
      </c>
      <c r="I121" s="39">
        <f t="shared" si="220"/>
        <v>70997</v>
      </c>
      <c r="J121" s="39">
        <f t="shared" si="220"/>
        <v>72417</v>
      </c>
      <c r="K121" s="39">
        <f t="shared" si="220"/>
        <v>73865</v>
      </c>
      <c r="L121" s="39">
        <f t="shared" si="220"/>
        <v>75342</v>
      </c>
      <c r="M121" s="39">
        <f t="shared" si="220"/>
        <v>76849</v>
      </c>
      <c r="N121" s="39">
        <f t="shared" si="220"/>
        <v>78386</v>
      </c>
      <c r="O121" s="39">
        <f t="shared" si="220"/>
        <v>79954</v>
      </c>
      <c r="P121" s="39">
        <f t="shared" si="220"/>
        <v>81553</v>
      </c>
      <c r="T121" s="1520"/>
      <c r="U121" s="1521"/>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90">
        <v>127339</v>
      </c>
      <c r="H124" s="1590">
        <v>131159</v>
      </c>
      <c r="I124" s="1590">
        <v>135094</v>
      </c>
      <c r="J124" s="1590">
        <v>139147</v>
      </c>
      <c r="K124" s="1590">
        <v>143321</v>
      </c>
      <c r="L124" s="1590">
        <v>147621</v>
      </c>
      <c r="M124" s="1590">
        <v>152050</v>
      </c>
      <c r="N124" s="1590">
        <v>156612</v>
      </c>
      <c r="O124" s="1590">
        <v>161310</v>
      </c>
      <c r="P124" s="1590">
        <v>166149</v>
      </c>
      <c r="T124" s="1517"/>
      <c r="U124" s="1518"/>
    </row>
    <row r="125" spans="2:21" ht="15" customHeight="1">
      <c r="B125" s="9" t="s">
        <v>1046</v>
      </c>
      <c r="C125" s="1591"/>
      <c r="D125" s="1592"/>
      <c r="E125" s="1592"/>
      <c r="F125" s="1593"/>
      <c r="G125" s="1594"/>
      <c r="H125" s="1594"/>
      <c r="I125" s="1594"/>
      <c r="J125" s="1594"/>
      <c r="K125" s="1595"/>
      <c r="L125" s="1594"/>
      <c r="M125" s="1594"/>
      <c r="N125" s="1594"/>
      <c r="O125" s="1594"/>
      <c r="P125" s="1594"/>
      <c r="T125" s="1517"/>
      <c r="U125" s="1518"/>
    </row>
    <row r="126" spans="2:21" ht="15" customHeight="1">
      <c r="C126" s="107" t="s">
        <v>210</v>
      </c>
      <c r="G126" s="39">
        <f t="shared" ref="G126:P126" si="221">SUM(G124:G125)</f>
        <v>127339</v>
      </c>
      <c r="H126" s="39">
        <f t="shared" si="221"/>
        <v>131159</v>
      </c>
      <c r="I126" s="39">
        <f t="shared" si="221"/>
        <v>135094</v>
      </c>
      <c r="J126" s="39">
        <f t="shared" si="221"/>
        <v>139147</v>
      </c>
      <c r="K126" s="39">
        <f t="shared" si="221"/>
        <v>143321</v>
      </c>
      <c r="L126" s="39">
        <f t="shared" si="221"/>
        <v>147621</v>
      </c>
      <c r="M126" s="39">
        <f t="shared" si="221"/>
        <v>152050</v>
      </c>
      <c r="N126" s="39">
        <f t="shared" si="221"/>
        <v>156612</v>
      </c>
      <c r="O126" s="39">
        <f t="shared" si="221"/>
        <v>161310</v>
      </c>
      <c r="P126" s="39">
        <f t="shared" si="221"/>
        <v>166149</v>
      </c>
      <c r="T126" s="1520"/>
      <c r="U126" s="1521"/>
    </row>
    <row r="127" spans="2:21" ht="42.6" customHeight="1">
      <c r="B127" s="16"/>
      <c r="G127" s="42"/>
      <c r="P127" s="9"/>
      <c r="T127" s="213" t="s">
        <v>3423</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90">
        <v>83184</v>
      </c>
      <c r="H129" s="1590">
        <v>84848</v>
      </c>
      <c r="I129" s="1590">
        <v>86545</v>
      </c>
      <c r="J129" s="1590">
        <v>88276</v>
      </c>
      <c r="K129" s="1590">
        <v>90042</v>
      </c>
      <c r="L129" s="1590">
        <v>91843</v>
      </c>
      <c r="M129" s="1590">
        <v>93680</v>
      </c>
      <c r="N129" s="1590">
        <v>95554</v>
      </c>
      <c r="O129" s="1590">
        <v>97465</v>
      </c>
      <c r="P129" s="1590">
        <v>99414</v>
      </c>
      <c r="T129" s="1515"/>
      <c r="U129" s="1516"/>
    </row>
    <row r="130" spans="1:255" ht="15" customHeight="1">
      <c r="B130" s="9" t="s">
        <v>1046</v>
      </c>
      <c r="C130" s="1591"/>
      <c r="D130" s="1592"/>
      <c r="E130" s="1592"/>
      <c r="F130" s="1593"/>
      <c r="G130" s="1594"/>
      <c r="H130" s="1594"/>
      <c r="I130" s="1594"/>
      <c r="J130" s="1594"/>
      <c r="K130" s="1595"/>
      <c r="L130" s="1594"/>
      <c r="M130" s="1594"/>
      <c r="N130" s="1594"/>
      <c r="O130" s="1594"/>
      <c r="P130" s="1594"/>
      <c r="T130" s="1517"/>
      <c r="U130" s="1518"/>
    </row>
    <row r="131" spans="1:255" ht="15" customHeight="1">
      <c r="C131" s="107" t="s">
        <v>1324</v>
      </c>
      <c r="G131" s="39">
        <f t="shared" ref="G131:P131" si="222">SUM(G129:G130)</f>
        <v>83184</v>
      </c>
      <c r="H131" s="39">
        <f t="shared" si="222"/>
        <v>84848</v>
      </c>
      <c r="I131" s="39">
        <f t="shared" si="222"/>
        <v>86545</v>
      </c>
      <c r="J131" s="39">
        <f t="shared" si="222"/>
        <v>88276</v>
      </c>
      <c r="K131" s="39">
        <f t="shared" si="222"/>
        <v>90042</v>
      </c>
      <c r="L131" s="39">
        <f t="shared" si="222"/>
        <v>91843</v>
      </c>
      <c r="M131" s="39">
        <f t="shared" si="222"/>
        <v>93680</v>
      </c>
      <c r="N131" s="39">
        <f t="shared" si="222"/>
        <v>95554</v>
      </c>
      <c r="O131" s="39">
        <f t="shared" si="222"/>
        <v>97465</v>
      </c>
      <c r="P131" s="39">
        <f t="shared" si="222"/>
        <v>99414</v>
      </c>
      <c r="T131" s="1520"/>
      <c r="U131" s="1521"/>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90">
        <v>171133</v>
      </c>
      <c r="H134" s="1590">
        <v>176267</v>
      </c>
      <c r="I134" s="1590">
        <v>181555</v>
      </c>
      <c r="J134" s="1590">
        <v>187002</v>
      </c>
      <c r="K134" s="1590">
        <v>192612</v>
      </c>
      <c r="L134" s="1590">
        <v>198390</v>
      </c>
      <c r="M134" s="1590">
        <v>204342</v>
      </c>
      <c r="N134" s="1590">
        <v>210472</v>
      </c>
      <c r="O134" s="1590">
        <v>216786</v>
      </c>
      <c r="P134" s="1590">
        <v>223290</v>
      </c>
      <c r="T134" s="1517"/>
      <c r="U134" s="1518"/>
    </row>
    <row r="135" spans="1:255" ht="15" customHeight="1">
      <c r="B135" s="9" t="s">
        <v>1046</v>
      </c>
      <c r="C135" s="1591"/>
      <c r="D135" s="1592"/>
      <c r="E135" s="1592"/>
      <c r="F135" s="1593"/>
      <c r="G135" s="1594"/>
      <c r="H135" s="1594"/>
      <c r="I135" s="1594"/>
      <c r="J135" s="1594"/>
      <c r="K135" s="1595"/>
      <c r="L135" s="1594"/>
      <c r="M135" s="1594"/>
      <c r="N135" s="1594"/>
      <c r="O135" s="1594"/>
      <c r="P135" s="1594"/>
      <c r="T135" s="1517"/>
      <c r="U135" s="1518"/>
    </row>
    <row r="136" spans="1:255" ht="15" customHeight="1">
      <c r="C136" s="107" t="s">
        <v>210</v>
      </c>
      <c r="G136" s="39">
        <f t="shared" ref="G136:P136" si="223">SUM(G134:G135)</f>
        <v>171133</v>
      </c>
      <c r="H136" s="39">
        <f t="shared" si="223"/>
        <v>176267</v>
      </c>
      <c r="I136" s="39">
        <f t="shared" si="223"/>
        <v>181555</v>
      </c>
      <c r="J136" s="39">
        <f t="shared" si="223"/>
        <v>187002</v>
      </c>
      <c r="K136" s="39">
        <f t="shared" si="223"/>
        <v>192612</v>
      </c>
      <c r="L136" s="39">
        <f t="shared" si="223"/>
        <v>198390</v>
      </c>
      <c r="M136" s="39">
        <f t="shared" si="223"/>
        <v>204342</v>
      </c>
      <c r="N136" s="39">
        <f t="shared" si="223"/>
        <v>210472</v>
      </c>
      <c r="O136" s="39">
        <f t="shared" si="223"/>
        <v>216786</v>
      </c>
      <c r="P136" s="39">
        <f t="shared" si="223"/>
        <v>223290</v>
      </c>
      <c r="T136" s="1520"/>
      <c r="U136" s="1521"/>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21" t="s">
        <v>2550</v>
      </c>
      <c r="U139" s="1021"/>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515"/>
      <c r="U140" s="1516"/>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596">
        <v>60000</v>
      </c>
      <c r="G141" s="1597"/>
      <c r="H141" s="1"/>
      <c r="I141" s="1" t="s">
        <v>1813</v>
      </c>
      <c r="J141" s="1"/>
      <c r="K141" s="1596">
        <v>25000</v>
      </c>
      <c r="L141" s="1597"/>
      <c r="M141" s="1"/>
      <c r="N141" s="1" t="s">
        <v>1325</v>
      </c>
      <c r="O141" s="1"/>
      <c r="P141" s="1598">
        <v>99739</v>
      </c>
      <c r="T141" s="1517"/>
      <c r="U141" s="1518"/>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96">
        <v>50000</v>
      </c>
      <c r="G142" s="1597"/>
      <c r="H142" s="1"/>
      <c r="I142" s="1" t="s">
        <v>1814</v>
      </c>
      <c r="J142" s="1"/>
      <c r="K142" s="1596">
        <v>3000</v>
      </c>
      <c r="L142" s="1597"/>
      <c r="M142" s="1"/>
      <c r="N142" s="1" t="s">
        <v>161</v>
      </c>
      <c r="O142" s="1"/>
      <c r="P142" s="1598">
        <v>22507</v>
      </c>
      <c r="T142" s="1517"/>
      <c r="U142" s="1518"/>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96"/>
      <c r="G143" s="1597"/>
      <c r="H143" s="1"/>
      <c r="I143" s="1"/>
      <c r="J143" s="151" t="s">
        <v>209</v>
      </c>
      <c r="K143" s="1031">
        <f>SUM(K141:L142)</f>
        <v>28000</v>
      </c>
      <c r="L143" s="1032"/>
      <c r="M143" s="1"/>
      <c r="N143" s="1599" t="s">
        <v>4140</v>
      </c>
      <c r="O143" s="1600"/>
      <c r="P143" s="1601">
        <v>10</v>
      </c>
      <c r="T143" s="1517"/>
      <c r="U143" s="1518"/>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602" t="s">
        <v>55</v>
      </c>
      <c r="C144" s="1603"/>
      <c r="D144" s="1603"/>
      <c r="E144" s="1604"/>
      <c r="F144" s="1605"/>
      <c r="G144" s="1606"/>
      <c r="H144" s="1"/>
      <c r="I144" s="1"/>
      <c r="J144" s="1"/>
      <c r="K144" s="1"/>
      <c r="L144" s="1"/>
      <c r="M144" s="1"/>
      <c r="N144" s="13" t="s">
        <v>209</v>
      </c>
      <c r="O144" s="1"/>
      <c r="P144" s="534">
        <f>SUM(P141:P143)</f>
        <v>122256</v>
      </c>
      <c r="T144" s="1517"/>
      <c r="U144" s="1518"/>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31">
        <f>SUM(F141:G144)</f>
        <v>110000</v>
      </c>
      <c r="G145" s="1032"/>
      <c r="H145" s="1"/>
      <c r="I145" s="1"/>
      <c r="J145" s="14"/>
      <c r="K145" s="1"/>
      <c r="L145" s="1"/>
      <c r="M145" s="1"/>
      <c r="N145" s="1"/>
      <c r="O145" s="1"/>
      <c r="P145" s="1"/>
      <c r="T145" s="1517"/>
      <c r="U145" s="1518"/>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517"/>
      <c r="U146" s="1518"/>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35933</v>
      </c>
      <c r="T147" s="1517"/>
      <c r="U147" s="1518"/>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607">
        <v>6000</v>
      </c>
      <c r="G148" s="1608"/>
      <c r="H148" s="1"/>
      <c r="I148" s="1" t="s">
        <v>2067</v>
      </c>
      <c r="J148" s="1"/>
      <c r="K148" s="1609">
        <v>15000</v>
      </c>
      <c r="L148" s="1610"/>
      <c r="M148" s="1"/>
      <c r="N148" s="515">
        <f>+P147/(M62*0.93)</f>
        <v>386.3763440860215</v>
      </c>
      <c r="O148" s="30" t="s">
        <v>3941</v>
      </c>
      <c r="P148" s="1"/>
      <c r="T148" s="1517"/>
      <c r="U148" s="1518"/>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607">
        <v>5000</v>
      </c>
      <c r="G149" s="1608"/>
      <c r="H149" s="1"/>
      <c r="I149" s="1" t="s">
        <v>2764</v>
      </c>
      <c r="J149" s="1"/>
      <c r="K149" s="1611">
        <v>15000</v>
      </c>
      <c r="L149" s="1612"/>
      <c r="M149" s="1"/>
      <c r="N149" s="515">
        <f>+P147/(M62*0.93)/12</f>
        <v>32.198028673835125</v>
      </c>
      <c r="O149" s="30" t="s">
        <v>3944</v>
      </c>
      <c r="P149" s="1"/>
      <c r="T149" s="1517"/>
      <c r="U149" s="1518"/>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607">
        <v>2500</v>
      </c>
      <c r="G150" s="1608"/>
      <c r="H150" s="1"/>
      <c r="I150" s="1" t="s">
        <v>2068</v>
      </c>
      <c r="J150" s="1"/>
      <c r="K150" s="1611">
        <v>5000</v>
      </c>
      <c r="L150" s="1612"/>
      <c r="M150" s="1"/>
      <c r="N150" s="1"/>
      <c r="O150" s="1"/>
      <c r="P150" s="1"/>
      <c r="T150" s="1517"/>
      <c r="U150" s="1518"/>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607">
        <v>5000</v>
      </c>
      <c r="G151" s="1608"/>
      <c r="H151" s="1"/>
      <c r="I151" s="1599" t="s">
        <v>55</v>
      </c>
      <c r="J151" s="1600"/>
      <c r="K151" s="1609"/>
      <c r="L151" s="1610"/>
      <c r="M151" s="1"/>
      <c r="N151" s="1037" t="s">
        <v>3242</v>
      </c>
      <c r="O151" s="1038"/>
      <c r="P151" s="1038"/>
      <c r="T151" s="1517"/>
      <c r="U151" s="1518"/>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607">
        <v>5000</v>
      </c>
      <c r="G152" s="1608"/>
      <c r="H152" s="1"/>
      <c r="I152" s="11"/>
      <c r="J152" s="13" t="s">
        <v>209</v>
      </c>
      <c r="K152" s="1039">
        <f>SUM(K148:K151)</f>
        <v>35000</v>
      </c>
      <c r="L152" s="1040"/>
      <c r="M152" s="1"/>
      <c r="N152" s="1038"/>
      <c r="O152" s="1038"/>
      <c r="P152" s="1038"/>
      <c r="T152" s="1520"/>
      <c r="U152" s="1521"/>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602" t="s">
        <v>55</v>
      </c>
      <c r="C153" s="1603"/>
      <c r="D153" s="1603"/>
      <c r="E153" s="1604"/>
      <c r="F153" s="1613"/>
      <c r="G153" s="1614"/>
      <c r="H153" s="1"/>
      <c r="I153" s="1"/>
      <c r="J153" s="14"/>
      <c r="K153" s="1"/>
      <c r="L153" s="1"/>
      <c r="M153" s="1"/>
      <c r="N153" s="1"/>
      <c r="O153" s="1"/>
      <c r="P153" s="1"/>
      <c r="T153" s="1515"/>
      <c r="U153" s="1516"/>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31">
        <f>SUM(F148:G153)</f>
        <v>23500</v>
      </c>
      <c r="G154" s="1032"/>
      <c r="H154" s="1"/>
      <c r="I154" s="1"/>
      <c r="J154" s="14"/>
      <c r="K154" s="1"/>
      <c r="L154" s="1"/>
      <c r="M154" s="1"/>
      <c r="N154" s="1"/>
      <c r="O154" s="1"/>
      <c r="P154" s="1"/>
      <c r="T154" s="1517"/>
      <c r="U154" s="1518"/>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517"/>
      <c r="U155" s="1518"/>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91" t="s">
        <v>3940</v>
      </c>
      <c r="K156" s="1"/>
      <c r="L156" s="1"/>
      <c r="M156" s="1"/>
      <c r="N156" s="11" t="s">
        <v>2905</v>
      </c>
      <c r="O156" s="6"/>
      <c r="P156" s="6"/>
      <c r="T156" s="1517"/>
      <c r="U156" s="1518"/>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615">
        <v>15000</v>
      </c>
      <c r="G157" s="1616"/>
      <c r="H157" s="1"/>
      <c r="I157" s="1" t="s">
        <v>1803</v>
      </c>
      <c r="J157" s="780">
        <f>K157/12/M62</f>
        <v>25</v>
      </c>
      <c r="K157" s="1611">
        <v>30000</v>
      </c>
      <c r="L157" s="1612"/>
      <c r="M157" s="1"/>
      <c r="N157" s="781">
        <f>+P157/M62</f>
        <v>4936.8900000000003</v>
      </c>
      <c r="O157" s="30" t="s">
        <v>3945</v>
      </c>
      <c r="P157" s="532">
        <f>F145+F154+F165+K143+K152+K162+P144+P147</f>
        <v>493689</v>
      </c>
      <c r="T157" s="1517"/>
      <c r="U157" s="1518"/>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615">
        <v>10000</v>
      </c>
      <c r="G158" s="1616"/>
      <c r="H158" s="1"/>
      <c r="I158" s="1" t="s">
        <v>1804</v>
      </c>
      <c r="J158" s="780">
        <f>K158/12/M62</f>
        <v>0</v>
      </c>
      <c r="K158" s="1611"/>
      <c r="L158" s="1612"/>
      <c r="M158" s="1"/>
      <c r="N158" s="1"/>
      <c r="O158" s="1"/>
      <c r="P158" s="1"/>
      <c r="T158" s="1517"/>
      <c r="U158" s="1518"/>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615">
        <v>12000</v>
      </c>
      <c r="G159" s="1616"/>
      <c r="H159" s="1"/>
      <c r="I159" s="1" t="s">
        <v>3106</v>
      </c>
      <c r="J159" s="780">
        <f>K159/12/M62</f>
        <v>20.833333333333336</v>
      </c>
      <c r="K159" s="1611">
        <v>25000</v>
      </c>
      <c r="L159" s="1612"/>
      <c r="M159" s="1"/>
      <c r="N159" s="1"/>
      <c r="O159" s="1"/>
      <c r="P159" s="1"/>
      <c r="T159" s="1517"/>
      <c r="U159" s="1518"/>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617">
        <v>5000</v>
      </c>
      <c r="G160" s="1618"/>
      <c r="H160" s="1"/>
      <c r="I160" s="1" t="s">
        <v>1806</v>
      </c>
      <c r="J160" s="1"/>
      <c r="K160" s="1611">
        <v>15000</v>
      </c>
      <c r="L160" s="1612"/>
      <c r="M160" s="1"/>
      <c r="N160" s="11" t="s">
        <v>1667</v>
      </c>
      <c r="O160" s="11"/>
      <c r="P160" s="533">
        <f>P161*M62</f>
        <v>25000</v>
      </c>
      <c r="T160" s="1517"/>
      <c r="U160" s="1518"/>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617">
        <v>12000</v>
      </c>
      <c r="G161" s="1618"/>
      <c r="H161" s="1"/>
      <c r="I161" s="1599" t="s">
        <v>55</v>
      </c>
      <c r="J161" s="1600"/>
      <c r="K161" s="1609"/>
      <c r="L161" s="1610"/>
      <c r="M161" s="1"/>
      <c r="N161" s="30" t="s">
        <v>592</v>
      </c>
      <c r="O161" s="1"/>
      <c r="P161" s="1619">
        <v>250</v>
      </c>
      <c r="T161" s="1517"/>
      <c r="U161" s="1518"/>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617">
        <v>5000</v>
      </c>
      <c r="G162" s="1618"/>
      <c r="H162" s="1"/>
      <c r="I162" s="1"/>
      <c r="J162" s="13" t="s">
        <v>209</v>
      </c>
      <c r="K162" s="1039">
        <f>SUM(K157:K161)</f>
        <v>70000</v>
      </c>
      <c r="L162" s="1040"/>
      <c r="M162" s="1"/>
      <c r="N162" s="1"/>
      <c r="O162" s="1"/>
      <c r="T162" s="1517"/>
      <c r="U162" s="1518"/>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617">
        <v>10000</v>
      </c>
      <c r="G163" s="1618"/>
      <c r="H163" s="1"/>
      <c r="I163" s="1"/>
      <c r="J163" s="14"/>
      <c r="K163" s="1"/>
      <c r="L163" s="1"/>
      <c r="M163" s="1"/>
      <c r="N163" s="1"/>
      <c r="O163" s="1"/>
      <c r="T163" s="1517"/>
      <c r="U163" s="1518"/>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602" t="s">
        <v>55</v>
      </c>
      <c r="C164" s="1603"/>
      <c r="D164" s="1603"/>
      <c r="E164" s="1604"/>
      <c r="F164" s="1613"/>
      <c r="G164" s="1614"/>
      <c r="H164" s="1"/>
      <c r="I164" s="1"/>
      <c r="J164" s="14"/>
      <c r="K164" s="1"/>
      <c r="L164" s="1"/>
      <c r="M164" s="1"/>
      <c r="N164" s="11" t="s">
        <v>2906</v>
      </c>
      <c r="O164" s="11"/>
      <c r="P164" s="11"/>
      <c r="T164" s="1517"/>
      <c r="U164" s="1518"/>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43">
        <f>SUM(F157:G164)</f>
        <v>69000</v>
      </c>
      <c r="G165" s="1044"/>
      <c r="H165" s="1"/>
      <c r="I165" s="1"/>
      <c r="J165" s="14"/>
      <c r="K165" s="1"/>
      <c r="L165" s="1"/>
      <c r="M165" s="1"/>
      <c r="N165" s="1"/>
      <c r="O165" s="1"/>
      <c r="P165" s="532">
        <f>P157+P160</f>
        <v>518689</v>
      </c>
      <c r="T165" s="1520"/>
      <c r="U165" s="1521"/>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2550</v>
      </c>
    </row>
    <row r="168" spans="1:255" ht="145.5" customHeight="1">
      <c r="A168" s="1620" t="s">
        <v>4129</v>
      </c>
      <c r="B168" s="1621"/>
      <c r="C168" s="1621"/>
      <c r="D168" s="1621"/>
      <c r="E168" s="1621"/>
      <c r="F168" s="1621"/>
      <c r="G168" s="1621"/>
      <c r="H168" s="1621"/>
      <c r="I168" s="1621"/>
      <c r="J168" s="1622"/>
      <c r="K168" s="1394"/>
      <c r="L168" s="1395"/>
      <c r="M168" s="1395"/>
      <c r="N168" s="1395"/>
      <c r="O168" s="1395"/>
      <c r="P168" s="1396"/>
      <c r="T168" s="891" t="s">
        <v>3595</v>
      </c>
      <c r="U168" s="89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BP4:BP9"/>
    <mergeCell ref="BQ4:BQ9"/>
    <mergeCell ref="BW4:BW9"/>
    <mergeCell ref="BN4:BN9"/>
    <mergeCell ref="BO4:BO9"/>
    <mergeCell ref="BF4:BF9"/>
    <mergeCell ref="BG4:BG9"/>
    <mergeCell ref="T134:U136"/>
    <mergeCell ref="BL4:BL9"/>
    <mergeCell ref="BM4:BM9"/>
    <mergeCell ref="BH4:BH9"/>
    <mergeCell ref="BI4:BI9"/>
    <mergeCell ref="AW4:AW9"/>
    <mergeCell ref="AY4:AY9"/>
    <mergeCell ref="AS4:AS9"/>
    <mergeCell ref="AP4:AP9"/>
    <mergeCell ref="AQ4:AQ9"/>
    <mergeCell ref="BK4:BK9"/>
    <mergeCell ref="T72:U82"/>
    <mergeCell ref="BJ4:BJ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B153:E153"/>
    <mergeCell ref="K168:P168"/>
    <mergeCell ref="A168:J168"/>
    <mergeCell ref="B164:E164"/>
    <mergeCell ref="F165:G165"/>
    <mergeCell ref="K162:L162"/>
    <mergeCell ref="K157:L157"/>
    <mergeCell ref="K161:L161"/>
    <mergeCell ref="K160:L160"/>
    <mergeCell ref="K159:L159"/>
    <mergeCell ref="K158:L158"/>
    <mergeCell ref="I161:J161"/>
    <mergeCell ref="F154:G154"/>
    <mergeCell ref="F153:G153"/>
    <mergeCell ref="F162:G162"/>
    <mergeCell ref="F164:G164"/>
    <mergeCell ref="F163:G163"/>
    <mergeCell ref="F161:G161"/>
    <mergeCell ref="F157:G157"/>
    <mergeCell ref="F158:G158"/>
    <mergeCell ref="F159:G159"/>
    <mergeCell ref="F160:G160"/>
    <mergeCell ref="K141:L141"/>
    <mergeCell ref="F141:G141"/>
    <mergeCell ref="F144:G144"/>
    <mergeCell ref="I151:J151"/>
    <mergeCell ref="K148:L148"/>
    <mergeCell ref="F145:G145"/>
    <mergeCell ref="K150:L150"/>
    <mergeCell ref="K149:L149"/>
    <mergeCell ref="K151:L151"/>
    <mergeCell ref="F151:G151"/>
    <mergeCell ref="F148:G148"/>
    <mergeCell ref="F150:G150"/>
    <mergeCell ref="F149:G149"/>
    <mergeCell ref="N151:P152"/>
    <mergeCell ref="AX4:AX9"/>
    <mergeCell ref="T129:U131"/>
    <mergeCell ref="K152:L152"/>
    <mergeCell ref="F152:G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H104:I104"/>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HB4:HB9"/>
    <mergeCell ref="HC4:HC9"/>
    <mergeCell ref="GN8:GN9"/>
    <mergeCell ref="HA4:HA9"/>
    <mergeCell ref="C135:F135"/>
    <mergeCell ref="A1:P1"/>
    <mergeCell ref="K8:L8"/>
    <mergeCell ref="A7:A9"/>
    <mergeCell ref="V4:V9"/>
    <mergeCell ref="N6:O6"/>
    <mergeCell ref="P8:Q8"/>
    <mergeCell ref="AK4:AK9"/>
    <mergeCell ref="AM4:AM9"/>
    <mergeCell ref="X4:X9"/>
    <mergeCell ref="Y4:Y9"/>
    <mergeCell ref="Z4:Z9"/>
    <mergeCell ref="AC4:AC9"/>
    <mergeCell ref="AD4:AD9"/>
    <mergeCell ref="AE4:AE9"/>
    <mergeCell ref="AF4:AF9"/>
    <mergeCell ref="R6:S6"/>
    <mergeCell ref="AB4:AB9"/>
    <mergeCell ref="AG4:AG9"/>
    <mergeCell ref="A82:D82"/>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EG4:EG9"/>
    <mergeCell ref="DC4:DC9"/>
    <mergeCell ref="DL4:DL9"/>
    <mergeCell ref="EH4:EH9"/>
    <mergeCell ref="DF4:DF9"/>
    <mergeCell ref="EE4:EE9"/>
    <mergeCell ref="DZ4:DZ9"/>
    <mergeCell ref="EC4:EC9"/>
    <mergeCell ref="EJ4:EJ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CZ4:CZ9"/>
    <mergeCell ref="EP4:EP9"/>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s>
  <phoneticPr fontId="6" type="noConversion"/>
  <conditionalFormatting sqref="H10">
    <cfRule type="expression" priority="3" stopIfTrue="1">
      <formula>AND($B10="PHA", $H10&gt;0)</formula>
    </cfRule>
  </conditionalFormatting>
  <conditionalFormatting sqref="Q83:S100 Q56:S80">
    <cfRule type="cellIs" dxfId="5" priority="4" stopIfTrue="1" operator="greaterThan">
      <formula>0</formula>
    </cfRule>
  </conditionalFormatting>
  <conditionalFormatting sqref="O104">
    <cfRule type="cellIs" dxfId="4"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47" t="str">
        <f>CONCATENATE("PART SEVEN - OPERATING PRO FORMA","  -  ",'Part I-Project Information'!$O$4," ",'Part I-Project Information'!$F$23,", ",'Part I-Project Information'!F26,", ",'Part I-Project Information'!J27," County")</f>
        <v>PART SEVEN - OPERATING PRO FORMA  -  2013-019 BTW-Chapman Phase I, Columbus, Muscogee County</v>
      </c>
      <c r="B1" s="1623"/>
      <c r="C1" s="1623"/>
      <c r="D1" s="1623"/>
      <c r="E1" s="1623"/>
      <c r="F1" s="1623"/>
      <c r="G1" s="1623"/>
      <c r="H1" s="1623"/>
      <c r="I1" s="1623"/>
      <c r="J1" s="1623"/>
      <c r="K1" s="1624"/>
      <c r="L1" s="11"/>
      <c r="M1" s="1045" t="str">
        <f>A1</f>
        <v>PART SEVEN - OPERATING PRO FORMA  -  2013-019 BTW-Chapman Phase I, Columbus, Muscogee County</v>
      </c>
      <c r="N1" s="1045"/>
      <c r="O1" s="11"/>
    </row>
    <row r="2" spans="1:15" ht="13.5" customHeight="1">
      <c r="A2" s="751"/>
      <c r="B2" s="751"/>
      <c r="C2" s="751"/>
      <c r="D2" s="751"/>
      <c r="E2" s="751"/>
      <c r="F2" s="751"/>
      <c r="G2" s="751"/>
      <c r="H2" s="751"/>
      <c r="I2" s="751"/>
      <c r="J2" s="751"/>
      <c r="K2" s="751"/>
      <c r="M2" s="1046" t="s">
        <v>2550</v>
      </c>
      <c r="N2" s="1046"/>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1625">
        <v>-7500</v>
      </c>
      <c r="H5" s="117" t="s">
        <v>2617</v>
      </c>
      <c r="K5" s="122">
        <f>IF(($B$14+$B$15+$B$16+$B$17)=0,"",-B28/($B$14+$B$15+$B$16+$B$17))</f>
        <v>1.2523398768352385E-2</v>
      </c>
      <c r="M5" s="1515"/>
      <c r="N5" s="1516"/>
    </row>
    <row r="6" spans="1:15">
      <c r="A6" s="19" t="s">
        <v>2908</v>
      </c>
      <c r="B6" s="94">
        <v>0.03</v>
      </c>
      <c r="C6" s="19"/>
      <c r="D6" s="19"/>
      <c r="E6" s="19"/>
      <c r="F6" s="19"/>
      <c r="G6" s="19"/>
      <c r="H6" s="19"/>
      <c r="I6" s="19"/>
      <c r="J6" s="19"/>
      <c r="K6" s="19"/>
      <c r="M6" s="1517"/>
      <c r="N6" s="1518"/>
    </row>
    <row r="7" spans="1:15">
      <c r="A7" s="19" t="s">
        <v>2910</v>
      </c>
      <c r="B7" s="94">
        <v>0.03</v>
      </c>
      <c r="C7" s="19"/>
      <c r="D7" s="96" t="s">
        <v>298</v>
      </c>
      <c r="G7" s="98"/>
      <c r="H7" s="117" t="s">
        <v>3131</v>
      </c>
      <c r="K7" s="122">
        <f>IF(($B$14+$B$15+$B$16+$B$17)=0,"",-B20/($B$14+$B$15+$B$16+$B$17))</f>
        <v>6.0000438392427503E-2</v>
      </c>
      <c r="M7" s="1517"/>
      <c r="N7" s="1518"/>
    </row>
    <row r="8" spans="1:15" ht="13.15" customHeight="1">
      <c r="A8" s="19" t="s">
        <v>2909</v>
      </c>
      <c r="B8" s="1626">
        <v>7.0000000000000007E-2</v>
      </c>
      <c r="C8" s="19"/>
      <c r="D8" s="95" t="s">
        <v>3292</v>
      </c>
      <c r="G8" s="1627"/>
      <c r="H8" s="209" t="s">
        <v>1889</v>
      </c>
      <c r="K8" s="1628"/>
      <c r="M8" s="1517"/>
      <c r="N8" s="1518"/>
    </row>
    <row r="9" spans="1:15">
      <c r="A9" s="19" t="s">
        <v>1858</v>
      </c>
      <c r="B9" s="94">
        <v>0.02</v>
      </c>
      <c r="D9" s="95" t="s">
        <v>2410</v>
      </c>
      <c r="G9" s="1627" t="s">
        <v>4064</v>
      </c>
      <c r="H9" s="209" t="s">
        <v>3111</v>
      </c>
      <c r="K9" s="1629">
        <v>0.06</v>
      </c>
      <c r="M9" s="1520"/>
      <c r="N9" s="1521"/>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93" t="s">
        <v>3424</v>
      </c>
      <c r="N13" s="893"/>
    </row>
    <row r="14" spans="1:15" ht="13.15" customHeight="1">
      <c r="A14" s="21" t="s">
        <v>3167</v>
      </c>
      <c r="B14" s="22">
        <f>'Part VI-Revenues &amp; Expenses'!L49</f>
        <v>572316</v>
      </c>
      <c r="C14" s="22">
        <f t="shared" ref="C14:K14" si="1">$B$14*(1+$B$5)^(C13-1)</f>
        <v>583762.32000000007</v>
      </c>
      <c r="D14" s="22">
        <f t="shared" si="1"/>
        <v>595437.56640000001</v>
      </c>
      <c r="E14" s="22">
        <f t="shared" si="1"/>
        <v>607346.31772799999</v>
      </c>
      <c r="F14" s="22">
        <f t="shared" si="1"/>
        <v>619493.24408255995</v>
      </c>
      <c r="G14" s="22">
        <f t="shared" si="1"/>
        <v>631883.10896421119</v>
      </c>
      <c r="H14" s="22">
        <f t="shared" si="1"/>
        <v>644520.77114349545</v>
      </c>
      <c r="I14" s="22">
        <f t="shared" si="1"/>
        <v>657411.18656636518</v>
      </c>
      <c r="J14" s="22">
        <f t="shared" si="1"/>
        <v>670559.41029769264</v>
      </c>
      <c r="K14" s="23">
        <f t="shared" si="1"/>
        <v>683970.59850364644</v>
      </c>
      <c r="M14" s="1515"/>
      <c r="N14" s="1516"/>
    </row>
    <row r="15" spans="1:15" ht="13.15" customHeight="1">
      <c r="A15" s="24" t="s">
        <v>1418</v>
      </c>
      <c r="B15" s="25">
        <f>MIN(B14*B9,'Part VI-Revenues &amp; Expenses'!H104)</f>
        <v>11446.32</v>
      </c>
      <c r="C15" s="25">
        <f t="shared" ref="C15:K15" si="2">$B$15*(1+$B$5)^(C13-1)</f>
        <v>11675.2464</v>
      </c>
      <c r="D15" s="25">
        <f t="shared" si="2"/>
        <v>11908.751328</v>
      </c>
      <c r="E15" s="25">
        <f t="shared" si="2"/>
        <v>12146.926354559999</v>
      </c>
      <c r="F15" s="25">
        <f t="shared" si="2"/>
        <v>12389.8648816512</v>
      </c>
      <c r="G15" s="25">
        <f t="shared" si="2"/>
        <v>12637.662179284223</v>
      </c>
      <c r="H15" s="25">
        <f t="shared" si="2"/>
        <v>12890.415422869908</v>
      </c>
      <c r="I15" s="25">
        <f t="shared" si="2"/>
        <v>13148.223731327304</v>
      </c>
      <c r="J15" s="25">
        <f t="shared" si="2"/>
        <v>13411.188205953851</v>
      </c>
      <c r="K15" s="26">
        <f t="shared" si="2"/>
        <v>13679.411970072928</v>
      </c>
      <c r="M15" s="1517"/>
      <c r="N15" s="1518"/>
    </row>
    <row r="16" spans="1:15" ht="13.15" customHeight="1">
      <c r="A16" s="24" t="s">
        <v>3168</v>
      </c>
      <c r="B16" s="25">
        <f t="shared" ref="B16:K16" si="3">-(B14+B15)*$B$8</f>
        <v>-40863.362399999998</v>
      </c>
      <c r="C16" s="25">
        <f t="shared" si="3"/>
        <v>-41680.629648000002</v>
      </c>
      <c r="D16" s="25">
        <f t="shared" si="3"/>
        <v>-42514.242240960004</v>
      </c>
      <c r="E16" s="25">
        <f t="shared" si="3"/>
        <v>-43364.527085779198</v>
      </c>
      <c r="F16" s="25">
        <f t="shared" si="3"/>
        <v>-44231.817627494791</v>
      </c>
      <c r="G16" s="25">
        <f t="shared" si="3"/>
        <v>-45116.453980044687</v>
      </c>
      <c r="H16" s="25">
        <f t="shared" si="3"/>
        <v>-46018.783059645582</v>
      </c>
      <c r="I16" s="25">
        <f t="shared" si="3"/>
        <v>-46939.158720838481</v>
      </c>
      <c r="J16" s="25">
        <f t="shared" si="3"/>
        <v>-47877.941895255259</v>
      </c>
      <c r="K16" s="26">
        <f t="shared" si="3"/>
        <v>-48835.500733160356</v>
      </c>
      <c r="M16" s="1517"/>
      <c r="N16" s="1518"/>
    </row>
    <row r="17" spans="1:14" ht="13.15" customHeight="1">
      <c r="A17" s="24" t="s">
        <v>56</v>
      </c>
      <c r="B17" s="25">
        <f>+'Part VI-Revenues &amp; Expenses'!G111</f>
        <v>55980</v>
      </c>
      <c r="C17" s="25">
        <f>+'Part VI-Revenues &amp; Expenses'!H111</f>
        <v>57100</v>
      </c>
      <c r="D17" s="25">
        <f>+'Part VI-Revenues &amp; Expenses'!I111</f>
        <v>58242</v>
      </c>
      <c r="E17" s="25">
        <f>+'Part VI-Revenues &amp; Expenses'!J111</f>
        <v>59407</v>
      </c>
      <c r="F17" s="25">
        <f>+'Part VI-Revenues &amp; Expenses'!K111</f>
        <v>60595</v>
      </c>
      <c r="G17" s="25">
        <f>+'Part VI-Revenues &amp; Expenses'!L111</f>
        <v>61807</v>
      </c>
      <c r="H17" s="25">
        <f>+'Part VI-Revenues &amp; Expenses'!M111</f>
        <v>63043</v>
      </c>
      <c r="I17" s="25">
        <f>+'Part VI-Revenues &amp; Expenses'!N111</f>
        <v>64304</v>
      </c>
      <c r="J17" s="25">
        <f>+'Part VI-Revenues &amp; Expenses'!O111</f>
        <v>65590</v>
      </c>
      <c r="K17" s="26">
        <f>+'Part VI-Revenues &amp; Expenses'!P111</f>
        <v>66902</v>
      </c>
      <c r="M17" s="1517"/>
      <c r="N17" s="1518"/>
    </row>
    <row r="18" spans="1:14" ht="13.15" customHeight="1">
      <c r="A18" s="24" t="s">
        <v>57</v>
      </c>
      <c r="B18" s="25">
        <f>'Part VI-Revenues &amp; Expenses'!G116</f>
        <v>94752</v>
      </c>
      <c r="C18" s="25">
        <f>'Part VI-Revenues &amp; Expenses'!H116</f>
        <v>97595</v>
      </c>
      <c r="D18" s="25">
        <f>'Part VI-Revenues &amp; Expenses'!I116</f>
        <v>100523</v>
      </c>
      <c r="E18" s="25">
        <f>'Part VI-Revenues &amp; Expenses'!J116</f>
        <v>103539</v>
      </c>
      <c r="F18" s="25">
        <f>'Part VI-Revenues &amp; Expenses'!K116</f>
        <v>106645</v>
      </c>
      <c r="G18" s="25">
        <f>'Part VI-Revenues &amp; Expenses'!L116</f>
        <v>109844</v>
      </c>
      <c r="H18" s="25">
        <f>'Part VI-Revenues &amp; Expenses'!M116</f>
        <v>113139</v>
      </c>
      <c r="I18" s="25">
        <f>'Part VI-Revenues &amp; Expenses'!N116</f>
        <v>116533</v>
      </c>
      <c r="J18" s="25">
        <f>'Part VI-Revenues &amp; Expenses'!O116</f>
        <v>120029</v>
      </c>
      <c r="K18" s="26">
        <f>'Part VI-Revenues &amp; Expenses'!P116</f>
        <v>123630</v>
      </c>
      <c r="M18" s="1517"/>
      <c r="N18" s="1518"/>
    </row>
    <row r="19" spans="1:14" ht="13.15" customHeight="1">
      <c r="A19" s="24" t="s">
        <v>794</v>
      </c>
      <c r="B19" s="25">
        <f>-('Part VI-Revenues &amp; Expenses'!P157-'Part VI-Revenues &amp; Expenses'!P147)</f>
        <v>-457756</v>
      </c>
      <c r="C19" s="25">
        <f t="shared" ref="C19:K19" si="4">$B$19*(1+$B$6)^(C13-1)</f>
        <v>-471488.68</v>
      </c>
      <c r="D19" s="25">
        <f t="shared" si="4"/>
        <v>-485633.34039999999</v>
      </c>
      <c r="E19" s="25">
        <f t="shared" si="4"/>
        <v>-500202.34061200003</v>
      </c>
      <c r="F19" s="25">
        <f t="shared" si="4"/>
        <v>-515208.41083035996</v>
      </c>
      <c r="G19" s="25">
        <f t="shared" si="4"/>
        <v>-530664.66315527074</v>
      </c>
      <c r="H19" s="25">
        <f t="shared" si="4"/>
        <v>-546584.6030499289</v>
      </c>
      <c r="I19" s="25">
        <f t="shared" si="4"/>
        <v>-562982.14114142675</v>
      </c>
      <c r="J19" s="25">
        <f t="shared" si="4"/>
        <v>-579871.60537566955</v>
      </c>
      <c r="K19" s="26">
        <f t="shared" si="4"/>
        <v>-597267.75353693962</v>
      </c>
      <c r="M19" s="1517"/>
      <c r="N19" s="1518"/>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-35933</v>
      </c>
      <c r="C20" s="25">
        <f>IF(AND('Part VII-Pro Forma'!$G$8="Yes",'Part VII-Pro Forma'!$G$9="Yes"),"Choose One!",IF('Part VII-Pro Forma'!$G$8="Yes",ROUND((-$K$8*(1+'Part VII-Pro Forma'!$B$6)^('Part VII-Pro Forma'!C13-1)),),IF('Part VII-Pro Forma'!$G$9="Yes",ROUND((-(SUM(C14:C17)*'Part VII-Pro Forma'!$K$9)),),"Choose mgt fee")))</f>
        <v>-36651</v>
      </c>
      <c r="D20" s="25">
        <f>IF(AND('Part VII-Pro Forma'!$G$8="Yes",'Part VII-Pro Forma'!$G$9="Yes"),"Choose One!",IF('Part VII-Pro Forma'!$G$8="Yes",ROUND((-$K$8*(1+'Part VII-Pro Forma'!$B$6)^('Part VII-Pro Forma'!D13-1)),),IF('Part VII-Pro Forma'!$G$9="Yes",ROUND((-(SUM(D14:D17)*'Part VII-Pro Forma'!$K$9)),),"Choose mgt fee")))</f>
        <v>-37384</v>
      </c>
      <c r="E20" s="25">
        <f>IF(AND('Part VII-Pro Forma'!$G$8="Yes",'Part VII-Pro Forma'!$G$9="Yes"),"Choose One!",IF('Part VII-Pro Forma'!$G$8="Yes",ROUND((-$K$8*(1+'Part VII-Pro Forma'!$B$6)^('Part VII-Pro Forma'!E13-1)),),IF('Part VII-Pro Forma'!$G$9="Yes",ROUND((-(SUM(E14:E17)*'Part VII-Pro Forma'!$K$9)),),"Choose mgt fee")))</f>
        <v>-38132</v>
      </c>
      <c r="F20" s="25">
        <f>IF(AND('Part VII-Pro Forma'!$G$8="Yes",'Part VII-Pro Forma'!$G$9="Yes"),"Choose One!",IF('Part VII-Pro Forma'!$G$8="Yes",ROUND((-$K$8*(1+'Part VII-Pro Forma'!$B$6)^('Part VII-Pro Forma'!F13-1)),),IF('Part VII-Pro Forma'!$G$9="Yes",ROUND((-(SUM(F14:F17)*'Part VII-Pro Forma'!$K$9)),),"Choose mgt fee")))</f>
        <v>-38895</v>
      </c>
      <c r="G20" s="25">
        <f>IF(AND('Part VII-Pro Forma'!$G$8="Yes",'Part VII-Pro Forma'!$G$9="Yes"),"Choose One!",IF('Part VII-Pro Forma'!$G$8="Yes",ROUND((-$K$8*(1+'Part VII-Pro Forma'!$B$6)^('Part VII-Pro Forma'!G13-1)),),IF('Part VII-Pro Forma'!$G$9="Yes",ROUND((-(SUM(G14:G17)*'Part VII-Pro Forma'!$K$9)),),"Choose mgt fee")))</f>
        <v>-39673</v>
      </c>
      <c r="H20" s="25">
        <f>IF(AND('Part VII-Pro Forma'!$G$8="Yes",'Part VII-Pro Forma'!$G$9="Yes"),"Choose One!",IF('Part VII-Pro Forma'!$G$8="Yes",ROUND((-$K$8*(1+'Part VII-Pro Forma'!$B$6)^('Part VII-Pro Forma'!H13-1)),),IF('Part VII-Pro Forma'!$G$9="Yes",ROUND((-(SUM(H14:H17)*'Part VII-Pro Forma'!$K$9)),),"Choose mgt fee")))</f>
        <v>-40466</v>
      </c>
      <c r="I20" s="25">
        <f>IF(AND('Part VII-Pro Forma'!$G$8="Yes",'Part VII-Pro Forma'!$G$9="Yes"),"Choose One!",IF('Part VII-Pro Forma'!$G$8="Yes",ROUND((-$K$8*(1+'Part VII-Pro Forma'!$B$6)^('Part VII-Pro Forma'!I13-1)),),IF('Part VII-Pro Forma'!$G$9="Yes",ROUND((-(SUM(I14:I17)*'Part VII-Pro Forma'!$K$9)),),"Choose mgt fee")))</f>
        <v>-41275</v>
      </c>
      <c r="J20" s="25">
        <f>IF(AND('Part VII-Pro Forma'!$G$8="Yes",'Part VII-Pro Forma'!$G$9="Yes"),"Choose One!",IF('Part VII-Pro Forma'!$G$8="Yes",ROUND((-$K$8*(1+'Part VII-Pro Forma'!$B$6)^('Part VII-Pro Forma'!J13-1)),),IF('Part VII-Pro Forma'!$G$9="Yes",ROUND((-(SUM(J14:J17)*'Part VII-Pro Forma'!$K$9)),),"Choose mgt fee")))</f>
        <v>-42101</v>
      </c>
      <c r="K20" s="25">
        <f>IF(AND('Part VII-Pro Forma'!$G$8="Yes",'Part VII-Pro Forma'!$G$9="Yes"),"Choose One!",IF('Part VII-Pro Forma'!$G$8="Yes",ROUND((-$K$8*(1+'Part VII-Pro Forma'!$B$6)^('Part VII-Pro Forma'!K13-1)),),IF('Part VII-Pro Forma'!$G$9="Yes",ROUND((-(SUM(K14:K17)*'Part VII-Pro Forma'!$K$9)),),"Choose mgt fee")))</f>
        <v>-42943</v>
      </c>
      <c r="M20" s="1517"/>
      <c r="N20" s="1518"/>
    </row>
    <row r="21" spans="1:14" ht="13.15" customHeight="1">
      <c r="A21" s="24" t="s">
        <v>1622</v>
      </c>
      <c r="B21" s="25">
        <f>-('Part VI-Revenues &amp; Expenses'!P160)</f>
        <v>-25000</v>
      </c>
      <c r="C21" s="25">
        <f t="shared" ref="C21:K21" si="5">$B$21*(1+$B$7)^(C13-1)</f>
        <v>-25750</v>
      </c>
      <c r="D21" s="25">
        <f t="shared" si="5"/>
        <v>-26522.5</v>
      </c>
      <c r="E21" s="25">
        <f t="shared" si="5"/>
        <v>-27318.174999999999</v>
      </c>
      <c r="F21" s="25">
        <f t="shared" si="5"/>
        <v>-28137.720249999998</v>
      </c>
      <c r="G21" s="25">
        <f t="shared" si="5"/>
        <v>-28981.851857499994</v>
      </c>
      <c r="H21" s="25">
        <f t="shared" si="5"/>
        <v>-29851.307413224997</v>
      </c>
      <c r="I21" s="25">
        <f t="shared" si="5"/>
        <v>-30746.84663562175</v>
      </c>
      <c r="J21" s="25">
        <f t="shared" si="5"/>
        <v>-31669.252034690398</v>
      </c>
      <c r="K21" s="26">
        <f t="shared" si="5"/>
        <v>-32619.329595731113</v>
      </c>
      <c r="M21" s="1517"/>
      <c r="N21" s="1518"/>
    </row>
    <row r="22" spans="1:14" ht="13.15" customHeight="1">
      <c r="A22" s="24" t="s">
        <v>1623</v>
      </c>
      <c r="B22" s="25">
        <f t="shared" ref="B22:K22" si="6">SUM(B14:B21)</f>
        <v>174941.95759999997</v>
      </c>
      <c r="C22" s="25">
        <f t="shared" si="6"/>
        <v>174562.25675200002</v>
      </c>
      <c r="D22" s="25">
        <f t="shared" si="6"/>
        <v>174057.23508704</v>
      </c>
      <c r="E22" s="25">
        <f t="shared" si="6"/>
        <v>173422.2013847807</v>
      </c>
      <c r="F22" s="25">
        <f t="shared" si="6"/>
        <v>172650.16025635641</v>
      </c>
      <c r="G22" s="25">
        <f t="shared" si="6"/>
        <v>171735.80215068001</v>
      </c>
      <c r="H22" s="25">
        <f t="shared" si="6"/>
        <v>170672.49304356595</v>
      </c>
      <c r="I22" s="25">
        <f t="shared" si="6"/>
        <v>169453.26379980554</v>
      </c>
      <c r="J22" s="25">
        <f t="shared" si="6"/>
        <v>168069.79919803125</v>
      </c>
      <c r="K22" s="26">
        <f t="shared" si="6"/>
        <v>166516.42660788819</v>
      </c>
      <c r="M22" s="1517"/>
      <c r="N22" s="1518"/>
    </row>
    <row r="23" spans="1:14" ht="13.15" customHeight="1">
      <c r="A23" s="564" t="s">
        <v>2051</v>
      </c>
      <c r="B23" s="1630">
        <f>IF('Part III-Sources of Funds'!$M$32="", 0,-'Part III-Sources of Funds'!$M$32)</f>
        <v>-51723.820304732188</v>
      </c>
      <c r="C23" s="1630">
        <f>IF('Part III-Sources of Funds'!$M$32="", 0,-'Part III-Sources of Funds'!$M$32)</f>
        <v>-51723.820304732188</v>
      </c>
      <c r="D23" s="1630">
        <f>IF('Part III-Sources of Funds'!$M$32="", 0,-'Part III-Sources of Funds'!$M$32)</f>
        <v>-51723.820304732188</v>
      </c>
      <c r="E23" s="1630">
        <f>IF('Part III-Sources of Funds'!$M$32="", 0,-'Part III-Sources of Funds'!$M$32)</f>
        <v>-51723.820304732188</v>
      </c>
      <c r="F23" s="1630">
        <f>IF('Part III-Sources of Funds'!$M$32="", 0,-'Part III-Sources of Funds'!$M$32)</f>
        <v>-51723.820304732188</v>
      </c>
      <c r="G23" s="1630">
        <f>IF('Part III-Sources of Funds'!$M$32="", 0,-'Part III-Sources of Funds'!$M$32)</f>
        <v>-51723.820304732188</v>
      </c>
      <c r="H23" s="1630">
        <f>IF('Part III-Sources of Funds'!$M$32="", 0,-'Part III-Sources of Funds'!$M$32)</f>
        <v>-51723.820304732188</v>
      </c>
      <c r="I23" s="1630">
        <f>IF('Part III-Sources of Funds'!$M$32="", 0,-'Part III-Sources of Funds'!$M$32)</f>
        <v>-51723.820304732188</v>
      </c>
      <c r="J23" s="1630">
        <f>IF('Part III-Sources of Funds'!$M$32="", 0,-'Part III-Sources of Funds'!$M$32)</f>
        <v>-51723.820304732188</v>
      </c>
      <c r="K23" s="1630">
        <f>IF('Part III-Sources of Funds'!$M$32="", 0,-'Part III-Sources of Funds'!$M$32)</f>
        <v>-51723.820304732188</v>
      </c>
      <c r="M23" s="1517"/>
      <c r="N23" s="1518"/>
    </row>
    <row r="24" spans="1:14" ht="13.15" customHeight="1">
      <c r="A24" s="564" t="s">
        <v>2052</v>
      </c>
      <c r="B24" s="1631">
        <v>-94061</v>
      </c>
      <c r="C24" s="1631">
        <v>-93745</v>
      </c>
      <c r="D24" s="1631">
        <v>-93324</v>
      </c>
      <c r="E24" s="1631">
        <v>-92795</v>
      </c>
      <c r="F24" s="1631">
        <v>-92151</v>
      </c>
      <c r="G24" s="1631">
        <v>-91389</v>
      </c>
      <c r="H24" s="1631">
        <v>-90503</v>
      </c>
      <c r="I24" s="1631">
        <v>-89487</v>
      </c>
      <c r="J24" s="1631">
        <v>-88334</v>
      </c>
      <c r="K24" s="1631">
        <f t="shared" ref="K24" si="7">-(K22+K23*1.2)/1.2</f>
        <v>-87039.868535174639</v>
      </c>
      <c r="M24" s="1517"/>
      <c r="N24" s="1518"/>
    </row>
    <row r="25" spans="1:14" ht="13.15" customHeight="1">
      <c r="A25" s="564" t="s">
        <v>2053</v>
      </c>
      <c r="B25" s="1631">
        <f>IF('Part III-Sources of Funds'!$M$34="", 0,-'Part III-Sources of Funds'!$M$34)</f>
        <v>0</v>
      </c>
      <c r="C25" s="1631">
        <f>IF('Part III-Sources of Funds'!$M$34="", 0,-'Part III-Sources of Funds'!$M$34)</f>
        <v>0</v>
      </c>
      <c r="D25" s="1631">
        <f>IF('Part III-Sources of Funds'!$M$34="", 0,-'Part III-Sources of Funds'!$M$34)</f>
        <v>0</v>
      </c>
      <c r="E25" s="1631">
        <f>IF('Part III-Sources of Funds'!$M$34="", 0,-'Part III-Sources of Funds'!$M$34)</f>
        <v>0</v>
      </c>
      <c r="F25" s="1631">
        <f>IF('Part III-Sources of Funds'!$M$34="", 0,-'Part III-Sources of Funds'!$M$34)</f>
        <v>0</v>
      </c>
      <c r="G25" s="1631">
        <f>IF('Part III-Sources of Funds'!$M$34="", 0,-'Part III-Sources of Funds'!$M$34)</f>
        <v>0</v>
      </c>
      <c r="H25" s="1631">
        <f>IF('Part III-Sources of Funds'!$M$34="", 0,-'Part III-Sources of Funds'!$M$34)</f>
        <v>0</v>
      </c>
      <c r="I25" s="1631">
        <f>IF('Part III-Sources of Funds'!$M$34="", 0,-'Part III-Sources of Funds'!$M$34)</f>
        <v>0</v>
      </c>
      <c r="J25" s="1631">
        <f>IF('Part III-Sources of Funds'!$M$34="", 0,-'Part III-Sources of Funds'!$M$34)</f>
        <v>0</v>
      </c>
      <c r="K25" s="1631">
        <f>IF('Part III-Sources of Funds'!$M$34="", 0,-'Part III-Sources of Funds'!$M$34)</f>
        <v>0</v>
      </c>
      <c r="M25" s="1517"/>
      <c r="N25" s="1518"/>
    </row>
    <row r="26" spans="1:14" ht="13.15" customHeight="1">
      <c r="A26" s="24" t="s">
        <v>1174</v>
      </c>
      <c r="B26" s="1631">
        <f>IF('Part III-Sources of Funds'!$M$35="", 0,-'Part III-Sources of Funds'!$M$35)</f>
        <v>0</v>
      </c>
      <c r="C26" s="1631">
        <f>IF('Part III-Sources of Funds'!$M$35="", 0,-'Part III-Sources of Funds'!$M$35)</f>
        <v>0</v>
      </c>
      <c r="D26" s="1631">
        <f>IF('Part III-Sources of Funds'!$M$35="", 0,-'Part III-Sources of Funds'!$M$35)</f>
        <v>0</v>
      </c>
      <c r="E26" s="1631">
        <f>IF('Part III-Sources of Funds'!$M$35="", 0,-'Part III-Sources of Funds'!$M$35)</f>
        <v>0</v>
      </c>
      <c r="F26" s="1631">
        <f>IF('Part III-Sources of Funds'!$M$35="", 0,-'Part III-Sources of Funds'!$M$35)</f>
        <v>0</v>
      </c>
      <c r="G26" s="1631">
        <f>IF('Part III-Sources of Funds'!$M$35="", 0,-'Part III-Sources of Funds'!$M$35)</f>
        <v>0</v>
      </c>
      <c r="H26" s="1631">
        <f>IF('Part III-Sources of Funds'!$M$35="", 0,-'Part III-Sources of Funds'!$M$35)</f>
        <v>0</v>
      </c>
      <c r="I26" s="1631">
        <f>IF('Part III-Sources of Funds'!$M$35="", 0,-'Part III-Sources of Funds'!$M$35)</f>
        <v>0</v>
      </c>
      <c r="J26" s="1631">
        <f>IF('Part III-Sources of Funds'!$M$35="", 0,-'Part III-Sources of Funds'!$M$35)</f>
        <v>0</v>
      </c>
      <c r="K26" s="1631">
        <f>IF('Part III-Sources of Funds'!$M$35="", 0,-'Part III-Sources of Funds'!$M$35)</f>
        <v>0</v>
      </c>
      <c r="M26" s="1517"/>
      <c r="N26" s="1518"/>
    </row>
    <row r="27" spans="1:14" ht="13.15" customHeight="1">
      <c r="A27" s="24" t="s">
        <v>1150</v>
      </c>
      <c r="B27" s="1632"/>
      <c r="C27" s="1632"/>
      <c r="D27" s="1632"/>
      <c r="E27" s="1632"/>
      <c r="F27" s="1632"/>
      <c r="G27" s="1632"/>
      <c r="H27" s="1632"/>
      <c r="I27" s="1632"/>
      <c r="J27" s="1632"/>
      <c r="K27" s="1632"/>
      <c r="M27" s="1517"/>
      <c r="N27" s="1518"/>
    </row>
    <row r="28" spans="1:14" ht="13.15" customHeight="1">
      <c r="A28" s="24" t="s">
        <v>1578</v>
      </c>
      <c r="B28" s="1631">
        <f>$G$5</f>
        <v>-7500</v>
      </c>
      <c r="C28" s="1631">
        <v>-7725</v>
      </c>
      <c r="D28" s="1631">
        <v>-7957</v>
      </c>
      <c r="E28" s="1631">
        <v>-8196</v>
      </c>
      <c r="F28" s="1631">
        <v>-8442</v>
      </c>
      <c r="G28" s="1631">
        <v>-8695</v>
      </c>
      <c r="H28" s="1631">
        <v>-8956</v>
      </c>
      <c r="I28" s="1631">
        <v>-9225</v>
      </c>
      <c r="J28" s="1631">
        <v>-9502</v>
      </c>
      <c r="K28" s="1631">
        <v>-9787</v>
      </c>
      <c r="M28" s="1517"/>
      <c r="N28" s="1518"/>
    </row>
    <row r="29" spans="1:14" ht="13.15" customHeight="1">
      <c r="A29" s="24" t="s">
        <v>1624</v>
      </c>
      <c r="B29" s="1633"/>
      <c r="C29" s="1633"/>
      <c r="D29" s="1633"/>
      <c r="E29" s="1633"/>
      <c r="F29" s="1633"/>
      <c r="G29" s="1633"/>
      <c r="H29" s="1633"/>
      <c r="I29" s="1633"/>
      <c r="J29" s="1633"/>
      <c r="K29" s="1633"/>
      <c r="M29" s="1517"/>
      <c r="N29" s="1518"/>
    </row>
    <row r="30" spans="1:14" ht="13.15" customHeight="1">
      <c r="A30" s="24" t="s">
        <v>1579</v>
      </c>
      <c r="B30" s="25">
        <f t="shared" ref="B30:K30" si="8">SUM(B22:B29)</f>
        <v>21657.137295267778</v>
      </c>
      <c r="C30" s="25">
        <f t="shared" si="8"/>
        <v>21368.436447267828</v>
      </c>
      <c r="D30" s="25">
        <f t="shared" si="8"/>
        <v>21052.414782307809</v>
      </c>
      <c r="E30" s="25">
        <f t="shared" si="8"/>
        <v>20707.381080048508</v>
      </c>
      <c r="F30" s="25">
        <f t="shared" si="8"/>
        <v>20333.339951624221</v>
      </c>
      <c r="G30" s="25">
        <f t="shared" si="8"/>
        <v>19927.981845947827</v>
      </c>
      <c r="H30" s="25">
        <f t="shared" si="8"/>
        <v>19489.67273883376</v>
      </c>
      <c r="I30" s="25">
        <f t="shared" si="8"/>
        <v>19017.443495073356</v>
      </c>
      <c r="J30" s="25">
        <f t="shared" si="8"/>
        <v>18509.978893299063</v>
      </c>
      <c r="K30" s="26">
        <f t="shared" si="8"/>
        <v>17965.737767981365</v>
      </c>
      <c r="M30" s="1517"/>
      <c r="N30" s="1518"/>
    </row>
    <row r="31" spans="1:14" ht="13.15" customHeight="1">
      <c r="A31" s="24" t="str">
        <f>IF('Part III-Sources of Funds'!$E$32 = "Neither", "", "DCR Mortgage A")</f>
        <v>DCR Mortgage A</v>
      </c>
      <c r="B31" s="27">
        <f>IF(B23=0,"",-B22/B23)</f>
        <v>3.3822319497926685</v>
      </c>
      <c r="C31" s="27">
        <f t="shared" ref="C31:K31" si="9">IF(C23=0,"",-C22/C23)</f>
        <v>3.3748910216523469</v>
      </c>
      <c r="D31" s="27">
        <f t="shared" si="9"/>
        <v>3.3651272095057445</v>
      </c>
      <c r="E31" s="27">
        <f t="shared" si="9"/>
        <v>3.3528498158693507</v>
      </c>
      <c r="F31" s="27">
        <f t="shared" si="9"/>
        <v>3.337923595727919</v>
      </c>
      <c r="G31" s="27">
        <f t="shared" si="9"/>
        <v>3.3202458971300692</v>
      </c>
      <c r="H31" s="27">
        <f t="shared" si="9"/>
        <v>3.2996884614872735</v>
      </c>
      <c r="I31" s="27">
        <f t="shared" si="9"/>
        <v>3.276116551358105</v>
      </c>
      <c r="J31" s="27">
        <f t="shared" si="9"/>
        <v>3.2493694048089217</v>
      </c>
      <c r="K31" s="28">
        <f t="shared" si="9"/>
        <v>3.2193373503127281</v>
      </c>
      <c r="M31" s="1517"/>
      <c r="N31" s="1518"/>
    </row>
    <row r="32" spans="1:14" ht="13.15" customHeight="1">
      <c r="A32" s="24" t="str">
        <f>IF('Part III-Sources of Funds'!$E$32 = "Neither", "", "DCR Mortgage B")</f>
        <v>DCR Mortgage B</v>
      </c>
      <c r="B32" s="27">
        <f t="shared" ref="B32:K32" si="10">IF(OR(B24=0,AND(B24=0,B23=0)),"",-B22/(B23+B24))</f>
        <v>1.2000011882877859</v>
      </c>
      <c r="C32" s="27">
        <f t="shared" si="10"/>
        <v>1.1999977478769821</v>
      </c>
      <c r="D32" s="27">
        <f t="shared" si="10"/>
        <v>1.1999989708315622</v>
      </c>
      <c r="E32" s="27">
        <f t="shared" si="10"/>
        <v>1.1999973499583161</v>
      </c>
      <c r="F32" s="27">
        <f t="shared" si="10"/>
        <v>1.2000026126230914</v>
      </c>
      <c r="G32" s="27">
        <f t="shared" si="10"/>
        <v>1.2000029192702688</v>
      </c>
      <c r="H32" s="27">
        <f t="shared" si="10"/>
        <v>1.2000021703212282</v>
      </c>
      <c r="I32" s="27">
        <f t="shared" si="10"/>
        <v>1.2000019788435923</v>
      </c>
      <c r="J32" s="27">
        <f t="shared" si="10"/>
        <v>1.2000029618649763</v>
      </c>
      <c r="K32" s="28">
        <f t="shared" si="10"/>
        <v>1.2</v>
      </c>
      <c r="M32" s="1517"/>
      <c r="N32" s="1518"/>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517"/>
      <c r="N33" s="1518"/>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517"/>
      <c r="N34" s="1518"/>
    </row>
    <row r="35" spans="1:14" ht="13.15" customHeight="1">
      <c r="A35" s="24" t="s">
        <v>1158</v>
      </c>
      <c r="B35" s="341">
        <f>IF(OR(B20="Choose mgt fee",B20="Choose One!"),"",(B14+B15+B16+B17+B18) / -(B19+B20+B21))</f>
        <v>1.3372771691707361</v>
      </c>
      <c r="C35" s="341">
        <f t="shared" ref="C35:K35" si="13">IF(OR(C20="Choose mgt fee",C20="Choose One!"),"",(C14+C15+C16+C17+C18) / -(C19+C20+C21))</f>
        <v>1.3269631597898655</v>
      </c>
      <c r="D35" s="341">
        <f t="shared" si="13"/>
        <v>1.3167326957775198</v>
      </c>
      <c r="E35" s="341">
        <f t="shared" si="13"/>
        <v>1.3065878725866689</v>
      </c>
      <c r="F35" s="341">
        <f t="shared" si="13"/>
        <v>1.2965269044734107</v>
      </c>
      <c r="G35" s="341">
        <f t="shared" si="13"/>
        <v>1.2865513267109623</v>
      </c>
      <c r="H35" s="341">
        <f t="shared" si="13"/>
        <v>1.276660665413452</v>
      </c>
      <c r="I35" s="341">
        <f t="shared" si="13"/>
        <v>1.2668538577104196</v>
      </c>
      <c r="J35" s="341">
        <f t="shared" si="13"/>
        <v>1.2571282687799417</v>
      </c>
      <c r="K35" s="342">
        <f t="shared" si="13"/>
        <v>1.2474865954753305</v>
      </c>
      <c r="M35" s="1517"/>
      <c r="N35" s="1518"/>
    </row>
    <row r="36" spans="1:14" ht="13.15" customHeight="1">
      <c r="A36" s="564" t="s">
        <v>3417</v>
      </c>
      <c r="B36" s="1634">
        <f>IF('Part III-Sources of Funds'!$H$32="","",-FV('Part III-Sources of Funds'!$J$32/12,12,B23/12,'Part III-Sources of Funds'!$H$32))</f>
        <v>674316.79411422904</v>
      </c>
      <c r="C36" s="1634">
        <f>IF('Part III-Sources of Funds'!$H$32="","",-FV('Part III-Sources of Funds'!$J$32/12,12,C23/12,B36))</f>
        <v>666184.11498394329</v>
      </c>
      <c r="D36" s="1634">
        <f>IF('Part III-Sources of Funds'!$H$32="","",-FV('Part III-Sources of Funds'!$J$32/12,12,D23/12,C36))</f>
        <v>657506.77527055983</v>
      </c>
      <c r="E36" s="1634">
        <f>IF('Part III-Sources of Funds'!$H$32="","",-FV('Part III-Sources of Funds'!$J$32/12,12,E23/12,D36))</f>
        <v>648248.2980461159</v>
      </c>
      <c r="F36" s="1634">
        <f>IF('Part III-Sources of Funds'!$H$32="","",-FV('Part III-Sources of Funds'!$J$32/12,12,F23/12,E36))</f>
        <v>638369.7634552276</v>
      </c>
      <c r="G36" s="1634">
        <f>IF('Part III-Sources of Funds'!$H$32="","",-FV('Part III-Sources of Funds'!$J$32/12,12,G23/12,F36))</f>
        <v>627829.64510771632</v>
      </c>
      <c r="H36" s="1634">
        <f>IF('Part III-Sources of Funds'!$H$32="","",-FV('Part III-Sources of Funds'!$J$32/12,12,H23/12,G36))</f>
        <v>616583.63551414618</v>
      </c>
      <c r="I36" s="1634">
        <f>IF('Part III-Sources of Funds'!$H$32="","",-FV('Part III-Sources of Funds'!$J$32/12,12,I23/12,H36))</f>
        <v>604584.4598304563</v>
      </c>
      <c r="J36" s="1634">
        <f>IF('Part III-Sources of Funds'!$H$32="","",-FV('Part III-Sources of Funds'!$J$32/12,12,J23/12,I36))</f>
        <v>591781.6771287258</v>
      </c>
      <c r="K36" s="1634">
        <f>IF('Part III-Sources of Funds'!$H$32="","",-FV('Part III-Sources of Funds'!$J$32/12,12,K23/12,J36))</f>
        <v>578121.46835867432</v>
      </c>
      <c r="M36" s="1517"/>
      <c r="N36" s="1518"/>
    </row>
    <row r="37" spans="1:14" ht="13.15" customHeight="1">
      <c r="A37" s="564" t="s">
        <v>3418</v>
      </c>
      <c r="B37" s="1631">
        <f>IF('Part III-Sources of Funds'!$H$33="","",-FV('Part III-Sources of Funds'!$J$33/12,12,B24/12,'Part III-Sources of Funds'!$H$33))</f>
        <v>2727168.1968763205</v>
      </c>
      <c r="C37" s="1631">
        <f>IF('Part III-Sources of Funds'!$H$33="","",-FV('Part III-Sources of Funds'!$J$33/12,12,C24/12,B37))</f>
        <v>2704055.43447363</v>
      </c>
      <c r="D37" s="1631">
        <f>IF('Part III-Sources of Funds'!$H$33="","",-FV('Part III-Sources of Funds'!$J$33/12,12,D24/12,C37))</f>
        <v>2680760.5804993641</v>
      </c>
      <c r="E37" s="1631">
        <f>IF('Part III-Sources of Funds'!$H$33="","",-FV('Part III-Sources of Funds'!$J$33/12,12,E24/12,D37))</f>
        <v>2657388.1400856366</v>
      </c>
      <c r="F37" s="1631">
        <f>IF('Part III-Sources of Funds'!$H$33="","",-FV('Part III-Sources of Funds'!$J$33/12,12,F24/12,E37))</f>
        <v>2634052.4521342316</v>
      </c>
      <c r="G37" s="1631">
        <f>IF('Part III-Sources of Funds'!$H$33="","",-FV('Part III-Sources of Funds'!$J$33/12,12,G24/12,F37))</f>
        <v>2610873.9000509451</v>
      </c>
      <c r="H37" s="1631">
        <f>IF('Part III-Sources of Funds'!$H$33="","",-FV('Part III-Sources of Funds'!$J$33/12,12,H24/12,G37))</f>
        <v>2587982.1067985296</v>
      </c>
      <c r="I37" s="1631">
        <f>IF('Part III-Sources of Funds'!$H$33="","",-FV('Part III-Sources of Funds'!$J$33/12,12,I24/12,H37))</f>
        <v>2565516.1780086732</v>
      </c>
      <c r="J37" s="1631">
        <f>IF('Part III-Sources of Funds'!$H$33="","",-FV('Part III-Sources of Funds'!$J$33/12,12,J24/12,I37))</f>
        <v>2543625.9634939139</v>
      </c>
      <c r="K37" s="1631">
        <f>IF('Part III-Sources of Funds'!$H$33="","",-FV('Part III-Sources of Funds'!$J$33/12,12,K24/12,J37))</f>
        <v>2522469.4369827677</v>
      </c>
      <c r="M37" s="1517"/>
      <c r="N37" s="1518"/>
    </row>
    <row r="38" spans="1:14" ht="13.15" customHeight="1">
      <c r="A38" s="564" t="s">
        <v>3419</v>
      </c>
      <c r="B38" s="1631" t="str">
        <f>IF('Part III-Sources of Funds'!$H$34="","",-FV('Part III-Sources of Funds'!$J$34/12,12,B25/12,'Part III-Sources of Funds'!$H$34))</f>
        <v/>
      </c>
      <c r="C38" s="1631" t="str">
        <f>IF('Part III-Sources of Funds'!$H$34="","",-FV('Part III-Sources of Funds'!$J$34/12,12,C25/12,B38))</f>
        <v/>
      </c>
      <c r="D38" s="1631" t="str">
        <f>IF('Part III-Sources of Funds'!$H$34="","",-FV('Part III-Sources of Funds'!$J$34/12,12,D25/12,C38))</f>
        <v/>
      </c>
      <c r="E38" s="1631" t="str">
        <f>IF('Part III-Sources of Funds'!$H$34="","",-FV('Part III-Sources of Funds'!$J$34/12,12,E25/12,D38))</f>
        <v/>
      </c>
      <c r="F38" s="1631" t="str">
        <f>IF('Part III-Sources of Funds'!$H$34="","",-FV('Part III-Sources of Funds'!$J$34/12,12,F25/12,E38))</f>
        <v/>
      </c>
      <c r="G38" s="1631" t="str">
        <f>IF('Part III-Sources of Funds'!$H$34="","",-FV('Part III-Sources of Funds'!$J$34/12,12,G25/12,F38))</f>
        <v/>
      </c>
      <c r="H38" s="1631" t="str">
        <f>IF('Part III-Sources of Funds'!$H$34="","",-FV('Part III-Sources of Funds'!$J$34/12,12,H25/12,G38))</f>
        <v/>
      </c>
      <c r="I38" s="1631" t="str">
        <f>IF('Part III-Sources of Funds'!$H$34="","",-FV('Part III-Sources of Funds'!$J$34/12,12,I25/12,H38))</f>
        <v/>
      </c>
      <c r="J38" s="1631" t="str">
        <f>IF('Part III-Sources of Funds'!$H$34="","",-FV('Part III-Sources of Funds'!$J$34/12,12,J25/12,I38))</f>
        <v/>
      </c>
      <c r="K38" s="1631" t="str">
        <f>IF('Part III-Sources of Funds'!$H$34="","",-FV('Part III-Sources of Funds'!$J$34/12,12,K25/12,J38))</f>
        <v/>
      </c>
      <c r="M38" s="1517"/>
      <c r="N38" s="1518"/>
    </row>
    <row r="39" spans="1:14" ht="13.15" customHeight="1">
      <c r="A39" s="24" t="s">
        <v>1176</v>
      </c>
      <c r="B39" s="1631" t="str">
        <f>IF('Part III-Sources of Funds'!$H$35="","",-FV('Part III-Sources of Funds'!$J$35/12,12,B24/12,'Part III-Sources of Funds'!$H$35))</f>
        <v/>
      </c>
      <c r="C39" s="1631" t="str">
        <f>IF('Part III-Sources of Funds'!$H$35="","",-FV('Part III-Sources of Funds'!$J$35/12,12,C26/12,B39))</f>
        <v/>
      </c>
      <c r="D39" s="1631" t="str">
        <f>IF('Part III-Sources of Funds'!$H$35="","",-FV('Part III-Sources of Funds'!$J$35/12,12,D26/12,C39))</f>
        <v/>
      </c>
      <c r="E39" s="1631" t="str">
        <f>IF('Part III-Sources of Funds'!$H$35="","",-FV('Part III-Sources of Funds'!$J$35/12,12,E26/12,D39))</f>
        <v/>
      </c>
      <c r="F39" s="1631" t="str">
        <f>IF('Part III-Sources of Funds'!$H$35="","",-FV('Part III-Sources of Funds'!$J$35/12,12,F26/12,E39))</f>
        <v/>
      </c>
      <c r="G39" s="1631" t="str">
        <f>IF('Part III-Sources of Funds'!$H$35="","",-FV('Part III-Sources of Funds'!$J$35/12,12,G26/12,F39))</f>
        <v/>
      </c>
      <c r="H39" s="1631" t="str">
        <f>IF('Part III-Sources of Funds'!$H$35="","",-FV('Part III-Sources of Funds'!$J$35/12,12,H26/12,G39))</f>
        <v/>
      </c>
      <c r="I39" s="1631" t="str">
        <f>IF('Part III-Sources of Funds'!$H$35="","",-FV('Part III-Sources of Funds'!$J$35/12,12,I26/12,H39))</f>
        <v/>
      </c>
      <c r="J39" s="1631" t="str">
        <f>IF('Part III-Sources of Funds'!$H$35="","",-FV('Part III-Sources of Funds'!$J$35/12,12,J26/12,I39))</f>
        <v/>
      </c>
      <c r="K39" s="1631" t="str">
        <f>IF('Part III-Sources of Funds'!$H$35="","",-FV('Part III-Sources of Funds'!$J$35/12,12,K26/12,J39))</f>
        <v/>
      </c>
      <c r="M39" s="1517"/>
      <c r="N39" s="1518"/>
    </row>
    <row r="40" spans="1:14" ht="13.15" customHeight="1">
      <c r="A40" s="29" t="s">
        <v>1659</v>
      </c>
      <c r="B40" s="1633" t="str">
        <f>IF('Part III-Sources of Funds'!$H$37="","",-FV('Part III-Sources of Funds'!$J$37/12,12,B29/12,'Part III-Sources of Funds'!$H$37))</f>
        <v/>
      </c>
      <c r="C40" s="1633" t="str">
        <f>IF('Part III-Sources of Funds'!$H$37="","",-FV('Part III-Sources of Funds'!$J$37/12,12,C29/12,B40))</f>
        <v/>
      </c>
      <c r="D40" s="1633" t="str">
        <f>IF('Part III-Sources of Funds'!$H$37="","",-FV('Part III-Sources of Funds'!$J$37/12,12,D29/12,C40))</f>
        <v/>
      </c>
      <c r="E40" s="1633" t="str">
        <f>IF('Part III-Sources of Funds'!$H$37="","",-FV('Part III-Sources of Funds'!$J$37/12,12,E29/12,D40))</f>
        <v/>
      </c>
      <c r="F40" s="1633" t="str">
        <f>IF('Part III-Sources of Funds'!$H$37="","",-FV('Part III-Sources of Funds'!$J$37/12,12,F29/12,E40))</f>
        <v/>
      </c>
      <c r="G40" s="1633" t="str">
        <f>IF('Part III-Sources of Funds'!$H$37="","",-FV('Part III-Sources of Funds'!$J$37/12,12,G29/12,F40))</f>
        <v/>
      </c>
      <c r="H40" s="1633" t="str">
        <f>IF('Part III-Sources of Funds'!$H$37="","",-FV('Part III-Sources of Funds'!$J$37/12,12,H29/12,G40))</f>
        <v/>
      </c>
      <c r="I40" s="1633" t="str">
        <f>IF('Part III-Sources of Funds'!$H$37="","",-FV('Part III-Sources of Funds'!$J$37/12,12,I29/12,H40))</f>
        <v/>
      </c>
      <c r="J40" s="1633" t="str">
        <f>IF('Part III-Sources of Funds'!$H$37="","",-FV('Part III-Sources of Funds'!$J$37/12,12,J29/12,I40))</f>
        <v/>
      </c>
      <c r="K40" s="1633" t="str">
        <f>IF('Part III-Sources of Funds'!$H$37="","",-FV('Part III-Sources of Funds'!$J$37/12,12,K29/12,J40))</f>
        <v/>
      </c>
      <c r="M40" s="1520"/>
      <c r="N40" s="1521"/>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93" t="s">
        <v>3422</v>
      </c>
      <c r="N42" s="893"/>
    </row>
    <row r="43" spans="1:14" ht="13.15" customHeight="1">
      <c r="A43" s="21" t="s">
        <v>3167</v>
      </c>
      <c r="B43" s="22">
        <f t="shared" ref="B43:K43" si="15">$B$14*(1+$B$5)^(B42-1)</f>
        <v>697650.01047371945</v>
      </c>
      <c r="C43" s="22">
        <f t="shared" si="15"/>
        <v>711603.01068319369</v>
      </c>
      <c r="D43" s="22">
        <f t="shared" si="15"/>
        <v>725835.07089685765</v>
      </c>
      <c r="E43" s="22">
        <f t="shared" si="15"/>
        <v>740351.77231479471</v>
      </c>
      <c r="F43" s="22">
        <f t="shared" si="15"/>
        <v>755158.80776109069</v>
      </c>
      <c r="G43" s="22">
        <f t="shared" si="15"/>
        <v>770261.98391631234</v>
      </c>
      <c r="H43" s="22">
        <f t="shared" si="15"/>
        <v>785667.22359463875</v>
      </c>
      <c r="I43" s="22">
        <f t="shared" si="15"/>
        <v>801380.56806653156</v>
      </c>
      <c r="J43" s="22">
        <f t="shared" si="15"/>
        <v>817408.17942786205</v>
      </c>
      <c r="K43" s="23">
        <f t="shared" si="15"/>
        <v>833756.34301641933</v>
      </c>
      <c r="M43" s="1515"/>
      <c r="N43" s="1516"/>
    </row>
    <row r="44" spans="1:14" ht="13.15" customHeight="1">
      <c r="A44" s="24" t="s">
        <v>1418</v>
      </c>
      <c r="B44" s="25">
        <f t="shared" ref="B44:K44" si="16">$B$15*(1+$B$5)^(B42-1)</f>
        <v>13953.000209474389</v>
      </c>
      <c r="C44" s="25">
        <f t="shared" si="16"/>
        <v>14232.060213663874</v>
      </c>
      <c r="D44" s="25">
        <f t="shared" si="16"/>
        <v>14516.701417937153</v>
      </c>
      <c r="E44" s="25">
        <f t="shared" si="16"/>
        <v>14807.035446295895</v>
      </c>
      <c r="F44" s="25">
        <f t="shared" si="16"/>
        <v>15103.176155221814</v>
      </c>
      <c r="G44" s="25">
        <f t="shared" si="16"/>
        <v>15405.239678326247</v>
      </c>
      <c r="H44" s="25">
        <f t="shared" si="16"/>
        <v>15713.344471892775</v>
      </c>
      <c r="I44" s="25">
        <f t="shared" si="16"/>
        <v>16027.611361330632</v>
      </c>
      <c r="J44" s="25">
        <f t="shared" si="16"/>
        <v>16348.163588557241</v>
      </c>
      <c r="K44" s="26">
        <f t="shared" si="16"/>
        <v>16675.126860328386</v>
      </c>
      <c r="M44" s="1517"/>
      <c r="N44" s="1518"/>
    </row>
    <row r="45" spans="1:14" ht="13.15" customHeight="1">
      <c r="A45" s="24" t="s">
        <v>3168</v>
      </c>
      <c r="B45" s="25">
        <f t="shared" ref="B45:K45" si="17">-(B43+B44)*$B$8</f>
        <v>-49812.21074782357</v>
      </c>
      <c r="C45" s="25">
        <f t="shared" si="17"/>
        <v>-50808.45496278003</v>
      </c>
      <c r="D45" s="25">
        <f t="shared" si="17"/>
        <v>-51824.62406203564</v>
      </c>
      <c r="E45" s="25">
        <f t="shared" si="17"/>
        <v>-52861.116543276345</v>
      </c>
      <c r="F45" s="25">
        <f t="shared" si="17"/>
        <v>-53918.338874141875</v>
      </c>
      <c r="G45" s="25">
        <f t="shared" si="17"/>
        <v>-54996.70565162471</v>
      </c>
      <c r="H45" s="25">
        <f t="shared" si="17"/>
        <v>-56096.639764657215</v>
      </c>
      <c r="I45" s="25">
        <f t="shared" si="17"/>
        <v>-57218.572559950357</v>
      </c>
      <c r="J45" s="25">
        <f t="shared" si="17"/>
        <v>-58362.94401114936</v>
      </c>
      <c r="K45" s="26">
        <f t="shared" si="17"/>
        <v>-59530.202891372341</v>
      </c>
      <c r="M45" s="1517"/>
      <c r="N45" s="1518"/>
    </row>
    <row r="46" spans="1:14" ht="13.15" customHeight="1">
      <c r="A46" s="24" t="s">
        <v>56</v>
      </c>
      <c r="B46" s="25">
        <f>+'Part VI-Revenues &amp; Expenses'!G121</f>
        <v>68240</v>
      </c>
      <c r="C46" s="25">
        <f>+'Part VI-Revenues &amp; Expenses'!H121</f>
        <v>69605</v>
      </c>
      <c r="D46" s="25">
        <f>+'Part VI-Revenues &amp; Expenses'!I121</f>
        <v>70997</v>
      </c>
      <c r="E46" s="25">
        <f>+'Part VI-Revenues &amp; Expenses'!J121</f>
        <v>72417</v>
      </c>
      <c r="F46" s="25">
        <f>+'Part VI-Revenues &amp; Expenses'!K121</f>
        <v>73865</v>
      </c>
      <c r="G46" s="25">
        <f>+'Part VI-Revenues &amp; Expenses'!L121</f>
        <v>75342</v>
      </c>
      <c r="H46" s="25">
        <f>+'Part VI-Revenues &amp; Expenses'!M121</f>
        <v>76849</v>
      </c>
      <c r="I46" s="25">
        <f>+'Part VI-Revenues &amp; Expenses'!N121</f>
        <v>78386</v>
      </c>
      <c r="J46" s="25">
        <f>+'Part VI-Revenues &amp; Expenses'!O121</f>
        <v>79954</v>
      </c>
      <c r="K46" s="26">
        <f>+'Part VI-Revenues &amp; Expenses'!P121</f>
        <v>81553</v>
      </c>
      <c r="M46" s="1517"/>
      <c r="N46" s="1518"/>
    </row>
    <row r="47" spans="1:14" ht="13.15" customHeight="1">
      <c r="A47" s="24" t="s">
        <v>57</v>
      </c>
      <c r="B47" s="25">
        <f>'Part VI-Revenues &amp; Expenses'!G126</f>
        <v>127339</v>
      </c>
      <c r="C47" s="25">
        <f>'Part VI-Revenues &amp; Expenses'!H126</f>
        <v>131159</v>
      </c>
      <c r="D47" s="25">
        <f>'Part VI-Revenues &amp; Expenses'!I126</f>
        <v>135094</v>
      </c>
      <c r="E47" s="25">
        <f>'Part VI-Revenues &amp; Expenses'!J126</f>
        <v>139147</v>
      </c>
      <c r="F47" s="25">
        <f>'Part VI-Revenues &amp; Expenses'!K126</f>
        <v>143321</v>
      </c>
      <c r="G47" s="25">
        <f>'Part VI-Revenues &amp; Expenses'!L126</f>
        <v>147621</v>
      </c>
      <c r="H47" s="25">
        <f>'Part VI-Revenues &amp; Expenses'!M126</f>
        <v>152050</v>
      </c>
      <c r="I47" s="25">
        <f>'Part VI-Revenues &amp; Expenses'!N126</f>
        <v>156612</v>
      </c>
      <c r="J47" s="25">
        <f>'Part VI-Revenues &amp; Expenses'!O126</f>
        <v>161310</v>
      </c>
      <c r="K47" s="26">
        <f>'Part VI-Revenues &amp; Expenses'!P126</f>
        <v>166149</v>
      </c>
      <c r="M47" s="1517"/>
      <c r="N47" s="1518"/>
    </row>
    <row r="48" spans="1:14" ht="13.15" customHeight="1">
      <c r="A48" s="24" t="s">
        <v>794</v>
      </c>
      <c r="B48" s="25">
        <f t="shared" ref="B48:K48" si="18">$B$19*(1+$B$6)^(B42-1)</f>
        <v>-615185.78614304785</v>
      </c>
      <c r="C48" s="25">
        <f t="shared" si="18"/>
        <v>-633641.35972733924</v>
      </c>
      <c r="D48" s="25">
        <f t="shared" si="18"/>
        <v>-652650.60051915934</v>
      </c>
      <c r="E48" s="25">
        <f t="shared" si="18"/>
        <v>-672230.11853473412</v>
      </c>
      <c r="F48" s="25">
        <f t="shared" si="18"/>
        <v>-692397.02209077624</v>
      </c>
      <c r="G48" s="25">
        <f t="shared" si="18"/>
        <v>-713168.93275349948</v>
      </c>
      <c r="H48" s="25">
        <f t="shared" si="18"/>
        <v>-734564.00073610432</v>
      </c>
      <c r="I48" s="25">
        <f t="shared" si="18"/>
        <v>-756600.92075818754</v>
      </c>
      <c r="J48" s="25">
        <f t="shared" si="18"/>
        <v>-779298.94838093314</v>
      </c>
      <c r="K48" s="26">
        <f t="shared" si="18"/>
        <v>-802677.91683236114</v>
      </c>
      <c r="M48" s="1517"/>
      <c r="N48" s="1518"/>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-43802</v>
      </c>
      <c r="C49" s="25">
        <f>IF(AND('Part VII-Pro Forma'!$G$8="Yes",'Part VII-Pro Forma'!$G$9="Yes"),"Choose One!",IF('Part VII-Pro Forma'!$G$8="Yes",ROUND((-$K$8*(1+'Part VII-Pro Forma'!$B$6)^('Part VII-Pro Forma'!C42-1)),),IF('Part VII-Pro Forma'!$G$9="Yes",ROUND((-(SUM(C43:C46)*'Part VII-Pro Forma'!$K$9)),),"Choose mgt fee")))</f>
        <v>-44678</v>
      </c>
      <c r="D49" s="25">
        <f>IF(AND('Part VII-Pro Forma'!$G$8="Yes",'Part VII-Pro Forma'!$G$9="Yes"),"Choose One!",IF('Part VII-Pro Forma'!$G$8="Yes",ROUND((-$K$8*(1+'Part VII-Pro Forma'!$B$6)^('Part VII-Pro Forma'!D42-1)),),IF('Part VII-Pro Forma'!$G$9="Yes",ROUND((-(SUM(D43:D46)*'Part VII-Pro Forma'!$K$9)),),"Choose mgt fee")))</f>
        <v>-45571</v>
      </c>
      <c r="E49" s="25">
        <f>IF(AND('Part VII-Pro Forma'!$G$8="Yes",'Part VII-Pro Forma'!$G$9="Yes"),"Choose One!",IF('Part VII-Pro Forma'!$G$8="Yes",ROUND((-$K$8*(1+'Part VII-Pro Forma'!$B$6)^('Part VII-Pro Forma'!E42-1)),),IF('Part VII-Pro Forma'!$G$9="Yes",ROUND((-(SUM(E43:E46)*'Part VII-Pro Forma'!$K$9)),),"Choose mgt fee")))</f>
        <v>-46483</v>
      </c>
      <c r="F49" s="25">
        <f>IF(AND('Part VII-Pro Forma'!$G$8="Yes",'Part VII-Pro Forma'!$G$9="Yes"),"Choose One!",IF('Part VII-Pro Forma'!$G$8="Yes",ROUND((-$K$8*(1+'Part VII-Pro Forma'!$B$6)^('Part VII-Pro Forma'!F42-1)),),IF('Part VII-Pro Forma'!$G$9="Yes",ROUND((-(SUM(F43:F46)*'Part VII-Pro Forma'!$K$9)),),"Choose mgt fee")))</f>
        <v>-47413</v>
      </c>
      <c r="G49" s="25">
        <f>IF(AND('Part VII-Pro Forma'!$G$8="Yes",'Part VII-Pro Forma'!$G$9="Yes"),"Choose One!",IF('Part VII-Pro Forma'!$G$8="Yes",ROUND((-$K$8*(1+'Part VII-Pro Forma'!$B$6)^('Part VII-Pro Forma'!G42-1)),),IF('Part VII-Pro Forma'!$G$9="Yes",ROUND((-(SUM(G43:G46)*'Part VII-Pro Forma'!$K$9)),),"Choose mgt fee")))</f>
        <v>-48361</v>
      </c>
      <c r="H49" s="25">
        <f>IF(AND('Part VII-Pro Forma'!$G$8="Yes",'Part VII-Pro Forma'!$G$9="Yes"),"Choose One!",IF('Part VII-Pro Forma'!$G$8="Yes",ROUND((-$K$8*(1+'Part VII-Pro Forma'!$B$6)^('Part VII-Pro Forma'!H42-1)),),IF('Part VII-Pro Forma'!$G$9="Yes",ROUND((-(SUM(H43:H46)*'Part VII-Pro Forma'!$K$9)),),"Choose mgt fee")))</f>
        <v>-49328</v>
      </c>
      <c r="I49" s="25">
        <f>IF(AND('Part VII-Pro Forma'!$G$8="Yes",'Part VII-Pro Forma'!$G$9="Yes"),"Choose One!",IF('Part VII-Pro Forma'!$G$8="Yes",ROUND((-$K$8*(1+'Part VII-Pro Forma'!$B$6)^('Part VII-Pro Forma'!I42-1)),),IF('Part VII-Pro Forma'!$G$9="Yes",ROUND((-(SUM(I43:I46)*'Part VII-Pro Forma'!$K$9)),),"Choose mgt fee")))</f>
        <v>-50315</v>
      </c>
      <c r="J49" s="25">
        <f>IF(AND('Part VII-Pro Forma'!$G$8="Yes",'Part VII-Pro Forma'!$G$9="Yes"),"Choose One!",IF('Part VII-Pro Forma'!$G$8="Yes",ROUND((-$K$8*(1+'Part VII-Pro Forma'!$B$6)^('Part VII-Pro Forma'!J42-1)),),IF('Part VII-Pro Forma'!$G$9="Yes",ROUND((-(SUM(J43:J46)*'Part VII-Pro Forma'!$K$9)),),"Choose mgt fee")))</f>
        <v>-51321</v>
      </c>
      <c r="K49" s="25">
        <f>IF(AND('Part VII-Pro Forma'!$G$8="Yes",'Part VII-Pro Forma'!$G$9="Yes"),"Choose One!",IF('Part VII-Pro Forma'!$G$8="Yes",ROUND((-$K$8*(1+'Part VII-Pro Forma'!$B$6)^('Part VII-Pro Forma'!K42-1)),),IF('Part VII-Pro Forma'!$G$9="Yes",ROUND((-(SUM(K43:K46)*'Part VII-Pro Forma'!$K$9)),),"Choose mgt fee")))</f>
        <v>-52347</v>
      </c>
      <c r="M49" s="1517"/>
      <c r="N49" s="1518"/>
    </row>
    <row r="50" spans="1:14" ht="13.15" customHeight="1">
      <c r="A50" s="24" t="s">
        <v>1622</v>
      </c>
      <c r="B50" s="25">
        <f t="shared" ref="B50:K50" si="19">$B$21*(1+$B$7)^(B42-1)</f>
        <v>-33597.909483603042</v>
      </c>
      <c r="C50" s="25">
        <f t="shared" si="19"/>
        <v>-34605.846768111136</v>
      </c>
      <c r="D50" s="25">
        <f t="shared" si="19"/>
        <v>-35644.022171154465</v>
      </c>
      <c r="E50" s="25">
        <f t="shared" si="19"/>
        <v>-36713.342836289099</v>
      </c>
      <c r="F50" s="25">
        <f t="shared" si="19"/>
        <v>-37814.743121377775</v>
      </c>
      <c r="G50" s="25">
        <f t="shared" si="19"/>
        <v>-38949.185415019114</v>
      </c>
      <c r="H50" s="25">
        <f t="shared" si="19"/>
        <v>-40117.660977469677</v>
      </c>
      <c r="I50" s="25">
        <f t="shared" si="19"/>
        <v>-41321.190806793769</v>
      </c>
      <c r="J50" s="25">
        <f t="shared" si="19"/>
        <v>-42560.826530997583</v>
      </c>
      <c r="K50" s="26">
        <f t="shared" si="19"/>
        <v>-43837.651326927509</v>
      </c>
      <c r="M50" s="1517"/>
      <c r="N50" s="1518"/>
    </row>
    <row r="51" spans="1:14" ht="13.15" customHeight="1">
      <c r="A51" s="24" t="s">
        <v>1623</v>
      </c>
      <c r="B51" s="25">
        <f t="shared" ref="B51:K51" si="20">SUM(B43:B50)</f>
        <v>164784.10430871934</v>
      </c>
      <c r="C51" s="25">
        <f t="shared" si="20"/>
        <v>162865.40943862716</v>
      </c>
      <c r="D51" s="25">
        <f t="shared" si="20"/>
        <v>160752.52556244531</v>
      </c>
      <c r="E51" s="25">
        <f t="shared" si="20"/>
        <v>158435.22984679102</v>
      </c>
      <c r="F51" s="25">
        <f t="shared" si="20"/>
        <v>155904.87983001652</v>
      </c>
      <c r="G51" s="25">
        <f t="shared" si="20"/>
        <v>153154.39977449534</v>
      </c>
      <c r="H51" s="25">
        <f t="shared" si="20"/>
        <v>150173.26658830032</v>
      </c>
      <c r="I51" s="25">
        <f t="shared" si="20"/>
        <v>146950.49530293045</v>
      </c>
      <c r="J51" s="25">
        <f t="shared" si="20"/>
        <v>143476.62409333925</v>
      </c>
      <c r="K51" s="26">
        <f t="shared" si="20"/>
        <v>139740.69882608668</v>
      </c>
      <c r="M51" s="1517"/>
      <c r="N51" s="1518"/>
    </row>
    <row r="52" spans="1:14" ht="13.15" customHeight="1">
      <c r="A52" s="24" t="str">
        <f>$A23</f>
        <v>Mortgage A</v>
      </c>
      <c r="B52" s="1630">
        <f>IF('Part III-Sources of Funds'!$M$32="", 0,-'Part III-Sources of Funds'!$M$32)</f>
        <v>-51723.820304732188</v>
      </c>
      <c r="C52" s="1630">
        <f>IF('Part III-Sources of Funds'!$M$32="", 0,-'Part III-Sources of Funds'!$M$32)</f>
        <v>-51723.820304732188</v>
      </c>
      <c r="D52" s="1630">
        <f>IF('Part III-Sources of Funds'!$M$32="", 0,-'Part III-Sources of Funds'!$M$32)</f>
        <v>-51723.820304732188</v>
      </c>
      <c r="E52" s="1630">
        <f>IF('Part III-Sources of Funds'!$M$32="", 0,-'Part III-Sources of Funds'!$M$32)</f>
        <v>-51723.820304732188</v>
      </c>
      <c r="F52" s="1630">
        <f>IF('Part III-Sources of Funds'!$M$32="", 0,-'Part III-Sources of Funds'!$M$32)</f>
        <v>-51723.820304732188</v>
      </c>
      <c r="G52" s="1630">
        <f>IF('Part III-Sources of Funds'!$M$32="", 0,-'Part III-Sources of Funds'!$M$32)</f>
        <v>-51723.820304732188</v>
      </c>
      <c r="H52" s="1630">
        <f>IF('Part III-Sources of Funds'!$M$32="", 0,-'Part III-Sources of Funds'!$M$32)</f>
        <v>-51723.820304732188</v>
      </c>
      <c r="I52" s="1630">
        <f>IF('Part III-Sources of Funds'!$M$32="", 0,-'Part III-Sources of Funds'!$M$32)</f>
        <v>-51723.820304732188</v>
      </c>
      <c r="J52" s="1630">
        <f>IF('Part III-Sources of Funds'!$M$32="", 0,-'Part III-Sources of Funds'!$M$32)</f>
        <v>-51723.820304732188</v>
      </c>
      <c r="K52" s="1630">
        <f>IF('Part III-Sources of Funds'!$M$32="", 0,-'Part III-Sources of Funds'!$M$32)</f>
        <v>-51723.820304732188</v>
      </c>
      <c r="M52" s="1517"/>
      <c r="N52" s="1518"/>
    </row>
    <row r="53" spans="1:14" ht="13.15" customHeight="1">
      <c r="A53" s="24" t="str">
        <f>$A24</f>
        <v>Mortgage B</v>
      </c>
      <c r="B53" s="1631">
        <v>-85596</v>
      </c>
      <c r="C53" s="1631">
        <v>-83997</v>
      </c>
      <c r="D53" s="1631">
        <v>-82237</v>
      </c>
      <c r="E53" s="1631">
        <v>-80306</v>
      </c>
      <c r="F53" s="1631">
        <v>-78197</v>
      </c>
      <c r="G53" s="1631">
        <v>-75905</v>
      </c>
      <c r="H53" s="1631">
        <v>-73421</v>
      </c>
      <c r="I53" s="1631">
        <v>-70735</v>
      </c>
      <c r="J53" s="1631">
        <v>-67840</v>
      </c>
      <c r="K53" s="1631">
        <v>-64727</v>
      </c>
      <c r="M53" s="1517"/>
      <c r="N53" s="1518"/>
    </row>
    <row r="54" spans="1:14" ht="13.15" customHeight="1">
      <c r="A54" s="24" t="str">
        <f>$A25</f>
        <v>Mortgage C</v>
      </c>
      <c r="B54" s="1631">
        <f>IF('Part III-Sources of Funds'!$M$34="", 0,-'Part III-Sources of Funds'!$M$34)</f>
        <v>0</v>
      </c>
      <c r="C54" s="1631">
        <f>IF('Part III-Sources of Funds'!$M$34="", 0,-'Part III-Sources of Funds'!$M$34)</f>
        <v>0</v>
      </c>
      <c r="D54" s="1631">
        <f>IF('Part III-Sources of Funds'!$M$34="", 0,-'Part III-Sources of Funds'!$M$34)</f>
        <v>0</v>
      </c>
      <c r="E54" s="1631">
        <f>IF('Part III-Sources of Funds'!$M$34="", 0,-'Part III-Sources of Funds'!$M$34)</f>
        <v>0</v>
      </c>
      <c r="F54" s="1631">
        <f>IF('Part III-Sources of Funds'!$M$34="", 0,-'Part III-Sources of Funds'!$M$34)</f>
        <v>0</v>
      </c>
      <c r="G54" s="1631">
        <f>IF('Part III-Sources of Funds'!$M$34="", 0,-'Part III-Sources of Funds'!$M$34)</f>
        <v>0</v>
      </c>
      <c r="H54" s="1631">
        <f>IF('Part III-Sources of Funds'!$M$34="", 0,-'Part III-Sources of Funds'!$M$34)</f>
        <v>0</v>
      </c>
      <c r="I54" s="1631">
        <f>IF('Part III-Sources of Funds'!$M$34="", 0,-'Part III-Sources of Funds'!$M$34)</f>
        <v>0</v>
      </c>
      <c r="J54" s="1631">
        <f>IF('Part III-Sources of Funds'!$M$34="", 0,-'Part III-Sources of Funds'!$M$34)</f>
        <v>0</v>
      </c>
      <c r="K54" s="1631">
        <f>IF('Part III-Sources of Funds'!$M$34="", 0,-'Part III-Sources of Funds'!$M$34)</f>
        <v>0</v>
      </c>
      <c r="M54" s="1517"/>
      <c r="N54" s="1518"/>
    </row>
    <row r="55" spans="1:14" ht="13.15" customHeight="1">
      <c r="A55" s="24" t="str">
        <f>$A26</f>
        <v>D/S Other Source</v>
      </c>
      <c r="B55" s="1631">
        <f>IF('Part III-Sources of Funds'!$M$35="", 0,-'Part III-Sources of Funds'!$M$35)</f>
        <v>0</v>
      </c>
      <c r="C55" s="1631">
        <f>IF('Part III-Sources of Funds'!$M$35="", 0,-'Part III-Sources of Funds'!$M$35)</f>
        <v>0</v>
      </c>
      <c r="D55" s="1631">
        <f>IF('Part III-Sources of Funds'!$M$35="", 0,-'Part III-Sources of Funds'!$M$35)</f>
        <v>0</v>
      </c>
      <c r="E55" s="1631">
        <f>IF('Part III-Sources of Funds'!$M$35="", 0,-'Part III-Sources of Funds'!$M$35)</f>
        <v>0</v>
      </c>
      <c r="F55" s="1631">
        <f>IF('Part III-Sources of Funds'!$M$35="", 0,-'Part III-Sources of Funds'!$M$35)</f>
        <v>0</v>
      </c>
      <c r="G55" s="1631">
        <f>IF('Part III-Sources of Funds'!$M$35="", 0,-'Part III-Sources of Funds'!$M$35)</f>
        <v>0</v>
      </c>
      <c r="H55" s="1631">
        <f>IF('Part III-Sources of Funds'!$M$35="", 0,-'Part III-Sources of Funds'!$M$35)</f>
        <v>0</v>
      </c>
      <c r="I55" s="1631">
        <f>IF('Part III-Sources of Funds'!$M$35="", 0,-'Part III-Sources of Funds'!$M$35)</f>
        <v>0</v>
      </c>
      <c r="J55" s="1631">
        <f>IF('Part III-Sources of Funds'!$M$35="", 0,-'Part III-Sources of Funds'!$M$35)</f>
        <v>0</v>
      </c>
      <c r="K55" s="1631">
        <f>IF('Part III-Sources of Funds'!$M$35="", 0,-'Part III-Sources of Funds'!$M$35)</f>
        <v>0</v>
      </c>
      <c r="M55" s="1517"/>
      <c r="N55" s="1518"/>
    </row>
    <row r="56" spans="1:14" ht="13.15" customHeight="1">
      <c r="A56" s="24" t="s">
        <v>1150</v>
      </c>
      <c r="B56" s="1632"/>
      <c r="C56" s="1632"/>
      <c r="D56" s="1632"/>
      <c r="E56" s="1632"/>
      <c r="F56" s="1632"/>
      <c r="G56" s="1632"/>
      <c r="H56" s="1632"/>
      <c r="I56" s="1632"/>
      <c r="J56" s="1632"/>
      <c r="K56" s="1632"/>
      <c r="M56" s="1517"/>
      <c r="N56" s="1518"/>
    </row>
    <row r="57" spans="1:14" ht="13.15" customHeight="1">
      <c r="A57" s="24" t="s">
        <v>1578</v>
      </c>
      <c r="B57" s="1631">
        <v>-10081</v>
      </c>
      <c r="C57" s="1631">
        <v>-10383</v>
      </c>
      <c r="D57" s="1631">
        <v>-10694</v>
      </c>
      <c r="E57" s="1631">
        <v>-11015</v>
      </c>
      <c r="F57" s="1631">
        <v>-11345</v>
      </c>
      <c r="G57" s="1631"/>
      <c r="H57" s="1631"/>
      <c r="I57" s="1631"/>
      <c r="J57" s="1631"/>
      <c r="K57" s="1631"/>
      <c r="M57" s="1517"/>
      <c r="N57" s="1518"/>
    </row>
    <row r="58" spans="1:14" ht="13.15" customHeight="1">
      <c r="A58" s="24" t="s">
        <v>1624</v>
      </c>
      <c r="B58" s="1633">
        <f>IF('Part III-Sources of Funds'!$M$37="", 0,-'Part III-Sources of Funds'!$M$37)</f>
        <v>0</v>
      </c>
      <c r="C58" s="1633">
        <f>IF('Part III-Sources of Funds'!$M$37="", 0,-'Part III-Sources of Funds'!$M$37)</f>
        <v>0</v>
      </c>
      <c r="D58" s="1633">
        <f>IF('Part III-Sources of Funds'!$M$37="", 0,-'Part III-Sources of Funds'!$M$37)</f>
        <v>0</v>
      </c>
      <c r="E58" s="1633">
        <f>IF('Part III-Sources of Funds'!$M$37="", 0,-'Part III-Sources of Funds'!$M$37)</f>
        <v>0</v>
      </c>
      <c r="F58" s="1633">
        <f>IF('Part III-Sources of Funds'!$M$37="", 0,-'Part III-Sources of Funds'!$M$37)</f>
        <v>0</v>
      </c>
      <c r="G58" s="1633">
        <f>IF('Part III-Sources of Funds'!$M$37="", 0,-'Part III-Sources of Funds'!$M$37)</f>
        <v>0</v>
      </c>
      <c r="H58" s="1633">
        <f>IF('Part III-Sources of Funds'!$M$37="", 0,-'Part III-Sources of Funds'!$M$37)</f>
        <v>0</v>
      </c>
      <c r="I58" s="1633">
        <f>IF('Part III-Sources of Funds'!$M$37="", 0,-'Part III-Sources of Funds'!$M$37)</f>
        <v>0</v>
      </c>
      <c r="J58" s="1633">
        <f>IF('Part III-Sources of Funds'!$M$37="", 0,-'Part III-Sources of Funds'!$M$37)</f>
        <v>0</v>
      </c>
      <c r="K58" s="1631">
        <f>IF('Part III-Sources of Funds'!$M$37="", 0,-'Part III-Sources of Funds'!$M$37)</f>
        <v>0</v>
      </c>
      <c r="M58" s="1517"/>
      <c r="N58" s="1518"/>
    </row>
    <row r="59" spans="1:14" ht="13.15" customHeight="1">
      <c r="A59" s="24" t="s">
        <v>1579</v>
      </c>
      <c r="B59" s="25">
        <f t="shared" ref="B59:K59" si="21">SUM(B51:B58)</f>
        <v>17383.284003987152</v>
      </c>
      <c r="C59" s="25">
        <f t="shared" si="21"/>
        <v>16761.589133894973</v>
      </c>
      <c r="D59" s="25">
        <f t="shared" si="21"/>
        <v>16097.705257713125</v>
      </c>
      <c r="E59" s="25">
        <f t="shared" si="21"/>
        <v>15390.409542058827</v>
      </c>
      <c r="F59" s="25">
        <f t="shared" si="21"/>
        <v>14639.059525284334</v>
      </c>
      <c r="G59" s="25">
        <f t="shared" si="21"/>
        <v>25525.57946976315</v>
      </c>
      <c r="H59" s="25">
        <f t="shared" si="21"/>
        <v>25028.446283568133</v>
      </c>
      <c r="I59" s="25">
        <f t="shared" si="21"/>
        <v>24491.674998198258</v>
      </c>
      <c r="J59" s="25">
        <f t="shared" si="21"/>
        <v>23912.803788607067</v>
      </c>
      <c r="K59" s="23">
        <f t="shared" si="21"/>
        <v>23289.878521354491</v>
      </c>
      <c r="M59" s="1517"/>
      <c r="N59" s="1518"/>
    </row>
    <row r="60" spans="1:14" ht="13.15" customHeight="1">
      <c r="A60" s="24" t="str">
        <f>$A31</f>
        <v>DCR Mortgage A</v>
      </c>
      <c r="B60" s="27">
        <f>IF(B52=0,"",-B51/B52)</f>
        <v>3.1858455801966996</v>
      </c>
      <c r="C60" s="27">
        <f t="shared" ref="C60:K60" si="22">IF(C52=0,"",-C51/C52)</f>
        <v>3.1487505849162245</v>
      </c>
      <c r="D60" s="27">
        <f t="shared" si="22"/>
        <v>3.1079012457967679</v>
      </c>
      <c r="E60" s="27">
        <f t="shared" si="22"/>
        <v>3.0630999201792495</v>
      </c>
      <c r="F60" s="27">
        <f t="shared" si="22"/>
        <v>3.0141795194457601</v>
      </c>
      <c r="G60" s="27">
        <f t="shared" si="22"/>
        <v>2.9610032451621389</v>
      </c>
      <c r="H60" s="27">
        <f t="shared" si="22"/>
        <v>2.9033676496351344</v>
      </c>
      <c r="I60" s="27">
        <f t="shared" si="22"/>
        <v>2.8410603555028979</v>
      </c>
      <c r="J60" s="27">
        <f t="shared" si="22"/>
        <v>2.7738984330245353</v>
      </c>
      <c r="K60" s="28">
        <f t="shared" si="22"/>
        <v>2.7016701009863704</v>
      </c>
      <c r="M60" s="1517"/>
      <c r="N60" s="1518"/>
    </row>
    <row r="61" spans="1:14" ht="13.15" customHeight="1">
      <c r="A61" s="24" t="str">
        <f>$A32</f>
        <v>DCR Mortgage B</v>
      </c>
      <c r="B61" s="27">
        <f>IF(OR(B53=0,AND(B53=0,B52=0)),"",-B51/(B52+B53))</f>
        <v>1.2000023299115889</v>
      </c>
      <c r="C61" s="27">
        <f t="shared" ref="C61:K61" si="23">IF(OR(C53=0,AND(C53=0,C52=0)),"",-C51/(C52+C53))</f>
        <v>1.2000031319656599</v>
      </c>
      <c r="D61" s="27">
        <f t="shared" si="23"/>
        <v>1.1999965750938799</v>
      </c>
      <c r="E61" s="27">
        <f t="shared" si="23"/>
        <v>1.1999958000481532</v>
      </c>
      <c r="F61" s="27">
        <f t="shared" si="23"/>
        <v>1.1999991953894544</v>
      </c>
      <c r="G61" s="27">
        <f t="shared" si="23"/>
        <v>1.1999985536873032</v>
      </c>
      <c r="H61" s="27">
        <f t="shared" si="23"/>
        <v>1.1999958625744394</v>
      </c>
      <c r="I61" s="27">
        <f t="shared" si="23"/>
        <v>1.1999992727126723</v>
      </c>
      <c r="J61" s="27">
        <f t="shared" si="23"/>
        <v>1.2000003322715895</v>
      </c>
      <c r="K61" s="28">
        <f t="shared" si="23"/>
        <v>1.1999975479812748</v>
      </c>
      <c r="M61" s="1517"/>
      <c r="N61" s="1518"/>
    </row>
    <row r="62" spans="1:14" ht="13.15" customHeight="1">
      <c r="A62" s="24" t="str">
        <f>$A33</f>
        <v>DCR Mortgage C</v>
      </c>
      <c r="B62" s="27" t="str">
        <f>IF(OR(B54=0,AND(B54=0,B53=0,B52=0)),"",-B51/(B52+B53+B54))</f>
        <v/>
      </c>
      <c r="C62" s="27" t="str">
        <f t="shared" ref="C62:K62" si="24">IF(OR(C54=0,AND(C54=0,C53=0,C52=0)),"",-C51/(C52+C53+C54))</f>
        <v/>
      </c>
      <c r="D62" s="27" t="str">
        <f t="shared" si="24"/>
        <v/>
      </c>
      <c r="E62" s="27" t="str">
        <f t="shared" si="24"/>
        <v/>
      </c>
      <c r="F62" s="27" t="str">
        <f t="shared" si="24"/>
        <v/>
      </c>
      <c r="G62" s="27" t="str">
        <f t="shared" si="24"/>
        <v/>
      </c>
      <c r="H62" s="27" t="str">
        <f t="shared" si="24"/>
        <v/>
      </c>
      <c r="I62" s="27" t="str">
        <f t="shared" si="24"/>
        <v/>
      </c>
      <c r="J62" s="27" t="str">
        <f t="shared" si="24"/>
        <v/>
      </c>
      <c r="K62" s="28" t="str">
        <f t="shared" si="24"/>
        <v/>
      </c>
      <c r="M62" s="1517"/>
      <c r="N62" s="1518"/>
    </row>
    <row r="63" spans="1:14" ht="13.15" customHeight="1">
      <c r="A63" s="24" t="str">
        <f>$A34</f>
        <v>DCR Other Source</v>
      </c>
      <c r="B63" s="27" t="str">
        <f>IF(OR(B55=0,AND(B52=0,B53=0,B54=0,B55=0)),"",-B51/(B52+B53+B54+B55))</f>
        <v/>
      </c>
      <c r="C63" s="27" t="str">
        <f t="shared" ref="C63:K63" si="25">IF(OR(C55=0,AND(C52=0,C53=0,C54=0,C55=0)),"",-C51/(C52+C53+C54+C55))</f>
        <v/>
      </c>
      <c r="D63" s="27" t="str">
        <f t="shared" si="25"/>
        <v/>
      </c>
      <c r="E63" s="27" t="str">
        <f t="shared" si="25"/>
        <v/>
      </c>
      <c r="F63" s="27" t="str">
        <f t="shared" si="25"/>
        <v/>
      </c>
      <c r="G63" s="27" t="str">
        <f t="shared" si="25"/>
        <v/>
      </c>
      <c r="H63" s="27" t="str">
        <f t="shared" si="25"/>
        <v/>
      </c>
      <c r="I63" s="27" t="str">
        <f t="shared" si="25"/>
        <v/>
      </c>
      <c r="J63" s="27" t="str">
        <f t="shared" si="25"/>
        <v/>
      </c>
      <c r="K63" s="28" t="str">
        <f t="shared" si="25"/>
        <v/>
      </c>
      <c r="M63" s="1517"/>
      <c r="N63" s="1518"/>
    </row>
    <row r="64" spans="1:14" ht="13.15" customHeight="1">
      <c r="A64" s="24" t="s">
        <v>1158</v>
      </c>
      <c r="B64" s="341">
        <f>IF(OR(B49="Choose mgt fee",B49="Choose One!"),"",(B43+B44+B45+B46+B47) / -(B48+B49+B50))</f>
        <v>1.237925942376882</v>
      </c>
      <c r="C64" s="341">
        <f t="shared" ref="C64:K64" si="26">IF(OR(C49="Choose mgt fee",C49="Choose One!"),"",(C43+C44+C45+C46+C47) / -(C48+C49+C50))</f>
        <v>1.2284466981315334</v>
      </c>
      <c r="D64" s="341">
        <f t="shared" si="26"/>
        <v>1.2190489928839217</v>
      </c>
      <c r="E64" s="341">
        <f t="shared" si="26"/>
        <v>1.2097295209374146</v>
      </c>
      <c r="F64" s="341">
        <f t="shared" si="26"/>
        <v>1.2004885734155883</v>
      </c>
      <c r="G64" s="341">
        <f t="shared" si="26"/>
        <v>1.1913284135692506</v>
      </c>
      <c r="H64" s="341">
        <f t="shared" si="26"/>
        <v>1.1822469730221448</v>
      </c>
      <c r="I64" s="341">
        <f t="shared" si="26"/>
        <v>1.173242237694375</v>
      </c>
      <c r="J64" s="341">
        <f t="shared" si="26"/>
        <v>1.1643149141800679</v>
      </c>
      <c r="K64" s="342">
        <f t="shared" si="26"/>
        <v>1.1554639204881463</v>
      </c>
      <c r="M64" s="1517"/>
      <c r="N64" s="1518"/>
    </row>
    <row r="65" spans="1:14" ht="13.15" customHeight="1">
      <c r="A65" s="564" t="s">
        <v>3417</v>
      </c>
      <c r="B65" s="1634">
        <f>IF('Part III-Sources of Funds'!$H$32="","",-FV('Part III-Sources of Funds'!$J$32/12,12,B52/12,K36))</f>
        <v>563546.41010855115</v>
      </c>
      <c r="C65" s="1634">
        <f>IF('Part III-Sources of Funds'!$H$32="","",-FV('Part III-Sources of Funds'!$J$32/12,12,C52/12,B65))</f>
        <v>547995.2332143723</v>
      </c>
      <c r="D65" s="1634">
        <f>IF('Part III-Sources of Funds'!$H$32="","",-FV('Part III-Sources of Funds'!$J$32/12,12,D52/12,C65))</f>
        <v>531402.5652027711</v>
      </c>
      <c r="E65" s="1634">
        <f>IF('Part III-Sources of Funds'!$H$32="","",-FV('Part III-Sources of Funds'!$J$32/12,12,E52/12,D65))</f>
        <v>513698.65548476961</v>
      </c>
      <c r="F65" s="1634">
        <f>IF('Part III-Sources of Funds'!$H$32="","",-FV('Part III-Sources of Funds'!$J$32/12,12,F52/12,E65))</f>
        <v>494809.08214526775</v>
      </c>
      <c r="G65" s="1634">
        <f>IF('Part III-Sources of Funds'!$H$32="","",-FV('Part III-Sources of Funds'!$J$32/12,12,G52/12,F65))</f>
        <v>474654.43909568153</v>
      </c>
      <c r="H65" s="1634">
        <f>IF('Part III-Sources of Funds'!$H$32="","",-FV('Part III-Sources of Funds'!$J$32/12,12,H52/12,G65))</f>
        <v>453150.00227461441</v>
      </c>
      <c r="I65" s="1634">
        <f>IF('Part III-Sources of Funds'!$H$32="","",-FV('Part III-Sources of Funds'!$J$32/12,12,I52/12,H65))</f>
        <v>430205.37349336874</v>
      </c>
      <c r="J65" s="1634">
        <f>IF('Part III-Sources of Funds'!$H$32="","",-FV('Part III-Sources of Funds'!$J$32/12,12,J52/12,I65))</f>
        <v>405724.10042913223</v>
      </c>
      <c r="K65" s="1634">
        <f>IF('Part III-Sources of Funds'!$H$32="","",-FV('Part III-Sources of Funds'!$J$32/12,12,K52/12,J65))</f>
        <v>379603.27116840379</v>
      </c>
      <c r="M65" s="1517"/>
      <c r="N65" s="1518"/>
    </row>
    <row r="66" spans="1:14" ht="13.15" customHeight="1">
      <c r="A66" s="564" t="s">
        <v>3418</v>
      </c>
      <c r="B66" s="1631">
        <f>IF('Part III-Sources of Funds'!$H$33="","",-FV('Part III-Sources of Funds'!$J$33/12,12,B53/12,K37))</f>
        <v>2502217.4377213628</v>
      </c>
      <c r="C66" s="1631">
        <f>IF('Part III-Sources of Funds'!$H$33="","",-FV('Part III-Sources of Funds'!$J$33/12,12,C53/12,B66))</f>
        <v>2483050.7592362901</v>
      </c>
      <c r="D66" s="1631">
        <f>IF('Part III-Sources of Funds'!$H$33="","",-FV('Part III-Sources of Funds'!$J$33/12,12,D53/12,C66))</f>
        <v>2465160.8910843288</v>
      </c>
      <c r="E66" s="1631">
        <f>IF('Part III-Sources of Funds'!$H$33="","",-FV('Part III-Sources of Funds'!$J$33/12,12,E53/12,D66))</f>
        <v>2448754.4813426957</v>
      </c>
      <c r="F66" s="1631">
        <f>IF('Part III-Sources of Funds'!$H$33="","",-FV('Part III-Sources of Funds'!$J$33/12,12,F53/12,E66))</f>
        <v>2434050.6994518214</v>
      </c>
      <c r="G66" s="1631">
        <f>IF('Part III-Sources of Funds'!$H$33="","",-FV('Part III-Sources of Funds'!$J$33/12,12,G53/12,F66))</f>
        <v>2421279.5416721795</v>
      </c>
      <c r="H66" s="1631">
        <f>IF('Part III-Sources of Funds'!$H$33="","",-FV('Part III-Sources of Funds'!$J$33/12,12,H53/12,G66))</f>
        <v>2410686.1639730739</v>
      </c>
      <c r="I66" s="1631">
        <f>IF('Part III-Sources of Funds'!$H$33="","",-FV('Part III-Sources of Funds'!$J$33/12,12,I53/12,H66))</f>
        <v>2402532.2929192921</v>
      </c>
      <c r="J66" s="1631">
        <f>IF('Part III-Sources of Funds'!$H$33="","",-FV('Part III-Sources of Funds'!$J$33/12,12,J53/12,I66))</f>
        <v>2397093.6256685136</v>
      </c>
      <c r="K66" s="1631">
        <f>IF('Part III-Sources of Funds'!$H$33="","",-FV('Part III-Sources of Funds'!$J$33/12,12,K53/12,J66))</f>
        <v>2394662.2215730017</v>
      </c>
      <c r="M66" s="1517"/>
      <c r="N66" s="1518"/>
    </row>
    <row r="67" spans="1:14" ht="13.15" customHeight="1">
      <c r="A67" s="564" t="s">
        <v>3419</v>
      </c>
      <c r="B67" s="1631" t="str">
        <f>IF('Part III-Sources of Funds'!$H$34="","",-FV('Part III-Sources of Funds'!$J$34/12,12,B54/12,K38))</f>
        <v/>
      </c>
      <c r="C67" s="1631" t="str">
        <f>IF('Part III-Sources of Funds'!$H$34="","",-FV('Part III-Sources of Funds'!$J$34/12,12,C54/12,B67))</f>
        <v/>
      </c>
      <c r="D67" s="1631" t="str">
        <f>IF('Part III-Sources of Funds'!$H$34="","",-FV('Part III-Sources of Funds'!$J$34/12,12,D54/12,C67))</f>
        <v/>
      </c>
      <c r="E67" s="1631" t="str">
        <f>IF('Part III-Sources of Funds'!$H$34="","",-FV('Part III-Sources of Funds'!$J$34/12,12,E54/12,D67))</f>
        <v/>
      </c>
      <c r="F67" s="1631" t="str">
        <f>IF('Part III-Sources of Funds'!$H$34="","",-FV('Part III-Sources of Funds'!$J$34/12,12,F54/12,E67))</f>
        <v/>
      </c>
      <c r="G67" s="1631" t="str">
        <f>IF('Part III-Sources of Funds'!$H$34="","",-FV('Part III-Sources of Funds'!$J$34/12,12,G54/12,F67))</f>
        <v/>
      </c>
      <c r="H67" s="1631" t="str">
        <f>IF('Part III-Sources of Funds'!$H$34="","",-FV('Part III-Sources of Funds'!$J$34/12,12,H54/12,G67))</f>
        <v/>
      </c>
      <c r="I67" s="1631" t="str">
        <f>IF('Part III-Sources of Funds'!$H$34="","",-FV('Part III-Sources of Funds'!$J$34/12,12,I54/12,H67))</f>
        <v/>
      </c>
      <c r="J67" s="1631" t="str">
        <f>IF('Part III-Sources of Funds'!$H$34="","",-FV('Part III-Sources of Funds'!$J$34/12,12,J54/12,I67))</f>
        <v/>
      </c>
      <c r="K67" s="1631" t="str">
        <f>IF('Part III-Sources of Funds'!$H$34="","",-FV('Part III-Sources of Funds'!$J$34/12,12,K54/12,J67))</f>
        <v/>
      </c>
      <c r="M67" s="1517"/>
      <c r="N67" s="1518"/>
    </row>
    <row r="68" spans="1:14" ht="13.15" customHeight="1">
      <c r="A68" s="24" t="s">
        <v>1176</v>
      </c>
      <c r="B68" s="1631" t="str">
        <f>IF('Part III-Sources of Funds'!$H$35="","",-FV('Part III-Sources of Funds'!$J$35/12,12,B55/12,K39))</f>
        <v/>
      </c>
      <c r="C68" s="1631" t="str">
        <f>IF('Part III-Sources of Funds'!$H$35="","",-FV('Part III-Sources of Funds'!$J$35/12,12,C55/12,B68))</f>
        <v/>
      </c>
      <c r="D68" s="1631" t="str">
        <f>IF('Part III-Sources of Funds'!$H$35="","",-FV('Part III-Sources of Funds'!$J$35/12,12,D55/12,C68))</f>
        <v/>
      </c>
      <c r="E68" s="1631" t="str">
        <f>IF('Part III-Sources of Funds'!$H$35="","",-FV('Part III-Sources of Funds'!$J$35/12,12,E55/12,D68))</f>
        <v/>
      </c>
      <c r="F68" s="1631" t="str">
        <f>IF('Part III-Sources of Funds'!$H$35="","",-FV('Part III-Sources of Funds'!$J$35/12,12,F55/12,E68))</f>
        <v/>
      </c>
      <c r="G68" s="1631" t="str">
        <f>IF('Part III-Sources of Funds'!$H$35="","",-FV('Part III-Sources of Funds'!$J$35/12,12,G55/12,F68))</f>
        <v/>
      </c>
      <c r="H68" s="1631" t="str">
        <f>IF('Part III-Sources of Funds'!$H$35="","",-FV('Part III-Sources of Funds'!$J$35/12,12,H55/12,G68))</f>
        <v/>
      </c>
      <c r="I68" s="1631" t="str">
        <f>IF('Part III-Sources of Funds'!$H$35="","",-FV('Part III-Sources of Funds'!$J$35/12,12,I55/12,H68))</f>
        <v/>
      </c>
      <c r="J68" s="1631" t="str">
        <f>IF('Part III-Sources of Funds'!$H$35="","",-FV('Part III-Sources of Funds'!$J$35/12,12,J55/12,I68))</f>
        <v/>
      </c>
      <c r="K68" s="1631" t="str">
        <f>IF('Part III-Sources of Funds'!$H$35="","",-FV('Part III-Sources of Funds'!$J$35/12,12,K55/12,J68))</f>
        <v/>
      </c>
      <c r="M68" s="1517"/>
      <c r="N68" s="1518"/>
    </row>
    <row r="69" spans="1:14" ht="13.15" customHeight="1">
      <c r="A69" s="29" t="s">
        <v>1659</v>
      </c>
      <c r="B69" s="1633" t="str">
        <f>IF('Part III-Sources of Funds'!$H$37="","",-FV('Part III-Sources of Funds'!$J$37/12,12,B58/12,K40))</f>
        <v/>
      </c>
      <c r="C69" s="1633" t="str">
        <f>IF('Part III-Sources of Funds'!$H$37="","",-FV('Part III-Sources of Funds'!$J$37/12,12,C58/12,B69))</f>
        <v/>
      </c>
      <c r="D69" s="1633" t="str">
        <f>IF('Part III-Sources of Funds'!$H$37="","",-FV('Part III-Sources of Funds'!$J$37/12,12,D58/12,C69))</f>
        <v/>
      </c>
      <c r="E69" s="1633" t="str">
        <f>IF('Part III-Sources of Funds'!$H$37="","",-FV('Part III-Sources of Funds'!$J$37/12,12,E58/12,D69))</f>
        <v/>
      </c>
      <c r="F69" s="1633" t="str">
        <f>IF('Part III-Sources of Funds'!$H$37="","",-FV('Part III-Sources of Funds'!$J$37/12,12,F58/12,E69))</f>
        <v/>
      </c>
      <c r="G69" s="1633" t="str">
        <f>IF('Part III-Sources of Funds'!$H$37="","",-FV('Part III-Sources of Funds'!$J$37/12,12,G58/12,F69))</f>
        <v/>
      </c>
      <c r="H69" s="1633" t="str">
        <f>IF('Part III-Sources of Funds'!$H$37="","",-FV('Part III-Sources of Funds'!$J$37/12,12,H58/12,G69))</f>
        <v/>
      </c>
      <c r="I69" s="1633" t="str">
        <f>IF('Part III-Sources of Funds'!$H$37="","",-FV('Part III-Sources of Funds'!$J$37/12,12,I58/12,H69))</f>
        <v/>
      </c>
      <c r="J69" s="1633" t="str">
        <f>IF('Part III-Sources of Funds'!$H$37="","",-FV('Part III-Sources of Funds'!$J$37/12,12,J58/12,I69))</f>
        <v/>
      </c>
      <c r="K69" s="1633" t="str">
        <f>IF('Part III-Sources of Funds'!$H$37="","",-FV('Part III-Sources of Funds'!$J$37/12,12,K58/12,J69))</f>
        <v/>
      </c>
      <c r="M69" s="1520"/>
      <c r="N69" s="1521"/>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27">B71+1</f>
        <v>22</v>
      </c>
      <c r="D71" s="18">
        <f t="shared" si="27"/>
        <v>23</v>
      </c>
      <c r="E71" s="18">
        <f t="shared" si="27"/>
        <v>24</v>
      </c>
      <c r="F71" s="18">
        <f t="shared" si="27"/>
        <v>25</v>
      </c>
      <c r="G71" s="18">
        <f t="shared" si="27"/>
        <v>26</v>
      </c>
      <c r="H71" s="18">
        <f t="shared" si="27"/>
        <v>27</v>
      </c>
      <c r="I71" s="18">
        <f t="shared" si="27"/>
        <v>28</v>
      </c>
      <c r="J71" s="18">
        <f t="shared" si="27"/>
        <v>29</v>
      </c>
      <c r="K71" s="18">
        <f t="shared" si="27"/>
        <v>30</v>
      </c>
      <c r="M71" s="893" t="s">
        <v>3423</v>
      </c>
      <c r="N71" s="893"/>
    </row>
    <row r="72" spans="1:14" ht="13.15" customHeight="1">
      <c r="A72" s="21" t="s">
        <v>3167</v>
      </c>
      <c r="B72" s="22">
        <f t="shared" ref="B72:K72" si="28">$B$14*(1+$B$5)^(B71-1)</f>
        <v>850431.46987674781</v>
      </c>
      <c r="C72" s="22">
        <f t="shared" si="28"/>
        <v>867440.09927428269</v>
      </c>
      <c r="D72" s="22">
        <f t="shared" si="28"/>
        <v>884788.9012597684</v>
      </c>
      <c r="E72" s="22">
        <f t="shared" si="28"/>
        <v>902484.67928496364</v>
      </c>
      <c r="F72" s="22">
        <f t="shared" si="28"/>
        <v>920534.37287066295</v>
      </c>
      <c r="G72" s="22">
        <f t="shared" si="28"/>
        <v>938945.06032807613</v>
      </c>
      <c r="H72" s="22">
        <f t="shared" si="28"/>
        <v>957723.96153463784</v>
      </c>
      <c r="I72" s="22">
        <f t="shared" si="28"/>
        <v>976878.44076533034</v>
      </c>
      <c r="J72" s="22">
        <f t="shared" si="28"/>
        <v>996416.00958063721</v>
      </c>
      <c r="K72" s="23">
        <f t="shared" si="28"/>
        <v>1016344.3297722498</v>
      </c>
      <c r="M72" s="1515"/>
      <c r="N72" s="1516"/>
    </row>
    <row r="73" spans="1:14" ht="13.15" customHeight="1">
      <c r="A73" s="24" t="s">
        <v>1418</v>
      </c>
      <c r="B73" s="25">
        <f t="shared" ref="B73:K73" si="29">$B$15*(1+$B$5)^(B71-1)</f>
        <v>17008.629397534954</v>
      </c>
      <c r="C73" s="25">
        <f t="shared" si="29"/>
        <v>17348.801985485654</v>
      </c>
      <c r="D73" s="25">
        <f t="shared" si="29"/>
        <v>17695.778025195366</v>
      </c>
      <c r="E73" s="25">
        <f t="shared" si="29"/>
        <v>18049.693585699271</v>
      </c>
      <c r="F73" s="25">
        <f t="shared" si="29"/>
        <v>18410.687457413256</v>
      </c>
      <c r="G73" s="25">
        <f t="shared" si="29"/>
        <v>18778.901206561524</v>
      </c>
      <c r="H73" s="25">
        <f t="shared" si="29"/>
        <v>19154.479230692756</v>
      </c>
      <c r="I73" s="25">
        <f t="shared" si="29"/>
        <v>19537.568815306608</v>
      </c>
      <c r="J73" s="25">
        <f t="shared" si="29"/>
        <v>19928.320191612744</v>
      </c>
      <c r="K73" s="26">
        <f t="shared" si="29"/>
        <v>20326.886595444994</v>
      </c>
      <c r="M73" s="1517"/>
      <c r="N73" s="1518"/>
    </row>
    <row r="74" spans="1:14" ht="13.15" customHeight="1">
      <c r="A74" s="24" t="s">
        <v>3168</v>
      </c>
      <c r="B74" s="25">
        <f t="shared" ref="B74:K74" si="30">-(B72+B73)*$B$8</f>
        <v>-60720.806949199803</v>
      </c>
      <c r="C74" s="25">
        <f t="shared" si="30"/>
        <v>-61935.22308818379</v>
      </c>
      <c r="D74" s="25">
        <f t="shared" si="30"/>
        <v>-63173.927549947468</v>
      </c>
      <c r="E74" s="25">
        <f t="shared" si="30"/>
        <v>-64437.406100946413</v>
      </c>
      <c r="F74" s="25">
        <f t="shared" si="30"/>
        <v>-65726.154222965342</v>
      </c>
      <c r="G74" s="25">
        <f t="shared" si="30"/>
        <v>-67040.677307424645</v>
      </c>
      <c r="H74" s="25">
        <f t="shared" si="30"/>
        <v>-68381.490853573152</v>
      </c>
      <c r="I74" s="25">
        <f t="shared" si="30"/>
        <v>-69749.120670644596</v>
      </c>
      <c r="J74" s="25">
        <f t="shared" si="30"/>
        <v>-71144.103084057497</v>
      </c>
      <c r="K74" s="26">
        <f t="shared" si="30"/>
        <v>-72566.985145738639</v>
      </c>
      <c r="M74" s="1517"/>
      <c r="N74" s="1518"/>
    </row>
    <row r="75" spans="1:14" ht="13.15" customHeight="1">
      <c r="A75" s="24" t="s">
        <v>56</v>
      </c>
      <c r="B75" s="25">
        <f>'Part VI-Revenues &amp; Expenses'!G131</f>
        <v>83184</v>
      </c>
      <c r="C75" s="25">
        <f>'Part VI-Revenues &amp; Expenses'!H131</f>
        <v>84848</v>
      </c>
      <c r="D75" s="25">
        <f>'Part VI-Revenues &amp; Expenses'!I131</f>
        <v>86545</v>
      </c>
      <c r="E75" s="25">
        <f>'Part VI-Revenues &amp; Expenses'!J131</f>
        <v>88276</v>
      </c>
      <c r="F75" s="25">
        <f>'Part VI-Revenues &amp; Expenses'!K131</f>
        <v>90042</v>
      </c>
      <c r="G75" s="25">
        <f>'Part VI-Revenues &amp; Expenses'!L131</f>
        <v>91843</v>
      </c>
      <c r="H75" s="25">
        <f>'Part VI-Revenues &amp; Expenses'!M131</f>
        <v>93680</v>
      </c>
      <c r="I75" s="25">
        <f>'Part VI-Revenues &amp; Expenses'!N131</f>
        <v>95554</v>
      </c>
      <c r="J75" s="25">
        <f>'Part VI-Revenues &amp; Expenses'!O131</f>
        <v>97465</v>
      </c>
      <c r="K75" s="26">
        <f>'Part VI-Revenues &amp; Expenses'!P131</f>
        <v>99414</v>
      </c>
      <c r="M75" s="1517"/>
      <c r="N75" s="1518"/>
    </row>
    <row r="76" spans="1:14" ht="13.15" customHeight="1">
      <c r="A76" s="24" t="s">
        <v>57</v>
      </c>
      <c r="B76" s="25">
        <f>'Part VI-Revenues &amp; Expenses'!G136</f>
        <v>171133</v>
      </c>
      <c r="C76" s="25">
        <f>'Part VI-Revenues &amp; Expenses'!H136</f>
        <v>176267</v>
      </c>
      <c r="D76" s="25">
        <f>'Part VI-Revenues &amp; Expenses'!I136</f>
        <v>181555</v>
      </c>
      <c r="E76" s="25">
        <f>'Part VI-Revenues &amp; Expenses'!J136</f>
        <v>187002</v>
      </c>
      <c r="F76" s="25">
        <f>'Part VI-Revenues &amp; Expenses'!K136</f>
        <v>192612</v>
      </c>
      <c r="G76" s="25">
        <f>'Part VI-Revenues &amp; Expenses'!L136</f>
        <v>198390</v>
      </c>
      <c r="H76" s="25">
        <f>'Part VI-Revenues &amp; Expenses'!M136</f>
        <v>204342</v>
      </c>
      <c r="I76" s="25">
        <f>'Part VI-Revenues &amp; Expenses'!N136</f>
        <v>210472</v>
      </c>
      <c r="J76" s="25">
        <f>'Part VI-Revenues &amp; Expenses'!O136</f>
        <v>216786</v>
      </c>
      <c r="K76" s="26">
        <f>'Part VI-Revenues &amp; Expenses'!P136</f>
        <v>223290</v>
      </c>
      <c r="M76" s="1517"/>
      <c r="N76" s="1518"/>
    </row>
    <row r="77" spans="1:14" ht="13.15" customHeight="1">
      <c r="A77" s="24" t="s">
        <v>794</v>
      </c>
      <c r="B77" s="25">
        <f t="shared" ref="B77:K77" si="31">$B$19*(1+$B$6)^(B71-1)</f>
        <v>-826758.25433733198</v>
      </c>
      <c r="C77" s="25">
        <f t="shared" si="31"/>
        <v>-851561.00196745177</v>
      </c>
      <c r="D77" s="25">
        <f t="shared" si="31"/>
        <v>-877107.83202647546</v>
      </c>
      <c r="E77" s="25">
        <f t="shared" si="31"/>
        <v>-903421.06698726979</v>
      </c>
      <c r="F77" s="25">
        <f t="shared" si="31"/>
        <v>-930523.69899688766</v>
      </c>
      <c r="G77" s="25">
        <f t="shared" si="31"/>
        <v>-958439.40996679431</v>
      </c>
      <c r="H77" s="25">
        <f t="shared" si="31"/>
        <v>-987192.59226579824</v>
      </c>
      <c r="I77" s="25">
        <f t="shared" si="31"/>
        <v>-1016808.3700337721</v>
      </c>
      <c r="J77" s="25">
        <f t="shared" si="31"/>
        <v>-1047312.6211347852</v>
      </c>
      <c r="K77" s="26">
        <f t="shared" si="31"/>
        <v>-1078731.9997688287</v>
      </c>
      <c r="M77" s="1517"/>
      <c r="N77" s="1518"/>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-53394</v>
      </c>
      <c r="C78" s="25">
        <f>IF(AND('Part VII-Pro Forma'!$G$8="Yes",'Part VII-Pro Forma'!$G$9="Yes"),"Choose One!",IF('Part VII-Pro Forma'!$G$8="Yes",ROUND((-$K$8*(1+'Part VII-Pro Forma'!$B$6)^('Part VII-Pro Forma'!C71-1)),),IF('Part VII-Pro Forma'!$G$9="Yes",ROUND((-(SUM(C72:C75)*'Part VII-Pro Forma'!$K$9)),),"Choose mgt fee")))</f>
        <v>-54462</v>
      </c>
      <c r="D78" s="25">
        <f>IF(AND('Part VII-Pro Forma'!$G$8="Yes",'Part VII-Pro Forma'!$G$9="Yes"),"Choose One!",IF('Part VII-Pro Forma'!$G$8="Yes",ROUND((-$K$8*(1+'Part VII-Pro Forma'!$B$6)^('Part VII-Pro Forma'!D71-1)),),IF('Part VII-Pro Forma'!$G$9="Yes",ROUND((-(SUM(D72:D75)*'Part VII-Pro Forma'!$K$9)),),"Choose mgt fee")))</f>
        <v>-55551</v>
      </c>
      <c r="E78" s="25">
        <f>IF(AND('Part VII-Pro Forma'!$G$8="Yes",'Part VII-Pro Forma'!$G$9="Yes"),"Choose One!",IF('Part VII-Pro Forma'!$G$8="Yes",ROUND((-$K$8*(1+'Part VII-Pro Forma'!$B$6)^('Part VII-Pro Forma'!E71-1)),),IF('Part VII-Pro Forma'!$G$9="Yes",ROUND((-(SUM(E72:E75)*'Part VII-Pro Forma'!$K$9)),),"Choose mgt fee")))</f>
        <v>-56662</v>
      </c>
      <c r="F78" s="25">
        <f>IF(AND('Part VII-Pro Forma'!$G$8="Yes",'Part VII-Pro Forma'!$G$9="Yes"),"Choose One!",IF('Part VII-Pro Forma'!$G$8="Yes",ROUND((-$K$8*(1+'Part VII-Pro Forma'!$B$6)^('Part VII-Pro Forma'!F71-1)),),IF('Part VII-Pro Forma'!$G$9="Yes",ROUND((-(SUM(F72:F75)*'Part VII-Pro Forma'!$K$9)),),"Choose mgt fee")))</f>
        <v>-57796</v>
      </c>
      <c r="G78" s="25">
        <f>IF(AND('Part VII-Pro Forma'!$G$8="Yes",'Part VII-Pro Forma'!$G$9="Yes"),"Choose One!",IF('Part VII-Pro Forma'!$G$8="Yes",ROUND((-$K$8*(1+'Part VII-Pro Forma'!$B$6)^('Part VII-Pro Forma'!G71-1)),),IF('Part VII-Pro Forma'!$G$9="Yes",ROUND((-(SUM(G72:G75)*'Part VII-Pro Forma'!$K$9)),),"Choose mgt fee")))</f>
        <v>-58952</v>
      </c>
      <c r="H78" s="25">
        <f>IF(AND('Part VII-Pro Forma'!$G$8="Yes",'Part VII-Pro Forma'!$G$9="Yes"),"Choose One!",IF('Part VII-Pro Forma'!$G$8="Yes",ROUND((-$K$8*(1+'Part VII-Pro Forma'!$B$6)^('Part VII-Pro Forma'!H71-1)),),IF('Part VII-Pro Forma'!$G$9="Yes",ROUND((-(SUM(H72:H75)*'Part VII-Pro Forma'!$K$9)),),"Choose mgt fee")))</f>
        <v>-60131</v>
      </c>
      <c r="I78" s="25">
        <f>IF(AND('Part VII-Pro Forma'!$G$8="Yes",'Part VII-Pro Forma'!$G$9="Yes"),"Choose One!",IF('Part VII-Pro Forma'!$G$8="Yes",ROUND((-$K$8*(1+'Part VII-Pro Forma'!$B$6)^('Part VII-Pro Forma'!I71-1)),),IF('Part VII-Pro Forma'!$G$9="Yes",ROUND((-(SUM(I72:I75)*'Part VII-Pro Forma'!$K$9)),),"Choose mgt fee")))</f>
        <v>-61333</v>
      </c>
      <c r="J78" s="25">
        <f>IF(AND('Part VII-Pro Forma'!$G$8="Yes",'Part VII-Pro Forma'!$G$9="Yes"),"Choose One!",IF('Part VII-Pro Forma'!$G$8="Yes",ROUND((-$K$8*(1+'Part VII-Pro Forma'!$B$6)^('Part VII-Pro Forma'!J71-1)),),IF('Part VII-Pro Forma'!$G$9="Yes",ROUND((-(SUM(J72:J75)*'Part VII-Pro Forma'!$K$9)),),"Choose mgt fee")))</f>
        <v>-62560</v>
      </c>
      <c r="K78" s="25">
        <f>IF(AND('Part VII-Pro Forma'!$G$8="Yes",'Part VII-Pro Forma'!$G$9="Yes"),"Choose One!",IF('Part VII-Pro Forma'!$G$8="Yes",ROUND((-$K$8*(1+'Part VII-Pro Forma'!$B$6)^('Part VII-Pro Forma'!K71-1)),),IF('Part VII-Pro Forma'!$G$9="Yes",ROUND((-(SUM(K72:K75)*'Part VII-Pro Forma'!$K$9)),),"Choose mgt fee")))</f>
        <v>-63811</v>
      </c>
      <c r="M78" s="1517"/>
      <c r="N78" s="1518"/>
    </row>
    <row r="79" spans="1:14" ht="13.15" customHeight="1">
      <c r="A79" s="24" t="s">
        <v>1622</v>
      </c>
      <c r="B79" s="25">
        <f t="shared" ref="B79:K79" si="32">$B$21*(1+$B$7)^(B71-1)</f>
        <v>-45152.780866735331</v>
      </c>
      <c r="C79" s="25">
        <f t="shared" si="32"/>
        <v>-46507.364292737388</v>
      </c>
      <c r="D79" s="25">
        <f t="shared" si="32"/>
        <v>-47902.585221519512</v>
      </c>
      <c r="E79" s="25">
        <f t="shared" si="32"/>
        <v>-49339.662778165097</v>
      </c>
      <c r="F79" s="25">
        <f t="shared" si="32"/>
        <v>-50819.852661510042</v>
      </c>
      <c r="G79" s="25">
        <f t="shared" si="32"/>
        <v>-52344.448241355349</v>
      </c>
      <c r="H79" s="25">
        <f t="shared" si="32"/>
        <v>-53914.781688596013</v>
      </c>
      <c r="I79" s="25">
        <f t="shared" si="32"/>
        <v>-55532.225139253889</v>
      </c>
      <c r="J79" s="25">
        <f t="shared" si="32"/>
        <v>-57198.191893431504</v>
      </c>
      <c r="K79" s="26">
        <f t="shared" si="32"/>
        <v>-58914.137650234443</v>
      </c>
      <c r="M79" s="1517"/>
      <c r="N79" s="1518"/>
    </row>
    <row r="80" spans="1:14" ht="13.15" customHeight="1">
      <c r="A80" s="24" t="s">
        <v>1623</v>
      </c>
      <c r="B80" s="25">
        <f t="shared" ref="B80:K80" si="33">SUM(B72:B79)</f>
        <v>135731.25712101586</v>
      </c>
      <c r="C80" s="25">
        <f t="shared" si="33"/>
        <v>131438.31191139523</v>
      </c>
      <c r="D80" s="25">
        <f t="shared" si="33"/>
        <v>126849.33448702126</v>
      </c>
      <c r="E80" s="25">
        <f t="shared" si="33"/>
        <v>121952.23700428181</v>
      </c>
      <c r="F80" s="25">
        <f t="shared" si="33"/>
        <v>116733.35444671319</v>
      </c>
      <c r="G80" s="25">
        <f t="shared" si="33"/>
        <v>111180.42601906323</v>
      </c>
      <c r="H80" s="25">
        <f t="shared" si="33"/>
        <v>105280.57595736312</v>
      </c>
      <c r="I80" s="25">
        <f t="shared" si="33"/>
        <v>99019.293736966327</v>
      </c>
      <c r="J80" s="25">
        <f t="shared" si="33"/>
        <v>92380.413659975718</v>
      </c>
      <c r="K80" s="26">
        <f t="shared" si="33"/>
        <v>85351.09380289301</v>
      </c>
      <c r="M80" s="1517"/>
      <c r="N80" s="1518"/>
    </row>
    <row r="81" spans="1:14" ht="13.15" customHeight="1">
      <c r="A81" s="24" t="str">
        <f>$A52</f>
        <v>Mortgage A</v>
      </c>
      <c r="B81" s="1630">
        <f>IF('Part III-Sources of Funds'!$M$32="", 0,-'Part III-Sources of Funds'!$M$32)</f>
        <v>-51723.820304732188</v>
      </c>
      <c r="C81" s="1630">
        <f>IF('Part III-Sources of Funds'!$M$32="", 0,-'Part III-Sources of Funds'!$M$32)</f>
        <v>-51723.820304732188</v>
      </c>
      <c r="D81" s="1630">
        <f>IF('Part III-Sources of Funds'!$M$32="", 0,-'Part III-Sources of Funds'!$M$32)</f>
        <v>-51723.820304732188</v>
      </c>
      <c r="E81" s="1630">
        <f>IF('Part III-Sources of Funds'!$M$32="", 0,-'Part III-Sources of Funds'!$M$32)</f>
        <v>-51723.820304732188</v>
      </c>
      <c r="F81" s="1630">
        <f>IF('Part III-Sources of Funds'!$M$32="", 0,-'Part III-Sources of Funds'!$M$32)</f>
        <v>-51723.820304732188</v>
      </c>
      <c r="G81" s="1630">
        <f>IF('Part III-Sources of Funds'!$M$32="", 0,-'Part III-Sources of Funds'!$M$32)</f>
        <v>-51723.820304732188</v>
      </c>
      <c r="H81" s="1630">
        <f>IF('Part III-Sources of Funds'!$M$32="", 0,-'Part III-Sources of Funds'!$M$32)</f>
        <v>-51723.820304732188</v>
      </c>
      <c r="I81" s="1630">
        <f>IF('Part III-Sources of Funds'!$M$32="", 0,-'Part III-Sources of Funds'!$M$32)</f>
        <v>-51723.820304732188</v>
      </c>
      <c r="J81" s="1630">
        <f>IF('Part III-Sources of Funds'!$M$32="", 0,-'Part III-Sources of Funds'!$M$32)</f>
        <v>-51723.820304732188</v>
      </c>
      <c r="K81" s="1630">
        <f>IF('Part III-Sources of Funds'!$M$32="", 0,-'Part III-Sources of Funds'!$M$32)</f>
        <v>-51723.820304732188</v>
      </c>
      <c r="M81" s="1517"/>
      <c r="N81" s="1518"/>
    </row>
    <row r="82" spans="1:14" ht="13.15" customHeight="1">
      <c r="A82" s="24" t="str">
        <f>$A53</f>
        <v>Mortgage B</v>
      </c>
      <c r="B82" s="1631">
        <v>-61386</v>
      </c>
      <c r="C82" s="1631">
        <v>-57808</v>
      </c>
      <c r="D82" s="1631">
        <v>-53894</v>
      </c>
      <c r="E82" s="1631">
        <v>-49903</v>
      </c>
      <c r="F82" s="1631">
        <v>-45554</v>
      </c>
      <c r="G82" s="1631">
        <v>-40927</v>
      </c>
      <c r="H82" s="1631">
        <v>-36010</v>
      </c>
      <c r="I82" s="1631">
        <v>-30792</v>
      </c>
      <c r="J82" s="1631">
        <v>-25260</v>
      </c>
      <c r="K82" s="1631">
        <v>-19402</v>
      </c>
      <c r="M82" s="1517"/>
      <c r="N82" s="1518"/>
    </row>
    <row r="83" spans="1:14" ht="13.15" customHeight="1">
      <c r="A83" s="24" t="str">
        <f>$A54</f>
        <v>Mortgage C</v>
      </c>
      <c r="B83" s="1631">
        <f>IF('Part III-Sources of Funds'!$M$34="", 0,-'Part III-Sources of Funds'!$M$34)</f>
        <v>0</v>
      </c>
      <c r="C83" s="1631">
        <f>IF('Part III-Sources of Funds'!$M$34="", 0,-'Part III-Sources of Funds'!$M$34)</f>
        <v>0</v>
      </c>
      <c r="D83" s="1631">
        <f>IF('Part III-Sources of Funds'!$M$34="", 0,-'Part III-Sources of Funds'!$M$34)</f>
        <v>0</v>
      </c>
      <c r="E83" s="1631">
        <f>IF('Part III-Sources of Funds'!$M$34="", 0,-'Part III-Sources of Funds'!$M$34)</f>
        <v>0</v>
      </c>
      <c r="F83" s="1631">
        <f>IF('Part III-Sources of Funds'!$M$34="", 0,-'Part III-Sources of Funds'!$M$34)</f>
        <v>0</v>
      </c>
      <c r="G83" s="1631">
        <f>IF('Part III-Sources of Funds'!$M$34="", 0,-'Part III-Sources of Funds'!$M$34)</f>
        <v>0</v>
      </c>
      <c r="H83" s="1631">
        <f>IF('Part III-Sources of Funds'!$M$34="", 0,-'Part III-Sources of Funds'!$M$34)</f>
        <v>0</v>
      </c>
      <c r="I83" s="1631">
        <f>IF('Part III-Sources of Funds'!$M$34="", 0,-'Part III-Sources of Funds'!$M$34)</f>
        <v>0</v>
      </c>
      <c r="J83" s="1631">
        <f>IF('Part III-Sources of Funds'!$M$34="", 0,-'Part III-Sources of Funds'!$M$34)</f>
        <v>0</v>
      </c>
      <c r="K83" s="1631">
        <f>IF('Part III-Sources of Funds'!$M$34="", 0,-'Part III-Sources of Funds'!$M$34)</f>
        <v>0</v>
      </c>
      <c r="M83" s="1517"/>
      <c r="N83" s="1518"/>
    </row>
    <row r="84" spans="1:14" ht="13.15" customHeight="1">
      <c r="A84" s="24" t="str">
        <f>$A55</f>
        <v>D/S Other Source</v>
      </c>
      <c r="B84" s="1631">
        <f>IF('Part III-Sources of Funds'!$M$35="", 0,-'Part III-Sources of Funds'!$M$35)</f>
        <v>0</v>
      </c>
      <c r="C84" s="1631">
        <f>IF('Part III-Sources of Funds'!$M$35="", 0,-'Part III-Sources of Funds'!$M$35)</f>
        <v>0</v>
      </c>
      <c r="D84" s="1631">
        <f>IF('Part III-Sources of Funds'!$M$35="", 0,-'Part III-Sources of Funds'!$M$35)</f>
        <v>0</v>
      </c>
      <c r="E84" s="1631">
        <f>IF('Part III-Sources of Funds'!$M$35="", 0,-'Part III-Sources of Funds'!$M$35)</f>
        <v>0</v>
      </c>
      <c r="F84" s="1631">
        <f>IF('Part III-Sources of Funds'!$M$35="", 0,-'Part III-Sources of Funds'!$M$35)</f>
        <v>0</v>
      </c>
      <c r="G84" s="1631">
        <f>IF('Part III-Sources of Funds'!$M$35="", 0,-'Part III-Sources of Funds'!$M$35)</f>
        <v>0</v>
      </c>
      <c r="H84" s="1631">
        <f>IF('Part III-Sources of Funds'!$M$35="", 0,-'Part III-Sources of Funds'!$M$35)</f>
        <v>0</v>
      </c>
      <c r="I84" s="1631">
        <f>IF('Part III-Sources of Funds'!$M$35="", 0,-'Part III-Sources of Funds'!$M$35)</f>
        <v>0</v>
      </c>
      <c r="J84" s="1631">
        <f>IF('Part III-Sources of Funds'!$M$35="", 0,-'Part III-Sources of Funds'!$M$35)</f>
        <v>0</v>
      </c>
      <c r="K84" s="1631">
        <f>IF('Part III-Sources of Funds'!$M$35="", 0,-'Part III-Sources of Funds'!$M$35)</f>
        <v>0</v>
      </c>
      <c r="M84" s="1517"/>
      <c r="N84" s="1518"/>
    </row>
    <row r="85" spans="1:14" ht="13.15" customHeight="1">
      <c r="A85" s="24" t="s">
        <v>1150</v>
      </c>
      <c r="B85" s="1632"/>
      <c r="C85" s="1632"/>
      <c r="D85" s="1632"/>
      <c r="E85" s="1632"/>
      <c r="F85" s="1632"/>
      <c r="G85" s="1632"/>
      <c r="H85" s="1632"/>
      <c r="I85" s="1632"/>
      <c r="J85" s="1632"/>
      <c r="K85" s="1632"/>
      <c r="M85" s="1517"/>
      <c r="N85" s="1518"/>
    </row>
    <row r="86" spans="1:14" ht="13.15" customHeight="1">
      <c r="A86" s="24" t="s">
        <v>1578</v>
      </c>
      <c r="B86" s="1631">
        <f>+K57</f>
        <v>0</v>
      </c>
      <c r="C86" s="1631">
        <f t="shared" ref="C86:K86" si="34">+B86</f>
        <v>0</v>
      </c>
      <c r="D86" s="1631">
        <f t="shared" si="34"/>
        <v>0</v>
      </c>
      <c r="E86" s="1631">
        <f t="shared" si="34"/>
        <v>0</v>
      </c>
      <c r="F86" s="1631">
        <f t="shared" si="34"/>
        <v>0</v>
      </c>
      <c r="G86" s="1631">
        <f t="shared" si="34"/>
        <v>0</v>
      </c>
      <c r="H86" s="1631">
        <f t="shared" si="34"/>
        <v>0</v>
      </c>
      <c r="I86" s="1631">
        <f t="shared" si="34"/>
        <v>0</v>
      </c>
      <c r="J86" s="1631">
        <f t="shared" si="34"/>
        <v>0</v>
      </c>
      <c r="K86" s="1631">
        <f t="shared" si="34"/>
        <v>0</v>
      </c>
      <c r="M86" s="1517"/>
      <c r="N86" s="1518"/>
    </row>
    <row r="87" spans="1:14" ht="13.15" customHeight="1">
      <c r="A87" s="24" t="s">
        <v>1624</v>
      </c>
      <c r="B87" s="1633">
        <f>IF('Part III-Sources of Funds'!$M$37="", 0,-'Part III-Sources of Funds'!$M$37)</f>
        <v>0</v>
      </c>
      <c r="C87" s="1633">
        <f>IF('Part III-Sources of Funds'!$M$37="", 0,-'Part III-Sources of Funds'!$M$37)</f>
        <v>0</v>
      </c>
      <c r="D87" s="1633">
        <f>IF('Part III-Sources of Funds'!$M$37="", 0,-'Part III-Sources of Funds'!$M$37)</f>
        <v>0</v>
      </c>
      <c r="E87" s="1633">
        <f>IF('Part III-Sources of Funds'!$M$37="", 0,-'Part III-Sources of Funds'!$M$37)</f>
        <v>0</v>
      </c>
      <c r="F87" s="1633">
        <f>IF('Part III-Sources of Funds'!$M$37="", 0,-'Part III-Sources of Funds'!$M$37)</f>
        <v>0</v>
      </c>
      <c r="G87" s="1633">
        <f>IF('Part III-Sources of Funds'!$M$37="", 0,-'Part III-Sources of Funds'!$M$37)</f>
        <v>0</v>
      </c>
      <c r="H87" s="1633">
        <f>IF('Part III-Sources of Funds'!$M$37="", 0,-'Part III-Sources of Funds'!$M$37)</f>
        <v>0</v>
      </c>
      <c r="I87" s="1633">
        <f>IF('Part III-Sources of Funds'!$M$37="", 0,-'Part III-Sources of Funds'!$M$37)</f>
        <v>0</v>
      </c>
      <c r="J87" s="1633">
        <f>IF('Part III-Sources of Funds'!$M$37="", 0,-'Part III-Sources of Funds'!$M$37)</f>
        <v>0</v>
      </c>
      <c r="K87" s="1631">
        <f>IF('Part III-Sources of Funds'!$M$37="", 0,-'Part III-Sources of Funds'!$M$37)</f>
        <v>0</v>
      </c>
      <c r="M87" s="1517"/>
      <c r="N87" s="1518"/>
    </row>
    <row r="88" spans="1:14" ht="13.15" customHeight="1">
      <c r="A88" s="24" t="s">
        <v>1579</v>
      </c>
      <c r="B88" s="25">
        <f t="shared" ref="B88:K88" si="35">SUM(B80:B87)</f>
        <v>22621.436816283676</v>
      </c>
      <c r="C88" s="25">
        <f t="shared" si="35"/>
        <v>21906.491606663039</v>
      </c>
      <c r="D88" s="25">
        <f t="shared" si="35"/>
        <v>21231.514182289073</v>
      </c>
      <c r="E88" s="25">
        <f t="shared" si="35"/>
        <v>20325.41669954962</v>
      </c>
      <c r="F88" s="25">
        <f t="shared" si="35"/>
        <v>19455.534141980999</v>
      </c>
      <c r="G88" s="25">
        <f t="shared" si="35"/>
        <v>18529.605714331046</v>
      </c>
      <c r="H88" s="25">
        <f t="shared" si="35"/>
        <v>17546.755652630934</v>
      </c>
      <c r="I88" s="25">
        <f t="shared" si="35"/>
        <v>16503.473432234139</v>
      </c>
      <c r="J88" s="25">
        <f t="shared" si="35"/>
        <v>15396.593355243531</v>
      </c>
      <c r="K88" s="23">
        <f t="shared" si="35"/>
        <v>14225.273498160823</v>
      </c>
      <c r="M88" s="1517"/>
      <c r="N88" s="1518"/>
    </row>
    <row r="89" spans="1:14" ht="13.15" customHeight="1">
      <c r="A89" s="24" t="str">
        <f>$A60</f>
        <v>DCR Mortgage A</v>
      </c>
      <c r="B89" s="27">
        <f>IF(B81=0,"",-B80/B81)</f>
        <v>2.6241537520111962</v>
      </c>
      <c r="C89" s="27">
        <f t="shared" ref="C89:K89" si="36">IF(C81=0,"",-C80/C81)</f>
        <v>2.5411563016231806</v>
      </c>
      <c r="D89" s="27">
        <f t="shared" si="36"/>
        <v>2.4524355266042845</v>
      </c>
      <c r="E89" s="27">
        <f t="shared" si="36"/>
        <v>2.3577577272095747</v>
      </c>
      <c r="F89" s="27">
        <f t="shared" si="36"/>
        <v>2.2568587114984102</v>
      </c>
      <c r="G89" s="27">
        <f t="shared" si="36"/>
        <v>2.1495014359736184</v>
      </c>
      <c r="H89" s="27">
        <f t="shared" si="36"/>
        <v>2.0354369676698272</v>
      </c>
      <c r="I89" s="27">
        <f t="shared" si="36"/>
        <v>1.9143847680544799</v>
      </c>
      <c r="J89" s="27">
        <f t="shared" si="36"/>
        <v>1.7860322983823351</v>
      </c>
      <c r="K89" s="28">
        <f t="shared" si="36"/>
        <v>1.6501312799411354</v>
      </c>
      <c r="M89" s="1517"/>
      <c r="N89" s="1518"/>
    </row>
    <row r="90" spans="1:14" ht="13.15" customHeight="1">
      <c r="A90" s="24" t="str">
        <f>$A61</f>
        <v>DCR Mortgage B</v>
      </c>
      <c r="B90" s="27">
        <f>IF(OR(B82=0,AND(B82=0,B81=0)),"",-B80/(B81+B82))</f>
        <v>1.1999953386482152</v>
      </c>
      <c r="C90" s="27">
        <f t="shared" ref="C90:K90" si="37">IF(OR(C82=0,AND(C82=0,C81=0)),"",-C80/(C81+C82))</f>
        <v>1.2000011644626762</v>
      </c>
      <c r="D90" s="27">
        <f t="shared" si="37"/>
        <v>1.2010220824575926</v>
      </c>
      <c r="E90" s="27">
        <f t="shared" si="37"/>
        <v>1.2000005179597573</v>
      </c>
      <c r="F90" s="27">
        <f t="shared" si="37"/>
        <v>1.1999996924379541</v>
      </c>
      <c r="G90" s="27">
        <f t="shared" si="37"/>
        <v>1.1999939736462824</v>
      </c>
      <c r="H90" s="27">
        <f t="shared" si="37"/>
        <v>1.1999999041610696</v>
      </c>
      <c r="I90" s="27">
        <f t="shared" si="37"/>
        <v>1.2000037492360442</v>
      </c>
      <c r="J90" s="27">
        <f t="shared" si="37"/>
        <v>1.1999977825768813</v>
      </c>
      <c r="K90" s="28">
        <f t="shared" si="37"/>
        <v>1.2000015386425622</v>
      </c>
      <c r="M90" s="1517"/>
      <c r="N90" s="1518"/>
    </row>
    <row r="91" spans="1:14" ht="13.15" customHeight="1">
      <c r="A91" s="24" t="str">
        <f>$A62</f>
        <v>DCR Mortgage C</v>
      </c>
      <c r="B91" s="27" t="str">
        <f>IF(OR(B83=0,AND(B83=0,B82=0,B81=0)),"",-B80/(B81+B82+B83))</f>
        <v/>
      </c>
      <c r="C91" s="27" t="str">
        <f t="shared" ref="C91:K91" si="38">IF(OR(C83=0,AND(C83=0,C82=0,C81=0)),"",-C80/(C81+C82+C83))</f>
        <v/>
      </c>
      <c r="D91" s="27" t="str">
        <f t="shared" si="38"/>
        <v/>
      </c>
      <c r="E91" s="27" t="str">
        <f t="shared" si="38"/>
        <v/>
      </c>
      <c r="F91" s="27" t="str">
        <f t="shared" si="38"/>
        <v/>
      </c>
      <c r="G91" s="27" t="str">
        <f t="shared" si="38"/>
        <v/>
      </c>
      <c r="H91" s="27" t="str">
        <f t="shared" si="38"/>
        <v/>
      </c>
      <c r="I91" s="27" t="str">
        <f t="shared" si="38"/>
        <v/>
      </c>
      <c r="J91" s="27" t="str">
        <f t="shared" si="38"/>
        <v/>
      </c>
      <c r="K91" s="28" t="str">
        <f t="shared" si="38"/>
        <v/>
      </c>
      <c r="M91" s="1517"/>
      <c r="N91" s="1518"/>
    </row>
    <row r="92" spans="1:14" ht="13.15" customHeight="1">
      <c r="A92" s="24" t="str">
        <f>$A63</f>
        <v>DCR Other Source</v>
      </c>
      <c r="B92" s="27" t="str">
        <f>IF(OR(B84=0,AND(B81=0,B82=0,B83=0,B84=0)),"",-B80/(B81+B82+B83+B84))</f>
        <v/>
      </c>
      <c r="C92" s="27" t="str">
        <f t="shared" ref="C92:K92" si="39">IF(OR(C84=0,AND(C81=0,C82=0,C83=0,C84=0)),"",-C80/(C81+C82+C83+C84))</f>
        <v/>
      </c>
      <c r="D92" s="27" t="str">
        <f t="shared" si="39"/>
        <v/>
      </c>
      <c r="E92" s="27" t="str">
        <f t="shared" si="39"/>
        <v/>
      </c>
      <c r="F92" s="27" t="str">
        <f t="shared" si="39"/>
        <v/>
      </c>
      <c r="G92" s="27" t="str">
        <f t="shared" si="39"/>
        <v/>
      </c>
      <c r="H92" s="27" t="str">
        <f t="shared" si="39"/>
        <v/>
      </c>
      <c r="I92" s="27" t="str">
        <f t="shared" si="39"/>
        <v/>
      </c>
      <c r="J92" s="27" t="str">
        <f t="shared" si="39"/>
        <v/>
      </c>
      <c r="K92" s="28" t="str">
        <f t="shared" si="39"/>
        <v/>
      </c>
      <c r="M92" s="1517"/>
      <c r="N92" s="1518"/>
    </row>
    <row r="93" spans="1:14" ht="13.15" customHeight="1">
      <c r="A93" s="24" t="s">
        <v>1158</v>
      </c>
      <c r="B93" s="341">
        <f>IF(OR(B78="Choose mgt fee",B78="Choose One!"),"",(B72+B73+B74+B75+B76) / -(B77+B78+B79))</f>
        <v>1.1466881211676121</v>
      </c>
      <c r="C93" s="341">
        <f t="shared" ref="C93:K93" si="40">IF(OR(C78="Choose mgt fee",C78="Choose One!"),"",(C72+C73+C74+C75+C76) / -(C77+C78+C79))</f>
        <v>1.1379885792276065</v>
      </c>
      <c r="D93" s="341">
        <f t="shared" si="40"/>
        <v>1.1293639870545098</v>
      </c>
      <c r="E93" s="341">
        <f t="shared" si="40"/>
        <v>1.1208138408302144</v>
      </c>
      <c r="F93" s="341">
        <f t="shared" si="40"/>
        <v>1.1123365521603086</v>
      </c>
      <c r="G93" s="341">
        <f t="shared" si="40"/>
        <v>1.1039325971602887</v>
      </c>
      <c r="H93" s="341">
        <f t="shared" si="40"/>
        <v>1.0956019863159281</v>
      </c>
      <c r="I93" s="341">
        <f t="shared" si="40"/>
        <v>1.0873437417600378</v>
      </c>
      <c r="J93" s="341">
        <f t="shared" si="40"/>
        <v>1.0791557912585226</v>
      </c>
      <c r="K93" s="342">
        <f t="shared" si="40"/>
        <v>1.0710396493929379</v>
      </c>
      <c r="M93" s="1517"/>
      <c r="N93" s="1518"/>
    </row>
    <row r="94" spans="1:14" ht="13.15" customHeight="1">
      <c r="A94" s="564" t="s">
        <v>3417</v>
      </c>
      <c r="B94" s="1634">
        <f>IF('Part III-Sources of Funds'!$H$32="","",-FV('Part III-Sources of Funds'!$J$32/12,12,B81/12,K65))</f>
        <v>351733.08159624215</v>
      </c>
      <c r="C94" s="1634">
        <f>IF('Part III-Sources of Funds'!$H$32="","",-FV('Part III-Sources of Funds'!$J$32/12,12,C81/12,B94))</f>
        <v>321996.37381277094</v>
      </c>
      <c r="D94" s="1634">
        <f>IF('Part III-Sources of Funds'!$H$32="","",-FV('Part III-Sources of Funds'!$J$32/12,12,D81/12,C94))</f>
        <v>290268.14363658219</v>
      </c>
      <c r="E94" s="1634">
        <f>IF('Part III-Sources of Funds'!$H$32="","",-FV('Part III-Sources of Funds'!$J$32/12,12,E81/12,D94))</f>
        <v>256415.01512473109</v>
      </c>
      <c r="F94" s="1634">
        <f>IF('Part III-Sources of Funds'!$H$32="","",-FV('Part III-Sources of Funds'!$J$32/12,12,F81/12,E94))</f>
        <v>220294.67990036125</v>
      </c>
      <c r="G94" s="1634">
        <f>IF('Part III-Sources of Funds'!$H$32="","",-FV('Part III-Sources of Funds'!$J$32/12,12,G81/12,F94))</f>
        <v>181755.29893106266</v>
      </c>
      <c r="H94" s="1634">
        <f>IF('Part III-Sources of Funds'!$H$32="","",-FV('Part III-Sources of Funds'!$J$32/12,12,H81/12,G94))</f>
        <v>140634.86424321859</v>
      </c>
      <c r="I94" s="1634">
        <f>IF('Part III-Sources of Funds'!$H$32="","",-FV('Part III-Sources of Funds'!$J$32/12,12,I81/12,H94))</f>
        <v>96760.517889179988</v>
      </c>
      <c r="J94" s="1634">
        <f>IF('Part III-Sources of Funds'!$H$32="","",-FV('Part III-Sources of Funds'!$J$32/12,12,J81/12,I94))</f>
        <v>49947.825304410391</v>
      </c>
      <c r="K94" s="1634">
        <f>IF('Part III-Sources of Funds'!$H$32="","",-FV('Part III-Sources of Funds'!$J$32/12,12,K81/12,J94))</f>
        <v>1.3053067959845066E-8</v>
      </c>
      <c r="M94" s="1517"/>
      <c r="N94" s="1518"/>
    </row>
    <row r="95" spans="1:14" ht="13.15" customHeight="1">
      <c r="A95" s="564" t="s">
        <v>3418</v>
      </c>
      <c r="B95" s="1631">
        <f>IF('Part III-Sources of Funds'!$H$33="","",-FV('Part III-Sources of Funds'!$J$33/12,12,B82/12,K66))</f>
        <v>2395547.9447061592</v>
      </c>
      <c r="C95" s="1631">
        <f>IF('Part III-Sources of Funds'!$H$33="","",-FV('Part III-Sources of Funds'!$J$33/12,12,C82/12,B95))</f>
        <v>2400077.9203386605</v>
      </c>
      <c r="D95" s="1631">
        <f>IF('Part III-Sources of Funds'!$H$33="","",-FV('Part III-Sources of Funds'!$J$33/12,12,D82/12,C95))</f>
        <v>2408688.0694002109</v>
      </c>
      <c r="E95" s="1631">
        <f>IF('Part III-Sources of Funds'!$H$33="","",-FV('Part III-Sources of Funds'!$J$33/12,12,E82/12,D95))</f>
        <v>2421563.6739912513</v>
      </c>
      <c r="F95" s="1631">
        <f>IF('Part III-Sources of Funds'!$H$33="","",-FV('Part III-Sources of Funds'!$J$33/12,12,F82/12,E95))</f>
        <v>2439179.2642558888</v>
      </c>
      <c r="G95" s="1631">
        <f>IF('Part III-Sources of Funds'!$H$33="","",-FV('Part III-Sources of Funds'!$J$33/12,12,G82/12,F95))</f>
        <v>2461940.8959620777</v>
      </c>
      <c r="H95" s="1631">
        <f>IF('Part III-Sources of Funds'!$H$33="","",-FV('Part III-Sources of Funds'!$J$33/12,12,H82/12,G95))</f>
        <v>2490277.4530882505</v>
      </c>
      <c r="I95" s="1631">
        <f>IF('Part III-Sources of Funds'!$H$33="","",-FV('Part III-Sources of Funds'!$J$33/12,12,I82/12,H95))</f>
        <v>2524640.236477911</v>
      </c>
      <c r="J95" s="1631">
        <f>IF('Part III-Sources of Funds'!$H$33="","",-FV('Part III-Sources of Funds'!$J$33/12,12,J82/12,I95))</f>
        <v>2565505.5776803321</v>
      </c>
      <c r="K95" s="1631">
        <f>IF('Part III-Sources of Funds'!$H$33="","",-FV('Part III-Sources of Funds'!$J$33/12,12,K82/12,J95))</f>
        <v>2613374.4855573834</v>
      </c>
      <c r="M95" s="1517"/>
      <c r="N95" s="1518"/>
    </row>
    <row r="96" spans="1:14" ht="13.15" customHeight="1">
      <c r="A96" s="564" t="s">
        <v>3419</v>
      </c>
      <c r="B96" s="1631" t="str">
        <f>IF('Part III-Sources of Funds'!$H$34="","",-FV('Part III-Sources of Funds'!$J$34/12,12,B83/12,K67))</f>
        <v/>
      </c>
      <c r="C96" s="1631" t="str">
        <f>IF('Part III-Sources of Funds'!$H$34="","",-FV('Part III-Sources of Funds'!$J$34/12,12,C83/12,B96))</f>
        <v/>
      </c>
      <c r="D96" s="1631" t="str">
        <f>IF('Part III-Sources of Funds'!$H$34="","",-FV('Part III-Sources of Funds'!$J$34/12,12,D83/12,C96))</f>
        <v/>
      </c>
      <c r="E96" s="1631" t="str">
        <f>IF('Part III-Sources of Funds'!$H$34="","",-FV('Part III-Sources of Funds'!$J$34/12,12,E83/12,D96))</f>
        <v/>
      </c>
      <c r="F96" s="1631" t="str">
        <f>IF('Part III-Sources of Funds'!$H$34="","",-FV('Part III-Sources of Funds'!$J$34/12,12,F83/12,E96))</f>
        <v/>
      </c>
      <c r="G96" s="1631" t="str">
        <f>IF('Part III-Sources of Funds'!$H$34="","",-FV('Part III-Sources of Funds'!$J$34/12,12,G83/12,F96))</f>
        <v/>
      </c>
      <c r="H96" s="1631" t="str">
        <f>IF('Part III-Sources of Funds'!$H$34="","",-FV('Part III-Sources of Funds'!$J$34/12,12,H83/12,G96))</f>
        <v/>
      </c>
      <c r="I96" s="1631" t="str">
        <f>IF('Part III-Sources of Funds'!$H$34="","",-FV('Part III-Sources of Funds'!$J$34/12,12,I83/12,H96))</f>
        <v/>
      </c>
      <c r="J96" s="1631" t="str">
        <f>IF('Part III-Sources of Funds'!$H$34="","",-FV('Part III-Sources of Funds'!$J$34/12,12,J83/12,I96))</f>
        <v/>
      </c>
      <c r="K96" s="1631" t="str">
        <f>IF('Part III-Sources of Funds'!$H$34="","",-FV('Part III-Sources of Funds'!$J$34/12,12,K83/12,J96))</f>
        <v/>
      </c>
      <c r="M96" s="1517"/>
      <c r="N96" s="1518"/>
    </row>
    <row r="97" spans="1:14" ht="13.15" customHeight="1">
      <c r="A97" s="24" t="s">
        <v>1176</v>
      </c>
      <c r="B97" s="1631" t="str">
        <f>IF('Part III-Sources of Funds'!$H$35="","",-FV('Part III-Sources of Funds'!$J$35/12,12,B84/12,K68))</f>
        <v/>
      </c>
      <c r="C97" s="1631" t="str">
        <f>IF('Part III-Sources of Funds'!$H$35="","",-FV('Part III-Sources of Funds'!$J$35/12,12,C84/12,B97))</f>
        <v/>
      </c>
      <c r="D97" s="1631" t="str">
        <f>IF('Part III-Sources of Funds'!$H$35="","",-FV('Part III-Sources of Funds'!$J$35/12,12,D84/12,C97))</f>
        <v/>
      </c>
      <c r="E97" s="1631" t="str">
        <f>IF('Part III-Sources of Funds'!$H$35="","",-FV('Part III-Sources of Funds'!$J$35/12,12,E84/12,D97))</f>
        <v/>
      </c>
      <c r="F97" s="1631" t="str">
        <f>IF('Part III-Sources of Funds'!$H$35="","",-FV('Part III-Sources of Funds'!$J$35/12,12,F84/12,E97))</f>
        <v/>
      </c>
      <c r="G97" s="1631" t="str">
        <f>IF('Part III-Sources of Funds'!$H$35="","",-FV('Part III-Sources of Funds'!$J$35/12,12,G84/12,F97))</f>
        <v/>
      </c>
      <c r="H97" s="1631" t="str">
        <f>IF('Part III-Sources of Funds'!$H$35="","",-FV('Part III-Sources of Funds'!$J$35/12,12,H84/12,G97))</f>
        <v/>
      </c>
      <c r="I97" s="1631" t="str">
        <f>IF('Part III-Sources of Funds'!$H$35="","",-FV('Part III-Sources of Funds'!$J$35/12,12,I84/12,H97))</f>
        <v/>
      </c>
      <c r="J97" s="1631" t="str">
        <f>IF('Part III-Sources of Funds'!$H$35="","",-FV('Part III-Sources of Funds'!$J$35/12,12,J84/12,I97))</f>
        <v/>
      </c>
      <c r="K97" s="1631" t="str">
        <f>IF('Part III-Sources of Funds'!$H$35="","",-FV('Part III-Sources of Funds'!$J$35/12,12,K84/12,J97))</f>
        <v/>
      </c>
      <c r="M97" s="1517"/>
      <c r="N97" s="1518"/>
    </row>
    <row r="98" spans="1:14" ht="13.15" customHeight="1">
      <c r="A98" s="29" t="s">
        <v>1659</v>
      </c>
      <c r="B98" s="1633" t="str">
        <f>IF('Part III-Sources of Funds'!$H$37="","",-FV('Part III-Sources of Funds'!$J$37/12,12,B87/12,K69))</f>
        <v/>
      </c>
      <c r="C98" s="1633" t="str">
        <f>IF('Part III-Sources of Funds'!$H$37="","",-FV('Part III-Sources of Funds'!$J$37/12,12,C87/12,B98))</f>
        <v/>
      </c>
      <c r="D98" s="1633" t="str">
        <f>IF('Part III-Sources of Funds'!$H$37="","",-FV('Part III-Sources of Funds'!$J$37/12,12,D87/12,C98))</f>
        <v/>
      </c>
      <c r="E98" s="1633" t="str">
        <f>IF('Part III-Sources of Funds'!$H$37="","",-FV('Part III-Sources of Funds'!$J$37/12,12,E87/12,D98))</f>
        <v/>
      </c>
      <c r="F98" s="1633" t="str">
        <f>IF('Part III-Sources of Funds'!$H$37="","",-FV('Part III-Sources of Funds'!$J$37/12,12,F87/12,E98))</f>
        <v/>
      </c>
      <c r="G98" s="1633" t="str">
        <f>IF('Part III-Sources of Funds'!$H$37="","",-FV('Part III-Sources of Funds'!$J$37/12,12,G87/12,F98))</f>
        <v/>
      </c>
      <c r="H98" s="1633" t="str">
        <f>IF('Part III-Sources of Funds'!$H$37="","",-FV('Part III-Sources of Funds'!$J$37/12,12,H87/12,G98))</f>
        <v/>
      </c>
      <c r="I98" s="1633" t="str">
        <f>IF('Part III-Sources of Funds'!$H$37="","",-FV('Part III-Sources of Funds'!$J$37/12,12,I87/12,H98))</f>
        <v/>
      </c>
      <c r="J98" s="1633" t="str">
        <f>IF('Part III-Sources of Funds'!$H$37="","",-FV('Part III-Sources of Funds'!$J$37/12,12,J87/12,I98))</f>
        <v/>
      </c>
      <c r="K98" s="1633" t="str">
        <f>IF('Part III-Sources of Funds'!$H$37="","",-FV('Part III-Sources of Funds'!$J$37/12,12,K87/12,J98))</f>
        <v/>
      </c>
      <c r="M98" s="1520"/>
      <c r="N98" s="1521"/>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91"/>
      <c r="B103" s="1635"/>
      <c r="C103" s="1635"/>
      <c r="D103" s="1635"/>
      <c r="E103" s="1635"/>
      <c r="F103" s="1636"/>
      <c r="G103" s="1394"/>
      <c r="H103" s="1635"/>
      <c r="I103" s="1635"/>
      <c r="J103" s="1635"/>
      <c r="K103" s="1636"/>
      <c r="M103" s="891" t="s">
        <v>3595</v>
      </c>
      <c r="N103" s="89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36" t="str">
        <f>CONCATENATE("PART EIGHT - THRESHOLD CRITERIA","  -  ",'Part I-Project Information'!$O$4," ",'Part I-Project Information'!$F$23,", ",'Part I-Project Information'!F26,", ",'Part I-Project Information'!J27," County")</f>
        <v>PART EIGHT - THRESHOLD CRITERIA  -  2013-019 BTW-Chapman Phase I, Columbus, Muscogee County</v>
      </c>
      <c r="B1" s="937"/>
      <c r="C1" s="937"/>
      <c r="D1" s="937"/>
      <c r="E1" s="937"/>
      <c r="F1" s="937"/>
      <c r="G1" s="937"/>
      <c r="H1" s="937"/>
      <c r="I1" s="937"/>
      <c r="J1" s="937"/>
      <c r="K1" s="937"/>
      <c r="L1" s="937"/>
      <c r="M1" s="937"/>
      <c r="N1" s="937"/>
      <c r="O1" s="937"/>
      <c r="P1" s="937"/>
      <c r="Q1" s="937"/>
    </row>
    <row r="2" spans="1:32" s="31" customFormat="1" ht="3" customHeight="1">
      <c r="S2" s="43"/>
      <c r="T2" s="43"/>
      <c r="AE2" s="142"/>
      <c r="AF2" s="142"/>
    </row>
    <row r="3" spans="1:32" ht="13.5" customHeight="1">
      <c r="A3" s="1066"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66"/>
      <c r="C3" s="1066"/>
      <c r="D3" s="1066"/>
      <c r="E3" s="1066"/>
      <c r="F3" s="1066"/>
      <c r="G3" s="1066"/>
      <c r="H3" s="1066"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66"/>
      <c r="J3" s="1066"/>
      <c r="K3" s="1066"/>
      <c r="L3" s="1066"/>
      <c r="M3" s="1066"/>
      <c r="N3" s="1067"/>
      <c r="O3" s="1068" t="s">
        <v>1331</v>
      </c>
      <c r="P3" s="1069"/>
      <c r="Q3" s="274" t="s">
        <v>2543</v>
      </c>
    </row>
    <row r="4" spans="1:32" ht="3" customHeight="1">
      <c r="A4" s="814"/>
      <c r="B4" s="1060"/>
      <c r="C4" s="1060"/>
      <c r="D4" s="1060"/>
      <c r="E4" s="814"/>
      <c r="F4" s="814"/>
      <c r="G4" s="814"/>
      <c r="H4" s="814"/>
      <c r="I4" s="814"/>
      <c r="J4" s="814"/>
      <c r="K4" s="814"/>
      <c r="L4" s="814"/>
      <c r="M4" s="814"/>
      <c r="N4" s="814"/>
      <c r="P4" s="814"/>
      <c r="Q4" s="814"/>
    </row>
    <row r="5" spans="1:32" ht="10.9" hidden="1" customHeight="1">
      <c r="A5" s="814"/>
      <c r="B5" s="814"/>
      <c r="C5" s="814"/>
      <c r="D5" s="814"/>
      <c r="E5" s="814"/>
      <c r="F5" s="814"/>
      <c r="G5" s="814"/>
      <c r="H5" s="814"/>
      <c r="I5" s="814"/>
      <c r="J5" s="814"/>
      <c r="K5" s="814"/>
      <c r="L5" s="814"/>
      <c r="M5" s="814"/>
      <c r="N5" s="814"/>
      <c r="P5" s="814"/>
      <c r="Q5" s="814"/>
    </row>
    <row r="6" spans="1:32" ht="15" customHeight="1">
      <c r="A6" s="156" t="s">
        <v>735</v>
      </c>
      <c r="J6" s="814"/>
      <c r="K6" s="814"/>
      <c r="L6" s="814"/>
      <c r="M6" s="814"/>
      <c r="N6" s="814"/>
      <c r="P6" s="1061"/>
      <c r="Q6" s="1062"/>
    </row>
    <row r="7" spans="1:32" ht="12.6" customHeight="1">
      <c r="A7" s="157" t="s">
        <v>304</v>
      </c>
      <c r="C7" s="158"/>
      <c r="D7" s="158"/>
      <c r="J7" s="814"/>
      <c r="K7" s="814"/>
      <c r="L7" s="814"/>
      <c r="M7" s="814"/>
      <c r="N7" s="814"/>
    </row>
    <row r="8" spans="1:32" ht="24.6" customHeight="1">
      <c r="A8" s="1063" t="s">
        <v>1848</v>
      </c>
      <c r="B8" s="1064"/>
      <c r="C8" s="1064"/>
      <c r="D8" s="1064"/>
      <c r="E8" s="1064"/>
      <c r="F8" s="1064"/>
      <c r="G8" s="1064"/>
      <c r="H8" s="1064"/>
      <c r="I8" s="1064"/>
      <c r="J8" s="1064"/>
      <c r="K8" s="1064"/>
      <c r="L8" s="1064"/>
      <c r="M8" s="1064"/>
      <c r="N8" s="1064"/>
      <c r="O8" s="1064"/>
      <c r="P8" s="1064"/>
      <c r="Q8" s="1065"/>
      <c r="R8" s="1084" t="s">
        <v>2744</v>
      </c>
      <c r="S8" s="826"/>
    </row>
    <row r="9" spans="1:32" ht="24.6" customHeight="1">
      <c r="A9" s="1057" t="s">
        <v>247</v>
      </c>
      <c r="B9" s="1058"/>
      <c r="C9" s="1058"/>
      <c r="D9" s="1058"/>
      <c r="E9" s="1058"/>
      <c r="F9" s="1058"/>
      <c r="G9" s="1058"/>
      <c r="H9" s="1058"/>
      <c r="I9" s="1058"/>
      <c r="J9" s="1058"/>
      <c r="K9" s="1058"/>
      <c r="L9" s="1058"/>
      <c r="M9" s="1058"/>
      <c r="N9" s="1058"/>
      <c r="O9" s="1058"/>
      <c r="P9" s="1058"/>
      <c r="Q9" s="1059"/>
      <c r="R9" s="1084"/>
      <c r="S9" s="826"/>
    </row>
    <row r="10" spans="1:32" ht="24.6" customHeight="1">
      <c r="A10" s="1057" t="s">
        <v>1844</v>
      </c>
      <c r="B10" s="1058"/>
      <c r="C10" s="1058"/>
      <c r="D10" s="1058"/>
      <c r="E10" s="1058"/>
      <c r="F10" s="1058"/>
      <c r="G10" s="1058"/>
      <c r="H10" s="1058"/>
      <c r="I10" s="1058"/>
      <c r="J10" s="1058"/>
      <c r="K10" s="1058"/>
      <c r="L10" s="1058"/>
      <c r="M10" s="1058"/>
      <c r="N10" s="1058"/>
      <c r="O10" s="1058"/>
      <c r="P10" s="1058"/>
      <c r="Q10" s="1059"/>
      <c r="R10" s="1084"/>
      <c r="S10" s="826"/>
    </row>
    <row r="11" spans="1:32" ht="24.6" customHeight="1">
      <c r="A11" s="1057" t="s">
        <v>1845</v>
      </c>
      <c r="B11" s="1058"/>
      <c r="C11" s="1058"/>
      <c r="D11" s="1058"/>
      <c r="E11" s="1058"/>
      <c r="F11" s="1058"/>
      <c r="G11" s="1058"/>
      <c r="H11" s="1058"/>
      <c r="I11" s="1058"/>
      <c r="J11" s="1058"/>
      <c r="K11" s="1058"/>
      <c r="L11" s="1058"/>
      <c r="M11" s="1058"/>
      <c r="N11" s="1058"/>
      <c r="O11" s="1058"/>
      <c r="P11" s="1058"/>
      <c r="Q11" s="1059"/>
      <c r="R11" s="1084"/>
      <c r="S11" s="826"/>
    </row>
    <row r="12" spans="1:32" ht="24.6" customHeight="1">
      <c r="A12" s="1057" t="s">
        <v>1846</v>
      </c>
      <c r="B12" s="1058"/>
      <c r="C12" s="1058"/>
      <c r="D12" s="1058"/>
      <c r="E12" s="1058"/>
      <c r="F12" s="1058"/>
      <c r="G12" s="1058"/>
      <c r="H12" s="1058"/>
      <c r="I12" s="1058"/>
      <c r="J12" s="1058"/>
      <c r="K12" s="1058"/>
      <c r="L12" s="1058"/>
      <c r="M12" s="1058"/>
      <c r="N12" s="1058"/>
      <c r="O12" s="1058"/>
      <c r="P12" s="1058"/>
      <c r="Q12" s="1059"/>
      <c r="R12" s="787"/>
      <c r="S12" s="787"/>
    </row>
    <row r="13" spans="1:32" ht="24.6" customHeight="1">
      <c r="A13" s="1057" t="s">
        <v>1847</v>
      </c>
      <c r="B13" s="1058"/>
      <c r="C13" s="1058"/>
      <c r="D13" s="1058"/>
      <c r="E13" s="1058"/>
      <c r="F13" s="1058"/>
      <c r="G13" s="1058"/>
      <c r="H13" s="1058"/>
      <c r="I13" s="1058"/>
      <c r="J13" s="1058"/>
      <c r="K13" s="1058"/>
      <c r="L13" s="1058"/>
      <c r="M13" s="1058"/>
      <c r="N13" s="1058"/>
      <c r="O13" s="1058"/>
      <c r="P13" s="1058"/>
      <c r="Q13" s="1059"/>
      <c r="R13" s="787"/>
      <c r="S13" s="787"/>
    </row>
    <row r="14" spans="1:32" ht="24.6" customHeight="1">
      <c r="A14" s="1057" t="s">
        <v>1849</v>
      </c>
      <c r="B14" s="1058"/>
      <c r="C14" s="1058"/>
      <c r="D14" s="1058"/>
      <c r="E14" s="1058"/>
      <c r="F14" s="1058"/>
      <c r="G14" s="1058"/>
      <c r="H14" s="1058"/>
      <c r="I14" s="1058"/>
      <c r="J14" s="1058"/>
      <c r="K14" s="1058"/>
      <c r="L14" s="1058"/>
      <c r="M14" s="1058"/>
      <c r="N14" s="1058"/>
      <c r="O14" s="1058"/>
      <c r="P14" s="1058"/>
      <c r="Q14" s="1059"/>
    </row>
    <row r="15" spans="1:32" ht="24.6" customHeight="1">
      <c r="A15" s="1057" t="s">
        <v>2731</v>
      </c>
      <c r="B15" s="1058"/>
      <c r="C15" s="1058"/>
      <c r="D15" s="1058"/>
      <c r="E15" s="1058"/>
      <c r="F15" s="1058"/>
      <c r="G15" s="1058"/>
      <c r="H15" s="1058"/>
      <c r="I15" s="1058"/>
      <c r="J15" s="1058"/>
      <c r="K15" s="1058"/>
      <c r="L15" s="1058"/>
      <c r="M15" s="1058"/>
      <c r="N15" s="1058"/>
      <c r="O15" s="1058"/>
      <c r="P15" s="1058"/>
      <c r="Q15" s="1059"/>
      <c r="R15" s="826" t="s">
        <v>2744</v>
      </c>
      <c r="S15" s="826"/>
    </row>
    <row r="16" spans="1:32" ht="24.6" customHeight="1">
      <c r="A16" s="1057" t="s">
        <v>2732</v>
      </c>
      <c r="B16" s="1058"/>
      <c r="C16" s="1058"/>
      <c r="D16" s="1058"/>
      <c r="E16" s="1058"/>
      <c r="F16" s="1058"/>
      <c r="G16" s="1058"/>
      <c r="H16" s="1058"/>
      <c r="I16" s="1058"/>
      <c r="J16" s="1058"/>
      <c r="K16" s="1058"/>
      <c r="L16" s="1058"/>
      <c r="M16" s="1058"/>
      <c r="N16" s="1058"/>
      <c r="O16" s="1058"/>
      <c r="P16" s="1058"/>
      <c r="Q16" s="1059"/>
      <c r="R16" s="826"/>
      <c r="S16" s="826"/>
    </row>
    <row r="17" spans="1:19" ht="24.6" customHeight="1">
      <c r="A17" s="1057" t="s">
        <v>2733</v>
      </c>
      <c r="B17" s="1058"/>
      <c r="C17" s="1058"/>
      <c r="D17" s="1058"/>
      <c r="E17" s="1058"/>
      <c r="F17" s="1058"/>
      <c r="G17" s="1058"/>
      <c r="H17" s="1058"/>
      <c r="I17" s="1058"/>
      <c r="J17" s="1058"/>
      <c r="K17" s="1058"/>
      <c r="L17" s="1058"/>
      <c r="M17" s="1058"/>
      <c r="N17" s="1058"/>
      <c r="O17" s="1058"/>
      <c r="P17" s="1058"/>
      <c r="Q17" s="1059"/>
      <c r="R17" s="826"/>
      <c r="S17" s="826"/>
    </row>
    <row r="18" spans="1:19" ht="24.6" customHeight="1">
      <c r="A18" s="1057" t="s">
        <v>2734</v>
      </c>
      <c r="B18" s="1058"/>
      <c r="C18" s="1058"/>
      <c r="D18" s="1058"/>
      <c r="E18" s="1058"/>
      <c r="F18" s="1058"/>
      <c r="G18" s="1058"/>
      <c r="H18" s="1058"/>
      <c r="I18" s="1058"/>
      <c r="J18" s="1058"/>
      <c r="K18" s="1058"/>
      <c r="L18" s="1058"/>
      <c r="M18" s="1058"/>
      <c r="N18" s="1058"/>
      <c r="O18" s="1058"/>
      <c r="P18" s="1058"/>
      <c r="Q18" s="1059"/>
      <c r="R18" s="826"/>
      <c r="S18" s="826"/>
    </row>
    <row r="19" spans="1:19" ht="24.6" customHeight="1">
      <c r="A19" s="1057" t="s">
        <v>2735</v>
      </c>
      <c r="B19" s="1058"/>
      <c r="C19" s="1058"/>
      <c r="D19" s="1058"/>
      <c r="E19" s="1058"/>
      <c r="F19" s="1058"/>
      <c r="G19" s="1058"/>
      <c r="H19" s="1058"/>
      <c r="I19" s="1058"/>
      <c r="J19" s="1058"/>
      <c r="K19" s="1058"/>
      <c r="L19" s="1058"/>
      <c r="M19" s="1058"/>
      <c r="N19" s="1058"/>
      <c r="O19" s="1058"/>
      <c r="P19" s="1058"/>
      <c r="Q19" s="1059"/>
      <c r="R19" s="787"/>
      <c r="S19" s="787"/>
    </row>
    <row r="20" spans="1:19" ht="24.6" customHeight="1">
      <c r="A20" s="1057" t="s">
        <v>2736</v>
      </c>
      <c r="B20" s="1058"/>
      <c r="C20" s="1058"/>
      <c r="D20" s="1058"/>
      <c r="E20" s="1058"/>
      <c r="F20" s="1058"/>
      <c r="G20" s="1058"/>
      <c r="H20" s="1058"/>
      <c r="I20" s="1058"/>
      <c r="J20" s="1058"/>
      <c r="K20" s="1058"/>
      <c r="L20" s="1058"/>
      <c r="M20" s="1058"/>
      <c r="N20" s="1058"/>
      <c r="O20" s="1058"/>
      <c r="P20" s="1058"/>
      <c r="Q20" s="1059"/>
      <c r="R20" s="787"/>
      <c r="S20" s="787"/>
    </row>
    <row r="21" spans="1:19" ht="24.6" customHeight="1">
      <c r="A21" s="1057" t="s">
        <v>2737</v>
      </c>
      <c r="B21" s="1058"/>
      <c r="C21" s="1058"/>
      <c r="D21" s="1058"/>
      <c r="E21" s="1058"/>
      <c r="F21" s="1058"/>
      <c r="G21" s="1058"/>
      <c r="H21" s="1058"/>
      <c r="I21" s="1058"/>
      <c r="J21" s="1058"/>
      <c r="K21" s="1058"/>
      <c r="L21" s="1058"/>
      <c r="M21" s="1058"/>
      <c r="N21" s="1058"/>
      <c r="O21" s="1058"/>
      <c r="P21" s="1058"/>
      <c r="Q21" s="1059"/>
    </row>
    <row r="22" spans="1:19" ht="24.6" customHeight="1">
      <c r="A22" s="1057" t="s">
        <v>2738</v>
      </c>
      <c r="B22" s="1058"/>
      <c r="C22" s="1058"/>
      <c r="D22" s="1058"/>
      <c r="E22" s="1058"/>
      <c r="F22" s="1058"/>
      <c r="G22" s="1058"/>
      <c r="H22" s="1058"/>
      <c r="I22" s="1058"/>
      <c r="J22" s="1058"/>
      <c r="K22" s="1058"/>
      <c r="L22" s="1058"/>
      <c r="M22" s="1058"/>
      <c r="N22" s="1058"/>
      <c r="O22" s="1058"/>
      <c r="P22" s="1058"/>
      <c r="Q22" s="1059"/>
      <c r="R22" s="826" t="s">
        <v>2744</v>
      </c>
      <c r="S22" s="826"/>
    </row>
    <row r="23" spans="1:19" ht="24.6" customHeight="1">
      <c r="A23" s="1057" t="s">
        <v>2739</v>
      </c>
      <c r="B23" s="1058"/>
      <c r="C23" s="1058"/>
      <c r="D23" s="1058"/>
      <c r="E23" s="1058"/>
      <c r="F23" s="1058"/>
      <c r="G23" s="1058"/>
      <c r="H23" s="1058"/>
      <c r="I23" s="1058"/>
      <c r="J23" s="1058"/>
      <c r="K23" s="1058"/>
      <c r="L23" s="1058"/>
      <c r="M23" s="1058"/>
      <c r="N23" s="1058"/>
      <c r="O23" s="1058"/>
      <c r="P23" s="1058"/>
      <c r="Q23" s="1059"/>
      <c r="R23" s="826"/>
      <c r="S23" s="826"/>
    </row>
    <row r="24" spans="1:19" ht="24.6" customHeight="1">
      <c r="A24" s="1057" t="s">
        <v>2740</v>
      </c>
      <c r="B24" s="1058"/>
      <c r="C24" s="1058"/>
      <c r="D24" s="1058"/>
      <c r="E24" s="1058"/>
      <c r="F24" s="1058"/>
      <c r="G24" s="1058"/>
      <c r="H24" s="1058"/>
      <c r="I24" s="1058"/>
      <c r="J24" s="1058"/>
      <c r="K24" s="1058"/>
      <c r="L24" s="1058"/>
      <c r="M24" s="1058"/>
      <c r="N24" s="1058"/>
      <c r="O24" s="1058"/>
      <c r="P24" s="1058"/>
      <c r="Q24" s="1059"/>
      <c r="R24" s="826"/>
      <c r="S24" s="826"/>
    </row>
    <row r="25" spans="1:19" ht="24.6" customHeight="1">
      <c r="A25" s="1057" t="s">
        <v>2741</v>
      </c>
      <c r="B25" s="1058"/>
      <c r="C25" s="1058"/>
      <c r="D25" s="1058"/>
      <c r="E25" s="1058"/>
      <c r="F25" s="1058"/>
      <c r="G25" s="1058"/>
      <c r="H25" s="1058"/>
      <c r="I25" s="1058"/>
      <c r="J25" s="1058"/>
      <c r="K25" s="1058"/>
      <c r="L25" s="1058"/>
      <c r="M25" s="1058"/>
      <c r="N25" s="1058"/>
      <c r="O25" s="1058"/>
      <c r="P25" s="1058"/>
      <c r="Q25" s="1059"/>
      <c r="R25" s="826"/>
      <c r="S25" s="826"/>
    </row>
    <row r="26" spans="1:19" ht="24.6" customHeight="1">
      <c r="A26" s="1057" t="s">
        <v>2742</v>
      </c>
      <c r="B26" s="1058"/>
      <c r="C26" s="1058"/>
      <c r="D26" s="1058"/>
      <c r="E26" s="1058"/>
      <c r="F26" s="1058"/>
      <c r="G26" s="1058"/>
      <c r="H26" s="1058"/>
      <c r="I26" s="1058"/>
      <c r="J26" s="1058"/>
      <c r="K26" s="1058"/>
      <c r="L26" s="1058"/>
      <c r="M26" s="1058"/>
      <c r="N26" s="1058"/>
      <c r="O26" s="1058"/>
      <c r="P26" s="1058"/>
      <c r="Q26" s="1059"/>
      <c r="R26" s="787"/>
      <c r="S26" s="787"/>
    </row>
    <row r="27" spans="1:19" ht="24.6" customHeight="1">
      <c r="A27" s="1095" t="s">
        <v>2743</v>
      </c>
      <c r="B27" s="1096"/>
      <c r="C27" s="1096"/>
      <c r="D27" s="1096"/>
      <c r="E27" s="1096"/>
      <c r="F27" s="1096"/>
      <c r="G27" s="1096"/>
      <c r="H27" s="1096"/>
      <c r="I27" s="1096"/>
      <c r="J27" s="1096"/>
      <c r="K27" s="1096"/>
      <c r="L27" s="1096"/>
      <c r="M27" s="1096"/>
      <c r="N27" s="1096"/>
      <c r="O27" s="1096"/>
      <c r="P27" s="1096"/>
      <c r="Q27" s="1097"/>
      <c r="R27" s="787"/>
      <c r="S27" s="787"/>
    </row>
    <row r="28" spans="1:19" ht="6" customHeight="1"/>
    <row r="29" spans="1:19" ht="13.9" customHeight="1">
      <c r="A29" s="159">
        <v>1</v>
      </c>
      <c r="B29" s="160" t="s">
        <v>3486</v>
      </c>
      <c r="C29" s="161"/>
      <c r="D29" s="104"/>
      <c r="E29" s="104"/>
      <c r="F29" s="104"/>
      <c r="G29" s="104"/>
      <c r="I29" s="162"/>
      <c r="J29" s="162"/>
      <c r="K29" s="162"/>
      <c r="L29" s="814"/>
      <c r="M29" s="814"/>
      <c r="O29" s="163" t="s">
        <v>2573</v>
      </c>
      <c r="P29" s="1053"/>
      <c r="Q29" s="1054"/>
    </row>
    <row r="30" spans="1:19" ht="3" customHeight="1"/>
    <row r="31" spans="1:19" ht="12" customHeight="1">
      <c r="B31" s="174" t="s">
        <v>2695</v>
      </c>
      <c r="C31" s="61" t="s">
        <v>3929</v>
      </c>
      <c r="E31" s="38"/>
      <c r="F31" s="38"/>
      <c r="G31" s="38"/>
      <c r="H31" s="38"/>
      <c r="I31" s="49"/>
      <c r="J31" s="40"/>
      <c r="K31" s="49"/>
      <c r="L31" s="40"/>
      <c r="M31" s="40"/>
      <c r="O31" s="78" t="s">
        <v>773</v>
      </c>
      <c r="P31" s="1637" t="s">
        <v>4065</v>
      </c>
      <c r="Q31" s="210"/>
    </row>
    <row r="32" spans="1:19" ht="12" customHeight="1">
      <c r="B32" s="54" t="s">
        <v>2698</v>
      </c>
      <c r="C32" s="61" t="s">
        <v>907</v>
      </c>
      <c r="E32" s="38"/>
      <c r="F32" s="38"/>
      <c r="G32" s="38"/>
      <c r="H32" s="38"/>
      <c r="J32" s="1638" t="s">
        <v>2875</v>
      </c>
      <c r="K32" s="1639"/>
      <c r="L32" s="1639"/>
      <c r="M32" s="1639"/>
      <c r="N32" s="1640"/>
      <c r="O32" s="78"/>
      <c r="P32" s="78"/>
      <c r="Q32" s="78"/>
    </row>
    <row r="33" spans="1:31" ht="11.25" customHeight="1">
      <c r="B33" s="79" t="s">
        <v>2571</v>
      </c>
      <c r="C33" s="79"/>
      <c r="D33" s="79"/>
      <c r="E33" s="79"/>
      <c r="F33" s="79"/>
      <c r="G33" s="162"/>
      <c r="H33" s="162"/>
      <c r="I33" s="162"/>
      <c r="J33" s="162"/>
      <c r="K33" s="814"/>
      <c r="L33" s="814"/>
      <c r="M33" s="814"/>
      <c r="N33" s="814"/>
      <c r="O33" s="814"/>
      <c r="P33" s="59"/>
      <c r="S33" s="195"/>
      <c r="T33" s="195"/>
    </row>
    <row r="34" spans="1:31" ht="12" customHeight="1">
      <c r="A34" s="1641"/>
      <c r="B34" s="1642"/>
      <c r="C34" s="1642"/>
      <c r="D34" s="1642"/>
      <c r="E34" s="1642"/>
      <c r="F34" s="1642"/>
      <c r="G34" s="1642"/>
      <c r="H34" s="1642"/>
      <c r="I34" s="1642"/>
      <c r="J34" s="1642"/>
      <c r="K34" s="1642"/>
      <c r="L34" s="1642"/>
      <c r="M34" s="1642"/>
      <c r="N34" s="1642"/>
      <c r="O34" s="1642"/>
      <c r="P34" s="1642"/>
      <c r="Q34" s="1643"/>
      <c r="R34" s="614" t="s">
        <v>1677</v>
      </c>
      <c r="S34" s="615"/>
      <c r="T34" s="195"/>
      <c r="U34" s="168"/>
      <c r="V34" s="168"/>
      <c r="W34" s="168"/>
      <c r="X34" s="168"/>
      <c r="Y34" s="168"/>
      <c r="Z34" s="168"/>
      <c r="AA34" s="168"/>
      <c r="AB34" s="168"/>
      <c r="AC34" s="168"/>
      <c r="AD34" s="168"/>
      <c r="AE34" s="656"/>
    </row>
    <row r="35" spans="1:31" ht="11.25" customHeight="1">
      <c r="B35" s="169" t="s">
        <v>2572</v>
      </c>
      <c r="C35" s="170"/>
      <c r="D35" s="818"/>
      <c r="E35" s="818"/>
      <c r="F35" s="818"/>
      <c r="G35" s="818"/>
      <c r="H35" s="818"/>
      <c r="I35" s="818"/>
      <c r="J35" s="818"/>
      <c r="K35" s="818"/>
      <c r="L35" s="818"/>
      <c r="M35" s="818"/>
      <c r="N35" s="818"/>
      <c r="O35" s="818"/>
      <c r="P35" s="818"/>
    </row>
    <row r="36" spans="1:31" ht="12" customHeight="1">
      <c r="A36" s="1092"/>
      <c r="B36" s="1093"/>
      <c r="C36" s="1093"/>
      <c r="D36" s="1093"/>
      <c r="E36" s="1093"/>
      <c r="F36" s="1093"/>
      <c r="G36" s="1093"/>
      <c r="H36" s="1093"/>
      <c r="I36" s="1093"/>
      <c r="J36" s="1093"/>
      <c r="K36" s="1093"/>
      <c r="L36" s="1093"/>
      <c r="M36" s="1093"/>
      <c r="N36" s="1093"/>
      <c r="O36" s="1093"/>
      <c r="P36" s="1093"/>
      <c r="Q36" s="1094"/>
      <c r="R36" s="614" t="s">
        <v>1677</v>
      </c>
      <c r="S36" s="615"/>
    </row>
    <row r="37" spans="1:31" ht="12" customHeight="1">
      <c r="A37" s="1072"/>
      <c r="B37" s="1073"/>
      <c r="C37" s="1073"/>
      <c r="D37" s="1073"/>
      <c r="E37" s="1073"/>
      <c r="F37" s="1073"/>
      <c r="G37" s="1073"/>
      <c r="H37" s="1073"/>
      <c r="I37" s="1073"/>
      <c r="J37" s="1073"/>
      <c r="K37" s="1073"/>
      <c r="L37" s="1073"/>
      <c r="M37" s="1073"/>
      <c r="N37" s="1073"/>
      <c r="O37" s="1073"/>
      <c r="P37" s="1073"/>
      <c r="Q37" s="1074"/>
    </row>
    <row r="38" spans="1:31" ht="12" customHeight="1">
      <c r="A38" s="1072"/>
      <c r="B38" s="1073"/>
      <c r="C38" s="1073"/>
      <c r="D38" s="1073"/>
      <c r="E38" s="1073"/>
      <c r="F38" s="1073"/>
      <c r="G38" s="1073"/>
      <c r="H38" s="1073"/>
      <c r="I38" s="1073"/>
      <c r="J38" s="1073"/>
      <c r="K38" s="1073"/>
      <c r="L38" s="1073"/>
      <c r="M38" s="1073"/>
      <c r="N38" s="1073"/>
      <c r="O38" s="1073"/>
      <c r="P38" s="1073"/>
      <c r="Q38" s="1074"/>
    </row>
    <row r="39" spans="1:31" ht="12" customHeight="1">
      <c r="A39" s="1089"/>
      <c r="B39" s="1090"/>
      <c r="C39" s="1090"/>
      <c r="D39" s="1090"/>
      <c r="E39" s="1090"/>
      <c r="F39" s="1090"/>
      <c r="G39" s="1090"/>
      <c r="H39" s="1090"/>
      <c r="I39" s="1090"/>
      <c r="J39" s="1090"/>
      <c r="K39" s="1090"/>
      <c r="L39" s="1090"/>
      <c r="M39" s="1090"/>
      <c r="N39" s="1090"/>
      <c r="O39" s="1090"/>
      <c r="P39" s="1090"/>
      <c r="Q39" s="1091"/>
    </row>
    <row r="40" spans="1:31" ht="3" customHeight="1">
      <c r="B40" s="162"/>
      <c r="C40" s="818"/>
      <c r="D40" s="818"/>
      <c r="E40" s="818"/>
      <c r="F40" s="818"/>
      <c r="G40" s="818"/>
      <c r="H40" s="818"/>
      <c r="I40" s="818"/>
      <c r="J40" s="818"/>
      <c r="K40" s="818"/>
      <c r="L40" s="818"/>
      <c r="M40" s="818"/>
      <c r="N40" s="818"/>
      <c r="O40" s="818"/>
      <c r="P40" s="818"/>
      <c r="Q40" s="814"/>
    </row>
    <row r="41" spans="1:31" ht="13.9" customHeight="1">
      <c r="A41" s="820">
        <v>2</v>
      </c>
      <c r="B41" s="5" t="s">
        <v>3642</v>
      </c>
      <c r="C41" s="5"/>
      <c r="D41" s="5"/>
      <c r="E41" s="818"/>
      <c r="F41" s="818"/>
      <c r="G41" s="818"/>
      <c r="H41" s="818"/>
      <c r="K41" s="818"/>
      <c r="L41" s="818"/>
      <c r="M41" s="818"/>
      <c r="O41" s="163" t="s">
        <v>2573</v>
      </c>
      <c r="P41" s="1053"/>
      <c r="Q41" s="1054"/>
    </row>
    <row r="42" spans="1:31" ht="3" customHeight="1">
      <c r="K42" s="818"/>
      <c r="L42" s="818"/>
    </row>
    <row r="43" spans="1:31" ht="12.75" customHeight="1">
      <c r="A43" s="1119" t="s">
        <v>3927</v>
      </c>
      <c r="B43" s="1119"/>
      <c r="C43" s="1119"/>
      <c r="D43" s="1119"/>
      <c r="E43" s="1119"/>
      <c r="F43" s="1644" t="s">
        <v>3649</v>
      </c>
      <c r="G43" s="1645"/>
      <c r="H43" s="1645"/>
      <c r="I43" s="1646"/>
      <c r="K43" s="1644" t="s">
        <v>3651</v>
      </c>
      <c r="L43" s="1645"/>
      <c r="M43" s="1645"/>
      <c r="N43" s="1646"/>
      <c r="P43" s="719" t="s">
        <v>3750</v>
      </c>
    </row>
    <row r="44" spans="1:31" ht="12.75" customHeight="1">
      <c r="A44" s="1119"/>
      <c r="B44" s="1119"/>
      <c r="C44" s="1119"/>
      <c r="D44" s="1119"/>
      <c r="E44" s="1119"/>
      <c r="F44" s="1647" t="s">
        <v>3650</v>
      </c>
      <c r="G44" s="1648"/>
      <c r="H44" s="1648"/>
      <c r="I44" s="1649"/>
      <c r="K44" s="1647" t="s">
        <v>3652</v>
      </c>
      <c r="L44" s="1648"/>
      <c r="M44" s="1648"/>
      <c r="N44" s="1649"/>
      <c r="P44" s="1637" t="s">
        <v>4064</v>
      </c>
    </row>
    <row r="45" spans="1:31" ht="10.5" customHeight="1">
      <c r="A45" s="1119"/>
      <c r="B45" s="1119"/>
      <c r="C45" s="1119"/>
      <c r="D45" s="1119"/>
      <c r="E45" s="1119"/>
      <c r="F45" s="1079" t="s">
        <v>3646</v>
      </c>
      <c r="G45" s="1080"/>
      <c r="H45" s="1080"/>
      <c r="I45" s="1081"/>
      <c r="K45" s="1650" t="s">
        <v>3648</v>
      </c>
      <c r="L45" s="1651"/>
      <c r="M45" s="1651"/>
      <c r="N45" s="1652"/>
      <c r="P45" s="1077" t="s">
        <v>3656</v>
      </c>
      <c r="Q45" s="1077"/>
    </row>
    <row r="46" spans="1:31" ht="22.5" customHeight="1">
      <c r="A46" s="1119"/>
      <c r="B46" s="1119"/>
      <c r="C46" s="1119"/>
      <c r="D46" s="1119"/>
      <c r="E46" s="1119"/>
      <c r="F46" s="1653" t="s">
        <v>3666</v>
      </c>
      <c r="G46" s="172"/>
      <c r="I46" s="1070" t="s">
        <v>3665</v>
      </c>
      <c r="K46" s="1653" t="s">
        <v>3666</v>
      </c>
      <c r="M46" s="818"/>
      <c r="N46" s="1070" t="s">
        <v>3665</v>
      </c>
      <c r="O46" s="818"/>
      <c r="P46" s="1077"/>
      <c r="Q46" s="1077"/>
    </row>
    <row r="47" spans="1:31" ht="12.75" customHeight="1">
      <c r="A47" s="171"/>
      <c r="D47" s="1654" t="s">
        <v>3645</v>
      </c>
      <c r="F47" s="1655"/>
      <c r="G47" s="1656" t="s">
        <v>3647</v>
      </c>
      <c r="I47" s="1071"/>
      <c r="K47" s="1655"/>
      <c r="L47" s="1656" t="s">
        <v>3647</v>
      </c>
      <c r="N47" s="1071"/>
      <c r="O47" s="818"/>
      <c r="P47" s="1078"/>
      <c r="Q47" s="1078"/>
    </row>
    <row r="48" spans="1:31" ht="11.45" customHeight="1">
      <c r="A48" s="171"/>
      <c r="D48" s="1657" t="s">
        <v>736</v>
      </c>
      <c r="F48" s="536">
        <f>'Part VI-Revenues &amp; Expenses'!H62-'Part VI-Revenues &amp; Expenses'!H82</f>
        <v>0</v>
      </c>
      <c r="G48" s="1658">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58">
        <f>'DCA Underwriting Assumptions'!$J$12</f>
        <v>121529</v>
      </c>
      <c r="M48" s="575" t="str">
        <f>CONCATENATE("x ", K48," units = ")</f>
        <v xml:space="preserve">x 0 units = </v>
      </c>
      <c r="N48" s="678">
        <f>K48*L48</f>
        <v>0</v>
      </c>
      <c r="O48" s="818"/>
      <c r="P48" s="1075">
        <f>IF(AND('Part I-Project Information'!I159="Yes",'Part I-Project Information'!O159&gt;1),'Part I-Project Information'!O159, IF(AND('Part IV-Uses of Funds'!$T$162="Yes",'Part IX A-Scoring Criteria'!$O$240&gt;0),I53+N53,I53))</f>
        <v>13211820</v>
      </c>
      <c r="Q48" s="1076"/>
    </row>
    <row r="49" spans="1:31" ht="11.45" customHeight="1">
      <c r="A49" s="171"/>
      <c r="D49" s="1657" t="s">
        <v>3643</v>
      </c>
      <c r="F49" s="536">
        <f>'Part VI-Revenues &amp; Expenses'!I62-'Part VI-Revenues &amp; Expenses'!I82</f>
        <v>80</v>
      </c>
      <c r="G49" s="1658">
        <f>'DCA Underwriting Assumptions'!$K$11</f>
        <v>126647</v>
      </c>
      <c r="H49" s="575" t="str">
        <f>CONCATENATE("x ", F49," units = ")</f>
        <v xml:space="preserve">x 80 units = </v>
      </c>
      <c r="I49" s="678">
        <f>F49*G49</f>
        <v>10131760</v>
      </c>
      <c r="K49" s="536">
        <f>IF(AND('Part IV-Uses of Funds'!$T$162 = "Yes", 'Part IX A-Scoring Criteria'!$O$240 &gt; 0),'Part VI-Revenues &amp; Expenses'!I$82,0)</f>
        <v>0</v>
      </c>
      <c r="L49" s="1658">
        <f>'DCA Underwriting Assumptions'!$K$12</f>
        <v>139312</v>
      </c>
      <c r="M49" s="575" t="str">
        <f>CONCATENATE("x ", K49," units = ")</f>
        <v xml:space="preserve">x 0 units = </v>
      </c>
      <c r="N49" s="678">
        <f>K49*L49</f>
        <v>0</v>
      </c>
      <c r="O49" s="818"/>
      <c r="P49" s="1122" t="s">
        <v>3733</v>
      </c>
      <c r="Q49" s="1122"/>
    </row>
    <row r="50" spans="1:31" ht="11.45" customHeight="1">
      <c r="A50" s="171"/>
      <c r="D50" s="1657" t="s">
        <v>3644</v>
      </c>
      <c r="F50" s="536">
        <f>'Part VI-Revenues &amp; Expenses'!J62-'Part VI-Revenues &amp; Expenses'!J82</f>
        <v>20</v>
      </c>
      <c r="G50" s="1658">
        <f>'DCA Underwriting Assumptions'!$L$11</f>
        <v>154003</v>
      </c>
      <c r="H50" s="575" t="str">
        <f>CONCATENATE("x ", F50," units = ")</f>
        <v xml:space="preserve">x 20 units = </v>
      </c>
      <c r="I50" s="678">
        <f>F50*G50</f>
        <v>3080060</v>
      </c>
      <c r="K50" s="536">
        <f>IF(AND('Part IV-Uses of Funds'!$T$162 = "Yes", 'Part IX A-Scoring Criteria'!$O$240 &gt; 0),'Part VI-Revenues &amp; Expenses'!J$82,0)</f>
        <v>0</v>
      </c>
      <c r="L50" s="1658">
        <f>'DCA Underwriting Assumptions'!$L$12</f>
        <v>169403</v>
      </c>
      <c r="M50" s="575" t="str">
        <f>CONCATENATE("x ", K50," units = ")</f>
        <v xml:space="preserve">x 0 units = </v>
      </c>
      <c r="N50" s="678">
        <f>K50*L50</f>
        <v>0</v>
      </c>
      <c r="O50" s="818"/>
      <c r="P50" s="1123"/>
      <c r="Q50" s="1123"/>
    </row>
    <row r="51" spans="1:31" ht="11.45" customHeight="1">
      <c r="A51" s="171"/>
      <c r="D51" s="1657" t="s">
        <v>3653</v>
      </c>
      <c r="F51" s="536">
        <f>'Part VI-Revenues &amp; Expenses'!K62-'Part VI-Revenues &amp; Expenses'!K82</f>
        <v>0</v>
      </c>
      <c r="G51" s="1658">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58">
        <f>'DCA Underwriting Assumptions'!$M$12</f>
        <v>219152</v>
      </c>
      <c r="M51" s="575" t="str">
        <f>CONCATENATE("x ", K51," units = ")</f>
        <v xml:space="preserve">x 0 units = </v>
      </c>
      <c r="N51" s="678">
        <f>K51*L51</f>
        <v>0</v>
      </c>
      <c r="O51" s="818"/>
      <c r="P51" s="1123"/>
      <c r="Q51" s="1123"/>
    </row>
    <row r="52" spans="1:31" ht="11.45" customHeight="1">
      <c r="A52" s="171"/>
      <c r="D52" s="1659" t="s">
        <v>3654</v>
      </c>
      <c r="F52" s="536">
        <f>'Part VI-Revenues &amp; Expenses'!L62-'Part VI-Revenues &amp; Expenses'!L82</f>
        <v>0</v>
      </c>
      <c r="G52" s="1658">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58">
        <f>'DCA Underwriting Assumptions'!$N$12</f>
        <v>219152</v>
      </c>
      <c r="M52" s="575" t="str">
        <f>CONCATENATE("x ", K52," units = ")</f>
        <v xml:space="preserve">x 0 units = </v>
      </c>
      <c r="N52" s="678">
        <f>K52*L52</f>
        <v>0</v>
      </c>
      <c r="O52" s="818"/>
      <c r="P52" s="1123"/>
      <c r="Q52" s="1123"/>
    </row>
    <row r="53" spans="1:31" ht="11.45" customHeight="1">
      <c r="A53" s="171"/>
      <c r="C53" s="172"/>
      <c r="D53" s="676" t="s">
        <v>3655</v>
      </c>
      <c r="F53" s="675">
        <f>SUM(F48:F52)</f>
        <v>100</v>
      </c>
      <c r="G53" s="1660"/>
      <c r="H53" s="536"/>
      <c r="I53" s="677">
        <f>SUM(I48:I52)</f>
        <v>13211820</v>
      </c>
      <c r="K53" s="675">
        <f>SUM(K48:K52)</f>
        <v>0</v>
      </c>
      <c r="M53" s="536"/>
      <c r="N53" s="677">
        <f>SUM(N48:N52)</f>
        <v>0</v>
      </c>
      <c r="O53" s="818"/>
      <c r="P53" s="1123"/>
      <c r="Q53" s="1123"/>
    </row>
    <row r="54" spans="1:31" ht="3.75" customHeight="1">
      <c r="A54" s="171"/>
      <c r="C54" s="172"/>
      <c r="E54" s="64"/>
      <c r="F54" s="1660"/>
      <c r="G54" s="64"/>
      <c r="I54" s="64"/>
      <c r="J54" s="64"/>
      <c r="K54" s="818"/>
      <c r="L54" s="1661"/>
      <c r="M54" s="818"/>
      <c r="N54" s="818"/>
      <c r="O54" s="818"/>
      <c r="P54" s="818"/>
      <c r="Q54" s="818"/>
    </row>
    <row r="55" spans="1:31" ht="11.25" customHeight="1">
      <c r="B55" s="116" t="s">
        <v>2571</v>
      </c>
      <c r="D55" s="116"/>
      <c r="E55" s="116"/>
      <c r="F55" s="116"/>
      <c r="G55" s="116"/>
      <c r="H55" s="823"/>
      <c r="I55" s="162"/>
      <c r="J55" s="162"/>
      <c r="K55" s="169" t="s">
        <v>2572</v>
      </c>
      <c r="L55" s="814"/>
      <c r="M55" s="814"/>
      <c r="N55" s="814"/>
      <c r="O55" s="814"/>
      <c r="P55" s="814"/>
      <c r="Q55" s="59"/>
    </row>
    <row r="56" spans="1:31" ht="11.45" customHeight="1">
      <c r="A56" s="1641"/>
      <c r="B56" s="1642"/>
      <c r="C56" s="1642"/>
      <c r="D56" s="1642"/>
      <c r="E56" s="1642"/>
      <c r="F56" s="1642"/>
      <c r="G56" s="1642"/>
      <c r="H56" s="1642"/>
      <c r="I56" s="1642"/>
      <c r="J56" s="1643"/>
      <c r="K56" s="1048"/>
      <c r="L56" s="1049"/>
      <c r="M56" s="1049"/>
      <c r="N56" s="1049"/>
      <c r="O56" s="1049"/>
      <c r="P56" s="1049"/>
      <c r="Q56" s="1050"/>
      <c r="U56" s="168"/>
      <c r="V56" s="168"/>
      <c r="W56" s="168"/>
      <c r="X56" s="168"/>
      <c r="Y56" s="168"/>
      <c r="Z56" s="168"/>
      <c r="AA56" s="168"/>
      <c r="AB56" s="168"/>
      <c r="AC56" s="168"/>
      <c r="AD56" s="168"/>
      <c r="AE56" s="656"/>
    </row>
    <row r="57" spans="1:31" ht="3" customHeight="1">
      <c r="B57" s="162"/>
      <c r="C57" s="818"/>
      <c r="D57" s="818"/>
      <c r="E57" s="818"/>
      <c r="F57" s="818"/>
      <c r="G57" s="818"/>
      <c r="H57" s="818"/>
      <c r="I57" s="818"/>
      <c r="J57" s="818"/>
      <c r="K57" s="818"/>
      <c r="L57" s="818"/>
      <c r="M57" s="818"/>
      <c r="N57" s="818"/>
      <c r="O57" s="818"/>
      <c r="P57" s="818"/>
      <c r="Q57" s="814"/>
    </row>
    <row r="58" spans="1:31" ht="13.9" customHeight="1">
      <c r="A58" s="820">
        <v>3</v>
      </c>
      <c r="B58" s="5" t="s">
        <v>1606</v>
      </c>
      <c r="C58" s="5"/>
      <c r="D58" s="5"/>
      <c r="E58" s="818"/>
      <c r="F58" s="818"/>
      <c r="G58" s="818"/>
      <c r="H58" s="818"/>
      <c r="M58" s="818"/>
      <c r="O58" s="163" t="s">
        <v>2573</v>
      </c>
      <c r="P58" s="1053"/>
      <c r="Q58" s="1054"/>
    </row>
    <row r="59" spans="1:31" ht="3" customHeight="1"/>
    <row r="60" spans="1:31" ht="11.45" customHeight="1">
      <c r="A60" s="171"/>
      <c r="C60" s="172" t="s">
        <v>105</v>
      </c>
      <c r="D60" s="172"/>
      <c r="E60" s="172"/>
      <c r="F60" s="172"/>
      <c r="G60" s="172"/>
      <c r="H60" s="172"/>
      <c r="K60" s="1662" t="str">
        <f>'Part I-Project Information'!$H$65</f>
        <v>HFOP</v>
      </c>
      <c r="L60" s="1663"/>
      <c r="M60" s="1664"/>
      <c r="N60" s="818"/>
    </row>
    <row r="61" spans="1:31" ht="11.25" customHeight="1">
      <c r="B61" s="116" t="s">
        <v>2571</v>
      </c>
      <c r="D61" s="116"/>
      <c r="E61" s="116"/>
      <c r="F61" s="116"/>
      <c r="G61" s="116"/>
      <c r="H61" s="823"/>
      <c r="I61" s="162"/>
      <c r="J61" s="162"/>
      <c r="K61" s="169" t="s">
        <v>2572</v>
      </c>
      <c r="L61" s="814"/>
      <c r="M61" s="814"/>
      <c r="N61" s="814"/>
      <c r="O61" s="814"/>
      <c r="P61" s="814"/>
      <c r="Q61" s="59"/>
    </row>
    <row r="62" spans="1:31" ht="11.45" customHeight="1">
      <c r="A62" s="1641"/>
      <c r="B62" s="1642"/>
      <c r="C62" s="1642"/>
      <c r="D62" s="1642"/>
      <c r="E62" s="1642"/>
      <c r="F62" s="1642"/>
      <c r="G62" s="1642"/>
      <c r="H62" s="1642"/>
      <c r="I62" s="1642"/>
      <c r="J62" s="1643"/>
      <c r="K62" s="1048"/>
      <c r="L62" s="1049"/>
      <c r="M62" s="1049"/>
      <c r="N62" s="1049"/>
      <c r="O62" s="1049"/>
      <c r="P62" s="1049"/>
      <c r="Q62" s="1050"/>
      <c r="U62" s="168"/>
      <c r="V62" s="168"/>
      <c r="W62" s="168"/>
      <c r="X62" s="168"/>
      <c r="Y62" s="168"/>
      <c r="Z62" s="168"/>
      <c r="AA62" s="168"/>
      <c r="AB62" s="168"/>
      <c r="AC62" s="168"/>
      <c r="AD62" s="168"/>
      <c r="AE62" s="656"/>
    </row>
    <row r="63" spans="1:31" ht="3" customHeight="1">
      <c r="A63" s="814"/>
      <c r="B63" s="162"/>
      <c r="C63" s="818"/>
      <c r="D63" s="818"/>
      <c r="E63" s="818"/>
      <c r="F63" s="818"/>
      <c r="G63" s="818"/>
      <c r="H63" s="818"/>
      <c r="I63" s="818"/>
      <c r="J63" s="818"/>
      <c r="K63" s="818"/>
      <c r="L63" s="818"/>
      <c r="M63" s="818"/>
      <c r="N63" s="818"/>
      <c r="O63" s="818"/>
      <c r="P63" s="818"/>
      <c r="Q63" s="814"/>
    </row>
    <row r="64" spans="1:31" ht="13.9" customHeight="1">
      <c r="A64" s="820">
        <v>4</v>
      </c>
      <c r="B64" s="820" t="s">
        <v>3487</v>
      </c>
      <c r="C64" s="136"/>
      <c r="D64" s="818"/>
      <c r="E64" s="818"/>
      <c r="F64" s="818"/>
      <c r="G64" s="818"/>
      <c r="H64" s="818"/>
      <c r="I64" s="818"/>
      <c r="J64" s="818"/>
      <c r="K64" s="818"/>
      <c r="L64" s="818"/>
      <c r="M64" s="818"/>
      <c r="O64" s="163" t="s">
        <v>2573</v>
      </c>
      <c r="P64" s="1053"/>
      <c r="Q64" s="1054"/>
    </row>
    <row r="65" spans="1:31" ht="3" customHeight="1"/>
    <row r="66" spans="1:31" ht="12.6" customHeight="1">
      <c r="B66" s="174" t="s">
        <v>2695</v>
      </c>
      <c r="C66" s="1098" t="s">
        <v>336</v>
      </c>
      <c r="D66" s="1099"/>
      <c r="E66" s="1099"/>
      <c r="F66" s="1099"/>
      <c r="G66" s="1099"/>
      <c r="H66" s="1099"/>
      <c r="I66" s="1099"/>
      <c r="J66" s="1099"/>
      <c r="K66" s="1099"/>
      <c r="L66" s="1099"/>
      <c r="M66" s="1099"/>
      <c r="O66" s="175"/>
      <c r="P66" s="1637" t="s">
        <v>4133</v>
      </c>
    </row>
    <row r="67" spans="1:31" ht="12" customHeight="1">
      <c r="B67" s="54" t="s">
        <v>2698</v>
      </c>
      <c r="C67" s="38" t="s">
        <v>3667</v>
      </c>
      <c r="D67" s="38"/>
      <c r="E67" s="38"/>
      <c r="F67" s="38"/>
      <c r="G67" s="38"/>
      <c r="H67" s="38"/>
      <c r="I67" s="38"/>
      <c r="J67" s="38"/>
      <c r="K67" s="38"/>
      <c r="L67" s="38"/>
      <c r="M67" s="38"/>
      <c r="O67" s="38"/>
      <c r="P67" s="38"/>
      <c r="Q67" s="38"/>
    </row>
    <row r="68" spans="1:31" ht="10.9" customHeight="1">
      <c r="A68" s="176"/>
      <c r="B68" s="49"/>
      <c r="C68" s="78" t="s">
        <v>2430</v>
      </c>
      <c r="D68" s="38" t="s">
        <v>747</v>
      </c>
      <c r="E68" s="813"/>
      <c r="F68" s="813"/>
      <c r="G68" s="813"/>
      <c r="H68" s="40"/>
      <c r="I68" s="49"/>
      <c r="J68" s="44" t="s">
        <v>3621</v>
      </c>
      <c r="K68" s="1665" t="s">
        <v>4166</v>
      </c>
      <c r="L68" s="1666"/>
      <c r="M68" s="1666"/>
      <c r="N68" s="1666"/>
      <c r="O68" s="1666"/>
      <c r="P68" s="1667"/>
      <c r="Q68" s="38"/>
    </row>
    <row r="69" spans="1:31" ht="10.9" customHeight="1">
      <c r="A69" s="176"/>
      <c r="B69" s="49"/>
      <c r="C69" s="78" t="s">
        <v>2431</v>
      </c>
      <c r="D69" s="38" t="s">
        <v>2507</v>
      </c>
      <c r="E69" s="813"/>
      <c r="F69" s="813"/>
      <c r="G69" s="813"/>
      <c r="H69" s="40"/>
      <c r="I69" s="49"/>
      <c r="J69" s="44" t="s">
        <v>3621</v>
      </c>
      <c r="K69" s="1668" t="s">
        <v>4167</v>
      </c>
      <c r="L69" s="1669"/>
      <c r="M69" s="1669"/>
      <c r="N69" s="1669"/>
      <c r="O69" s="1669"/>
      <c r="P69" s="1670"/>
      <c r="Q69" s="38"/>
    </row>
    <row r="70" spans="1:31" ht="10.9" customHeight="1">
      <c r="A70" s="176"/>
      <c r="B70" s="49"/>
      <c r="C70" s="78" t="s">
        <v>2432</v>
      </c>
      <c r="D70" s="38" t="s">
        <v>337</v>
      </c>
      <c r="E70" s="813"/>
      <c r="J70" s="44" t="s">
        <v>3621</v>
      </c>
      <c r="K70" s="1671"/>
      <c r="L70" s="1672"/>
      <c r="M70" s="1672"/>
      <c r="N70" s="1672"/>
      <c r="O70" s="1672"/>
      <c r="P70" s="1673"/>
      <c r="Q70" s="38"/>
    </row>
    <row r="71" spans="1:31" ht="11.25" customHeight="1">
      <c r="B71" s="116" t="s">
        <v>2571</v>
      </c>
      <c r="D71" s="116"/>
      <c r="E71" s="116"/>
      <c r="F71" s="116"/>
      <c r="G71" s="116"/>
      <c r="H71" s="823"/>
      <c r="I71" s="162"/>
      <c r="J71" s="162"/>
      <c r="K71" s="162"/>
      <c r="L71" s="814"/>
      <c r="M71" s="814"/>
      <c r="N71" s="814"/>
      <c r="O71" s="814"/>
      <c r="P71" s="814"/>
      <c r="Q71" s="59"/>
    </row>
    <row r="72" spans="1:31" ht="12" customHeight="1">
      <c r="A72" s="1641"/>
      <c r="B72" s="1642"/>
      <c r="C72" s="1642"/>
      <c r="D72" s="1642"/>
      <c r="E72" s="1642"/>
      <c r="F72" s="1642"/>
      <c r="G72" s="1642"/>
      <c r="H72" s="1642"/>
      <c r="I72" s="1642"/>
      <c r="J72" s="1642"/>
      <c r="K72" s="1642"/>
      <c r="L72" s="1642"/>
      <c r="M72" s="1642"/>
      <c r="N72" s="1642"/>
      <c r="O72" s="1642"/>
      <c r="P72" s="1642"/>
      <c r="Q72" s="1643"/>
      <c r="U72" s="168"/>
      <c r="V72" s="168"/>
      <c r="W72" s="168"/>
      <c r="X72" s="168"/>
      <c r="Y72" s="168"/>
      <c r="Z72" s="168"/>
      <c r="AA72" s="168"/>
      <c r="AB72" s="168"/>
      <c r="AC72" s="168"/>
      <c r="AD72" s="168"/>
      <c r="AE72" s="656"/>
    </row>
    <row r="73" spans="1:31" ht="11.25" customHeight="1">
      <c r="B73" s="169" t="s">
        <v>2572</v>
      </c>
      <c r="C73" s="170"/>
      <c r="D73" s="818"/>
      <c r="E73" s="818"/>
      <c r="F73" s="818"/>
      <c r="G73" s="818"/>
      <c r="H73" s="818"/>
      <c r="I73" s="818"/>
      <c r="J73" s="818"/>
      <c r="K73" s="818"/>
      <c r="L73" s="818"/>
      <c r="M73" s="818"/>
      <c r="N73" s="818"/>
      <c r="O73" s="818"/>
      <c r="P73" s="818"/>
      <c r="Q73" s="818"/>
    </row>
    <row r="74" spans="1:31" ht="12" customHeight="1">
      <c r="A74" s="1048"/>
      <c r="B74" s="1049"/>
      <c r="C74" s="1049"/>
      <c r="D74" s="1049"/>
      <c r="E74" s="1049"/>
      <c r="F74" s="1049"/>
      <c r="G74" s="1049"/>
      <c r="H74" s="1049"/>
      <c r="I74" s="1049"/>
      <c r="J74" s="1049"/>
      <c r="K74" s="1049"/>
      <c r="L74" s="1049"/>
      <c r="M74" s="1049"/>
      <c r="N74" s="1049"/>
      <c r="O74" s="1049"/>
      <c r="P74" s="1049"/>
      <c r="Q74" s="1050"/>
    </row>
    <row r="75" spans="1:31" ht="4.9000000000000004" customHeight="1">
      <c r="A75" s="814"/>
      <c r="B75" s="162"/>
      <c r="C75" s="818"/>
      <c r="D75" s="818"/>
      <c r="E75" s="818"/>
      <c r="F75" s="818"/>
      <c r="G75" s="818"/>
      <c r="H75" s="818"/>
      <c r="I75" s="818"/>
      <c r="J75" s="818"/>
      <c r="K75" s="818"/>
      <c r="L75" s="818"/>
      <c r="M75" s="818"/>
      <c r="N75" s="818"/>
      <c r="O75" s="818"/>
      <c r="P75" s="818"/>
      <c r="Q75" s="814"/>
    </row>
    <row r="76" spans="1:31" ht="13.9" customHeight="1">
      <c r="A76" s="820">
        <v>5</v>
      </c>
      <c r="B76" s="820" t="s">
        <v>3488</v>
      </c>
      <c r="C76" s="820"/>
      <c r="D76" s="818"/>
      <c r="E76" s="818"/>
      <c r="F76" s="818"/>
      <c r="G76" s="818"/>
      <c r="H76" s="818"/>
      <c r="I76" s="818"/>
      <c r="J76" s="818"/>
      <c r="K76" s="818"/>
      <c r="O76" s="163" t="s">
        <v>2573</v>
      </c>
      <c r="P76" s="1053"/>
      <c r="Q76" s="1054"/>
    </row>
    <row r="77" spans="1:31" ht="3" customHeight="1"/>
    <row r="78" spans="1:31" ht="12" customHeight="1">
      <c r="B78" s="54" t="s">
        <v>2695</v>
      </c>
      <c r="C78" s="177" t="s">
        <v>3239</v>
      </c>
      <c r="D78" s="165"/>
      <c r="E78" s="165"/>
      <c r="F78" s="165"/>
      <c r="G78" s="165"/>
      <c r="H78" s="165"/>
      <c r="I78" s="49"/>
      <c r="J78" s="49"/>
      <c r="K78" s="49"/>
      <c r="L78" s="654" t="s">
        <v>2695</v>
      </c>
      <c r="M78" s="1665" t="s">
        <v>4147</v>
      </c>
      <c r="N78" s="1666"/>
      <c r="O78" s="1666"/>
      <c r="P78" s="1674"/>
      <c r="Q78" s="210"/>
    </row>
    <row r="79" spans="1:31" ht="12" customHeight="1">
      <c r="B79" s="54" t="s">
        <v>2698</v>
      </c>
      <c r="C79" s="61" t="s">
        <v>2750</v>
      </c>
      <c r="D79" s="165"/>
      <c r="E79" s="165"/>
      <c r="F79" s="165"/>
      <c r="L79" s="654" t="s">
        <v>2698</v>
      </c>
      <c r="M79" s="1668" t="s">
        <v>4148</v>
      </c>
      <c r="N79" s="1669"/>
      <c r="O79" s="1669"/>
      <c r="P79" s="1675"/>
      <c r="Q79" s="210"/>
    </row>
    <row r="80" spans="1:31" ht="12" customHeight="1">
      <c r="B80" s="54" t="s">
        <v>1054</v>
      </c>
      <c r="C80" s="61" t="s">
        <v>3240</v>
      </c>
      <c r="D80" s="165"/>
      <c r="E80" s="165"/>
      <c r="F80" s="165"/>
      <c r="L80" s="654" t="s">
        <v>1054</v>
      </c>
      <c r="M80" s="1668" t="s">
        <v>4148</v>
      </c>
      <c r="N80" s="1669"/>
      <c r="O80" s="1669"/>
      <c r="P80" s="1675"/>
      <c r="Q80" s="321"/>
    </row>
    <row r="81" spans="1:31" ht="12" customHeight="1">
      <c r="B81" s="54" t="s">
        <v>2831</v>
      </c>
      <c r="C81" s="61" t="s">
        <v>3241</v>
      </c>
      <c r="D81" s="165"/>
      <c r="E81" s="165"/>
      <c r="F81" s="165"/>
      <c r="L81" s="654" t="s">
        <v>2831</v>
      </c>
      <c r="M81" s="1671">
        <v>0</v>
      </c>
      <c r="N81" s="1672"/>
      <c r="O81" s="1672"/>
      <c r="P81" s="1676"/>
      <c r="Q81" s="210"/>
    </row>
    <row r="82" spans="1:31" ht="22.15" customHeight="1">
      <c r="B82" s="174" t="s">
        <v>2428</v>
      </c>
      <c r="C82" s="1055" t="s">
        <v>3635</v>
      </c>
      <c r="D82" s="1055"/>
      <c r="E82" s="1055"/>
      <c r="F82" s="1055"/>
      <c r="G82" s="1055"/>
      <c r="H82" s="1055"/>
      <c r="I82" s="1055"/>
      <c r="J82" s="1055"/>
      <c r="K82" s="1055"/>
      <c r="L82" s="1055"/>
      <c r="M82" s="1055"/>
      <c r="N82" s="1055"/>
      <c r="O82" s="1055"/>
      <c r="P82" s="1055"/>
      <c r="Q82" s="1055"/>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1677" t="s">
        <v>4149</v>
      </c>
      <c r="E84" s="1678" t="s">
        <v>4150</v>
      </c>
      <c r="F84" s="1678"/>
      <c r="G84" s="1678"/>
      <c r="H84" s="61">
        <v>3</v>
      </c>
      <c r="I84" s="1677"/>
      <c r="J84" s="1678"/>
      <c r="K84" s="1678"/>
      <c r="L84" s="1678"/>
      <c r="M84" s="61">
        <v>5</v>
      </c>
      <c r="N84" s="1677"/>
      <c r="O84" s="1678"/>
      <c r="P84" s="1678"/>
      <c r="Q84" s="1678"/>
    </row>
    <row r="85" spans="1:31" ht="12" customHeight="1">
      <c r="B85" s="54"/>
      <c r="C85" s="61">
        <v>2</v>
      </c>
      <c r="D85" s="1679"/>
      <c r="E85" s="1680"/>
      <c r="F85" s="1680"/>
      <c r="G85" s="1680"/>
      <c r="H85" s="61">
        <v>4</v>
      </c>
      <c r="I85" s="1679"/>
      <c r="J85" s="1680"/>
      <c r="K85" s="1680"/>
      <c r="L85" s="1680"/>
      <c r="M85" s="61">
        <v>6</v>
      </c>
      <c r="N85" s="1679"/>
      <c r="O85" s="1680"/>
      <c r="P85" s="1680"/>
      <c r="Q85" s="1680"/>
    </row>
    <row r="86" spans="1:31" ht="12" customHeight="1">
      <c r="B86" s="54" t="s">
        <v>2429</v>
      </c>
      <c r="C86" s="61" t="s">
        <v>0</v>
      </c>
      <c r="D86" s="165"/>
      <c r="E86" s="165"/>
      <c r="F86" s="165"/>
      <c r="G86" s="165"/>
      <c r="H86" s="165"/>
      <c r="I86" s="49"/>
      <c r="J86" s="49"/>
      <c r="K86" s="165"/>
      <c r="L86" s="813"/>
      <c r="M86" s="813"/>
      <c r="O86" s="654" t="s">
        <v>2429</v>
      </c>
      <c r="P86" s="1681" t="s">
        <v>4064</v>
      </c>
      <c r="Q86" s="321"/>
    </row>
    <row r="87" spans="1:31" ht="11.25" customHeight="1">
      <c r="B87" s="173" t="s">
        <v>2571</v>
      </c>
      <c r="D87" s="173"/>
      <c r="E87" s="173"/>
      <c r="F87" s="173"/>
      <c r="G87" s="173"/>
      <c r="H87" s="823"/>
      <c r="I87" s="162"/>
      <c r="J87" s="162"/>
      <c r="K87" s="162"/>
      <c r="L87" s="814"/>
      <c r="M87" s="814"/>
      <c r="N87" s="814"/>
      <c r="O87" s="814"/>
      <c r="P87" s="814"/>
      <c r="Q87" s="59"/>
    </row>
    <row r="88" spans="1:31" ht="22.9" customHeight="1">
      <c r="A88" s="1641"/>
      <c r="B88" s="1642"/>
      <c r="C88" s="1642"/>
      <c r="D88" s="1642"/>
      <c r="E88" s="1642"/>
      <c r="F88" s="1642"/>
      <c r="G88" s="1642"/>
      <c r="H88" s="1642"/>
      <c r="I88" s="1642"/>
      <c r="J88" s="1642"/>
      <c r="K88" s="1642"/>
      <c r="L88" s="1642"/>
      <c r="M88" s="1642"/>
      <c r="N88" s="1642"/>
      <c r="O88" s="1642"/>
      <c r="P88" s="1642"/>
      <c r="Q88" s="1643"/>
      <c r="U88" s="168"/>
      <c r="V88" s="168"/>
      <c r="W88" s="168"/>
      <c r="X88" s="168"/>
      <c r="Y88" s="168"/>
      <c r="Z88" s="168"/>
      <c r="AA88" s="168"/>
      <c r="AB88" s="168"/>
      <c r="AC88" s="168"/>
      <c r="AD88" s="168"/>
      <c r="AE88" s="656"/>
    </row>
    <row r="89" spans="1:31" ht="11.25" customHeight="1">
      <c r="B89" s="169" t="s">
        <v>2572</v>
      </c>
      <c r="C89" s="170"/>
      <c r="D89" s="818"/>
      <c r="E89" s="818"/>
      <c r="F89" s="818"/>
      <c r="G89" s="818"/>
      <c r="H89" s="818"/>
      <c r="I89" s="818"/>
      <c r="J89" s="818"/>
      <c r="K89" s="818"/>
      <c r="L89" s="818"/>
      <c r="M89" s="818"/>
      <c r="N89" s="818"/>
      <c r="O89" s="818"/>
      <c r="P89" s="818"/>
      <c r="Q89" s="818"/>
    </row>
    <row r="90" spans="1:31" ht="22.9" customHeight="1">
      <c r="A90" s="1048"/>
      <c r="B90" s="1049"/>
      <c r="C90" s="1049"/>
      <c r="D90" s="1049"/>
      <c r="E90" s="1049"/>
      <c r="F90" s="1049"/>
      <c r="G90" s="1049"/>
      <c r="H90" s="1049"/>
      <c r="I90" s="1049"/>
      <c r="J90" s="1049"/>
      <c r="K90" s="1049"/>
      <c r="L90" s="1049"/>
      <c r="M90" s="1049"/>
      <c r="N90" s="1049"/>
      <c r="O90" s="1049"/>
      <c r="P90" s="1049"/>
      <c r="Q90" s="1050"/>
    </row>
    <row r="91" spans="1:31" ht="13.9" customHeight="1">
      <c r="A91" s="820">
        <v>6</v>
      </c>
      <c r="B91" s="820" t="s">
        <v>3489</v>
      </c>
      <c r="C91" s="820"/>
      <c r="D91" s="818"/>
      <c r="E91" s="818"/>
      <c r="F91" s="818"/>
      <c r="G91" s="818"/>
      <c r="H91" s="818"/>
      <c r="I91" s="818"/>
      <c r="J91" s="818"/>
      <c r="K91" s="818"/>
      <c r="L91" s="818"/>
      <c r="M91" s="818"/>
      <c r="O91" s="163" t="s">
        <v>2573</v>
      </c>
      <c r="P91" s="1053"/>
      <c r="Q91" s="1054"/>
    </row>
    <row r="92" spans="1:31" ht="3" customHeight="1"/>
    <row r="93" spans="1:31" ht="12" customHeight="1">
      <c r="B93" s="54" t="s">
        <v>2695</v>
      </c>
      <c r="C93" s="61" t="s">
        <v>628</v>
      </c>
      <c r="D93" s="61"/>
      <c r="E93" s="61"/>
      <c r="F93" s="61"/>
      <c r="G93" s="61"/>
      <c r="H93" s="61"/>
      <c r="I93" s="61"/>
      <c r="J93" s="61"/>
      <c r="K93" s="61"/>
      <c r="L93" s="61"/>
      <c r="M93" s="61"/>
      <c r="O93" s="654" t="s">
        <v>2695</v>
      </c>
      <c r="P93" s="1637" t="s">
        <v>4065</v>
      </c>
      <c r="Q93" s="210"/>
    </row>
    <row r="94" spans="1:31" ht="12" customHeight="1">
      <c r="B94" s="54" t="s">
        <v>2698</v>
      </c>
      <c r="C94" s="61" t="s">
        <v>1738</v>
      </c>
      <c r="D94" s="61"/>
      <c r="E94" s="61"/>
      <c r="F94" s="61"/>
      <c r="G94" s="61"/>
      <c r="H94" s="61"/>
      <c r="I94" s="61"/>
      <c r="J94" s="61"/>
      <c r="K94" s="61"/>
      <c r="L94" s="38"/>
      <c r="M94" s="38"/>
      <c r="O94" s="654" t="s">
        <v>2698</v>
      </c>
      <c r="P94" s="1637" t="s">
        <v>4065</v>
      </c>
      <c r="Q94" s="210"/>
    </row>
    <row r="95" spans="1:31" ht="12" customHeight="1">
      <c r="A95" s="164"/>
      <c r="B95" s="44"/>
      <c r="D95" s="47" t="s">
        <v>721</v>
      </c>
      <c r="E95" s="49"/>
      <c r="F95" s="49"/>
      <c r="G95" s="49"/>
      <c r="H95" s="49"/>
      <c r="I95" s="49"/>
      <c r="L95" s="78" t="s">
        <v>722</v>
      </c>
      <c r="M95" s="1682"/>
      <c r="N95" s="1683"/>
      <c r="O95" s="1683"/>
      <c r="P95" s="1684"/>
      <c r="Q95" s="210"/>
    </row>
    <row r="96" spans="1:31" ht="22.9" customHeight="1">
      <c r="A96" s="176"/>
      <c r="B96" s="162"/>
      <c r="C96" s="183" t="s">
        <v>2430</v>
      </c>
      <c r="D96" s="1036" t="s">
        <v>591</v>
      </c>
      <c r="E96" s="1685"/>
      <c r="F96" s="1685"/>
      <c r="G96" s="1685"/>
      <c r="H96" s="1685"/>
      <c r="I96" s="1685"/>
      <c r="J96" s="1685"/>
      <c r="K96" s="1685"/>
      <c r="L96" s="1685"/>
      <c r="M96" s="1685"/>
      <c r="N96" s="1685"/>
      <c r="O96" s="183" t="s">
        <v>2430</v>
      </c>
      <c r="P96" s="1637"/>
      <c r="Q96" s="210"/>
    </row>
    <row r="97" spans="1:32" ht="12" customHeight="1">
      <c r="A97" s="176"/>
      <c r="B97" s="162"/>
      <c r="C97" s="78" t="s">
        <v>2431</v>
      </c>
      <c r="D97" s="61" t="s">
        <v>153</v>
      </c>
      <c r="E97" s="61"/>
      <c r="F97" s="61"/>
      <c r="G97" s="61"/>
      <c r="H97" s="61"/>
      <c r="I97" s="61"/>
      <c r="J97" s="61"/>
      <c r="K97" s="61"/>
      <c r="L97" s="61"/>
      <c r="M97" s="61"/>
      <c r="O97" s="78" t="s">
        <v>2431</v>
      </c>
      <c r="P97" s="1637"/>
      <c r="Q97" s="210"/>
    </row>
    <row r="98" spans="1:32" s="164" customFormat="1" ht="24.75" customHeight="1">
      <c r="A98" s="176"/>
      <c r="B98" s="592"/>
      <c r="C98" s="183" t="s">
        <v>2432</v>
      </c>
      <c r="D98" s="1055" t="s">
        <v>3584</v>
      </c>
      <c r="E98" s="1055"/>
      <c r="F98" s="1055"/>
      <c r="G98" s="1055"/>
      <c r="H98" s="1055"/>
      <c r="I98" s="1055"/>
      <c r="J98" s="1055"/>
      <c r="K98" s="1055"/>
      <c r="L98" s="1055"/>
      <c r="M98" s="1055"/>
      <c r="N98" s="1055"/>
      <c r="O98" s="183" t="s">
        <v>2432</v>
      </c>
      <c r="P98" s="1686"/>
      <c r="Q98" s="323"/>
      <c r="AE98" s="657"/>
      <c r="AF98" s="657"/>
    </row>
    <row r="99" spans="1:32" ht="12" customHeight="1">
      <c r="B99" s="54" t="s">
        <v>1054</v>
      </c>
      <c r="C99" s="61" t="s">
        <v>154</v>
      </c>
      <c r="D99" s="61"/>
      <c r="E99" s="61"/>
      <c r="F99" s="61"/>
      <c r="G99" s="61"/>
      <c r="H99" s="61"/>
      <c r="I99" s="61"/>
      <c r="J99" s="61"/>
      <c r="K99" s="61"/>
      <c r="L99" s="61"/>
      <c r="M99" s="61"/>
      <c r="O99" s="654" t="s">
        <v>1054</v>
      </c>
      <c r="P99" s="1637"/>
      <c r="Q99" s="210"/>
    </row>
    <row r="100" spans="1:32" ht="12" customHeight="1">
      <c r="B100" s="54" t="s">
        <v>2831</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637"/>
      <c r="Q101" s="210"/>
    </row>
    <row r="102" spans="1:32" ht="12" customHeight="1">
      <c r="B102" s="54"/>
      <c r="C102" s="78" t="s">
        <v>2431</v>
      </c>
      <c r="D102" s="61" t="s">
        <v>1873</v>
      </c>
      <c r="E102" s="61"/>
      <c r="F102" s="61"/>
      <c r="G102" s="61"/>
      <c r="H102" s="61"/>
      <c r="I102" s="61"/>
      <c r="J102" s="61"/>
      <c r="K102" s="61"/>
      <c r="L102" s="38"/>
      <c r="M102" s="38"/>
      <c r="O102" s="78" t="s">
        <v>2431</v>
      </c>
      <c r="P102" s="1637"/>
      <c r="Q102" s="210"/>
    </row>
    <row r="103" spans="1:32" ht="12" customHeight="1">
      <c r="B103" s="54"/>
      <c r="C103" s="78" t="s">
        <v>2432</v>
      </c>
      <c r="D103" s="61" t="s">
        <v>1874</v>
      </c>
      <c r="E103" s="61"/>
      <c r="F103" s="61"/>
      <c r="G103" s="61"/>
      <c r="H103" s="61"/>
      <c r="I103" s="61"/>
      <c r="J103" s="61"/>
      <c r="K103" s="61"/>
      <c r="L103" s="38"/>
      <c r="M103" s="38"/>
      <c r="O103" s="78" t="s">
        <v>2432</v>
      </c>
      <c r="P103" s="1637"/>
      <c r="Q103" s="210"/>
    </row>
    <row r="104" spans="1:32" ht="11.25" customHeight="1">
      <c r="B104" s="173" t="s">
        <v>2571</v>
      </c>
      <c r="D104" s="173"/>
      <c r="E104" s="173"/>
      <c r="F104" s="173"/>
      <c r="G104" s="173"/>
      <c r="H104" s="823"/>
      <c r="I104" s="162"/>
      <c r="J104" s="162"/>
      <c r="K104" s="162"/>
      <c r="L104" s="814"/>
      <c r="M104" s="814"/>
      <c r="N104" s="814"/>
      <c r="O104" s="814"/>
      <c r="P104" s="814"/>
      <c r="Q104" s="59"/>
    </row>
    <row r="105" spans="1:32" ht="13.15" customHeight="1">
      <c r="A105" s="1641"/>
      <c r="B105" s="1642"/>
      <c r="C105" s="1642"/>
      <c r="D105" s="1642"/>
      <c r="E105" s="1642"/>
      <c r="F105" s="1642"/>
      <c r="G105" s="1642"/>
      <c r="H105" s="1642"/>
      <c r="I105" s="1642"/>
      <c r="J105" s="1642"/>
      <c r="K105" s="1642"/>
      <c r="L105" s="1642"/>
      <c r="M105" s="1642"/>
      <c r="N105" s="1642"/>
      <c r="O105" s="1642"/>
      <c r="P105" s="1642"/>
      <c r="Q105" s="1643"/>
      <c r="U105" s="168"/>
      <c r="V105" s="168"/>
      <c r="W105" s="168"/>
      <c r="X105" s="168"/>
      <c r="Y105" s="168"/>
      <c r="Z105" s="168"/>
      <c r="AA105" s="168"/>
      <c r="AB105" s="168"/>
      <c r="AC105" s="168"/>
      <c r="AD105" s="168"/>
      <c r="AE105" s="656"/>
    </row>
    <row r="106" spans="1:32" ht="11.25" customHeight="1">
      <c r="B106" s="169" t="s">
        <v>2572</v>
      </c>
      <c r="C106" s="170"/>
      <c r="D106" s="818"/>
      <c r="E106" s="818"/>
      <c r="F106" s="818"/>
      <c r="G106" s="818"/>
      <c r="H106" s="818"/>
      <c r="I106" s="818"/>
      <c r="J106" s="818"/>
      <c r="K106" s="818"/>
      <c r="L106" s="818"/>
      <c r="M106" s="818"/>
      <c r="N106" s="818"/>
      <c r="O106" s="818"/>
      <c r="P106" s="818"/>
      <c r="Q106" s="818"/>
    </row>
    <row r="107" spans="1:32" ht="13.15" customHeight="1">
      <c r="A107" s="1048"/>
      <c r="B107" s="1049"/>
      <c r="C107" s="1049"/>
      <c r="D107" s="1049"/>
      <c r="E107" s="1049"/>
      <c r="F107" s="1049"/>
      <c r="G107" s="1049"/>
      <c r="H107" s="1049"/>
      <c r="I107" s="1049"/>
      <c r="J107" s="1049"/>
      <c r="K107" s="1049"/>
      <c r="L107" s="1049"/>
      <c r="M107" s="1049"/>
      <c r="N107" s="1049"/>
      <c r="O107" s="1049"/>
      <c r="P107" s="1049"/>
      <c r="Q107" s="1050"/>
    </row>
    <row r="108" spans="1:32" ht="4.9000000000000004" customHeight="1">
      <c r="A108" s="814"/>
      <c r="B108" s="162"/>
      <c r="C108" s="818"/>
      <c r="D108" s="818"/>
      <c r="E108" s="818"/>
      <c r="F108" s="818"/>
      <c r="G108" s="818"/>
      <c r="H108" s="818"/>
      <c r="I108" s="818"/>
      <c r="J108" s="818"/>
      <c r="K108" s="818"/>
      <c r="L108" s="818"/>
      <c r="M108" s="818"/>
      <c r="N108" s="818"/>
      <c r="O108" s="818"/>
      <c r="P108" s="818"/>
      <c r="Q108" s="814"/>
    </row>
    <row r="109" spans="1:32" ht="13.9" customHeight="1">
      <c r="A109" s="820">
        <v>7</v>
      </c>
      <c r="B109" s="820" t="s">
        <v>3490</v>
      </c>
      <c r="C109" s="823"/>
      <c r="D109" s="818"/>
      <c r="E109" s="818"/>
      <c r="F109" s="818"/>
      <c r="G109" s="818"/>
      <c r="H109" s="818"/>
      <c r="I109" s="818"/>
      <c r="J109" s="818"/>
      <c r="K109" s="818"/>
      <c r="L109" s="818"/>
      <c r="M109" s="818"/>
      <c r="O109" s="163" t="s">
        <v>2573</v>
      </c>
      <c r="P109" s="1053"/>
      <c r="Q109" s="1054"/>
    </row>
    <row r="110" spans="1:32" ht="6.6" customHeight="1"/>
    <row r="111" spans="1:32" ht="12" customHeight="1">
      <c r="B111" s="54" t="s">
        <v>2695</v>
      </c>
      <c r="C111" s="61" t="s">
        <v>3581</v>
      </c>
      <c r="D111" s="165"/>
      <c r="E111" s="165"/>
      <c r="F111" s="165"/>
      <c r="G111" s="165"/>
      <c r="H111" s="165"/>
      <c r="I111" s="49"/>
      <c r="J111" s="49"/>
      <c r="K111" s="49"/>
      <c r="L111" s="654" t="s">
        <v>2695</v>
      </c>
      <c r="M111" s="1687" t="s">
        <v>4151</v>
      </c>
      <c r="N111" s="1688"/>
      <c r="O111" s="1688"/>
      <c r="P111" s="1689"/>
      <c r="Q111" s="210"/>
    </row>
    <row r="112" spans="1:32" ht="12" customHeight="1">
      <c r="B112" s="54" t="s">
        <v>2698</v>
      </c>
      <c r="C112" s="61" t="s">
        <v>1997</v>
      </c>
      <c r="D112" s="165"/>
      <c r="E112" s="165"/>
      <c r="F112" s="165"/>
      <c r="G112" s="165"/>
      <c r="H112" s="165"/>
      <c r="I112" s="49"/>
      <c r="J112" s="49"/>
      <c r="K112" s="165"/>
      <c r="L112" s="165"/>
      <c r="M112" s="813"/>
      <c r="O112" s="654" t="s">
        <v>2698</v>
      </c>
      <c r="P112" s="1637" t="s">
        <v>4064</v>
      </c>
      <c r="Q112" s="321"/>
    </row>
    <row r="113" spans="2:17" ht="12" customHeight="1">
      <c r="B113" s="54" t="s">
        <v>1054</v>
      </c>
      <c r="C113" s="61" t="s">
        <v>165</v>
      </c>
      <c r="D113" s="165"/>
      <c r="E113" s="165"/>
      <c r="F113" s="165"/>
      <c r="G113" s="165"/>
      <c r="H113" s="165"/>
      <c r="I113" s="49"/>
      <c r="J113" s="49"/>
      <c r="K113" s="165"/>
      <c r="L113" s="813"/>
      <c r="M113" s="813"/>
      <c r="O113" s="654" t="s">
        <v>1054</v>
      </c>
      <c r="P113" s="1637" t="s">
        <v>4064</v>
      </c>
      <c r="Q113" s="210"/>
    </row>
    <row r="114" spans="2:17" ht="12" customHeight="1">
      <c r="B114" s="54"/>
      <c r="C114" s="77" t="s">
        <v>2430</v>
      </c>
      <c r="D114" s="61" t="s">
        <v>3582</v>
      </c>
      <c r="E114" s="165"/>
      <c r="F114" s="165"/>
      <c r="G114" s="165"/>
      <c r="H114" s="165"/>
      <c r="I114" s="49"/>
      <c r="J114" s="49"/>
      <c r="K114" s="165"/>
      <c r="L114" s="78" t="s">
        <v>2430</v>
      </c>
      <c r="M114" s="1687" t="s">
        <v>4151</v>
      </c>
      <c r="N114" s="1688"/>
      <c r="O114" s="1688"/>
      <c r="P114" s="1689"/>
      <c r="Q114" s="321"/>
    </row>
    <row r="115" spans="2:17" ht="12" customHeight="1">
      <c r="B115" s="171"/>
      <c r="C115" s="78" t="s">
        <v>2431</v>
      </c>
      <c r="D115" s="44" t="s">
        <v>3402</v>
      </c>
      <c r="E115" s="49"/>
      <c r="F115" s="49"/>
      <c r="G115" s="49"/>
      <c r="H115" s="61"/>
      <c r="I115" s="49"/>
      <c r="J115" s="49"/>
      <c r="K115" s="165"/>
      <c r="L115" s="813"/>
      <c r="M115" s="813"/>
      <c r="O115" s="654" t="s">
        <v>2431</v>
      </c>
      <c r="P115" s="1681">
        <v>71.5</v>
      </c>
      <c r="Q115" s="321"/>
    </row>
    <row r="116" spans="2:17" ht="12" customHeight="1">
      <c r="B116" s="171"/>
      <c r="C116" s="654" t="s">
        <v>2432</v>
      </c>
      <c r="D116" s="61" t="s">
        <v>1819</v>
      </c>
      <c r="E116" s="49"/>
      <c r="F116" s="49"/>
      <c r="G116" s="49"/>
      <c r="H116" s="61"/>
      <c r="I116" s="49"/>
      <c r="J116" s="49"/>
      <c r="K116" s="165"/>
      <c r="L116" s="813"/>
      <c r="M116" s="813"/>
      <c r="N116" s="813"/>
      <c r="O116" s="813"/>
    </row>
    <row r="117" spans="2:17" ht="11.45" customHeight="1">
      <c r="B117" s="814"/>
      <c r="C117" s="78"/>
      <c r="D117" s="1690" t="s">
        <v>4152</v>
      </c>
      <c r="E117" s="1691"/>
      <c r="F117" s="1691"/>
      <c r="G117" s="1691"/>
      <c r="H117" s="1691"/>
      <c r="I117" s="1691"/>
      <c r="J117" s="1691"/>
      <c r="K117" s="1691"/>
      <c r="L117" s="1691"/>
      <c r="M117" s="1691"/>
      <c r="N117" s="1691"/>
      <c r="O117" s="1691"/>
      <c r="P117" s="1691"/>
      <c r="Q117" s="1692"/>
    </row>
    <row r="118" spans="2:17" ht="12" customHeight="1">
      <c r="B118" s="54" t="s">
        <v>2831</v>
      </c>
      <c r="C118" s="61" t="s">
        <v>1685</v>
      </c>
      <c r="D118" s="165"/>
      <c r="E118" s="165"/>
      <c r="F118" s="165"/>
      <c r="G118" s="165"/>
      <c r="H118" s="165"/>
      <c r="I118" s="49"/>
      <c r="J118" s="49"/>
      <c r="K118" s="165"/>
      <c r="L118" s="813"/>
      <c r="M118" s="813"/>
      <c r="N118" s="813"/>
      <c r="O118" s="654" t="s">
        <v>2831</v>
      </c>
    </row>
    <row r="119" spans="2:17" ht="12" customHeight="1">
      <c r="B119" s="54"/>
      <c r="C119" s="78" t="s">
        <v>2430</v>
      </c>
      <c r="D119" s="61" t="s">
        <v>163</v>
      </c>
      <c r="E119" s="165"/>
      <c r="F119" s="165"/>
      <c r="G119" s="165"/>
      <c r="H119" s="165"/>
      <c r="I119" s="49"/>
      <c r="J119" s="49"/>
      <c r="K119" s="165"/>
      <c r="L119" s="813"/>
      <c r="M119" s="813"/>
      <c r="O119" s="78" t="s">
        <v>2430</v>
      </c>
      <c r="P119" s="1637" t="s">
        <v>4065</v>
      </c>
      <c r="Q119" s="210"/>
    </row>
    <row r="120" spans="2:17" ht="12" customHeight="1">
      <c r="B120" s="54"/>
      <c r="C120" s="78" t="s">
        <v>2431</v>
      </c>
      <c r="D120" s="61" t="s">
        <v>1686</v>
      </c>
      <c r="E120" s="165"/>
      <c r="F120" s="165"/>
      <c r="G120" s="165"/>
      <c r="H120" s="49"/>
      <c r="I120" s="49"/>
      <c r="J120" s="49"/>
      <c r="K120" s="165"/>
      <c r="L120" s="813"/>
      <c r="M120" s="813"/>
      <c r="O120" s="78" t="s">
        <v>2431</v>
      </c>
      <c r="P120" s="1681" t="s">
        <v>4065</v>
      </c>
      <c r="Q120" s="321"/>
    </row>
    <row r="121" spans="2:17" ht="12" customHeight="1">
      <c r="B121" s="54"/>
      <c r="C121" s="78"/>
      <c r="D121" s="61" t="s">
        <v>3465</v>
      </c>
      <c r="E121" s="608" t="s">
        <v>3202</v>
      </c>
      <c r="F121" s="61" t="s">
        <v>3466</v>
      </c>
      <c r="G121" s="49"/>
      <c r="H121" s="61"/>
      <c r="I121" s="49"/>
      <c r="J121" s="49"/>
      <c r="K121" s="165"/>
      <c r="L121" s="813"/>
      <c r="M121" s="813"/>
      <c r="O121" s="608" t="s">
        <v>3202</v>
      </c>
      <c r="P121" s="1693"/>
      <c r="Q121" s="385"/>
    </row>
    <row r="122" spans="2:17" ht="12" customHeight="1">
      <c r="B122" s="54"/>
      <c r="C122" s="78"/>
      <c r="E122" s="608" t="s">
        <v>3203</v>
      </c>
      <c r="F122" s="61" t="s">
        <v>3467</v>
      </c>
      <c r="G122" s="49"/>
      <c r="H122" s="61"/>
      <c r="I122" s="49"/>
      <c r="J122" s="49"/>
      <c r="K122" s="165"/>
      <c r="L122" s="813"/>
      <c r="M122" s="813"/>
      <c r="O122" s="608" t="s">
        <v>3203</v>
      </c>
      <c r="P122" s="1681"/>
      <c r="Q122" s="321"/>
    </row>
    <row r="123" spans="2:17" ht="12" customHeight="1">
      <c r="B123" s="54"/>
      <c r="C123" s="78"/>
      <c r="E123" s="608" t="s">
        <v>3204</v>
      </c>
      <c r="F123" s="61" t="s">
        <v>3468</v>
      </c>
      <c r="G123" s="49"/>
      <c r="H123" s="61"/>
      <c r="I123" s="49"/>
      <c r="J123" s="49"/>
      <c r="K123" s="165"/>
      <c r="L123" s="813"/>
      <c r="M123" s="813"/>
      <c r="O123" s="608" t="s">
        <v>3204</v>
      </c>
      <c r="P123" s="1681"/>
      <c r="Q123" s="321"/>
    </row>
    <row r="124" spans="2:17" ht="12" customHeight="1">
      <c r="B124" s="54"/>
      <c r="C124" s="78" t="s">
        <v>2432</v>
      </c>
      <c r="D124" s="61" t="s">
        <v>1687</v>
      </c>
      <c r="E124" s="165"/>
      <c r="F124" s="165"/>
      <c r="G124" s="165"/>
      <c r="H124" s="61"/>
      <c r="I124" s="49"/>
      <c r="J124" s="49"/>
      <c r="K124" s="165"/>
      <c r="L124" s="813"/>
      <c r="M124" s="813"/>
      <c r="O124" s="78" t="s">
        <v>2432</v>
      </c>
      <c r="P124" s="1637" t="s">
        <v>4065</v>
      </c>
      <c r="Q124" s="210"/>
    </row>
    <row r="125" spans="2:17" ht="12" customHeight="1">
      <c r="B125" s="54"/>
      <c r="C125" s="78"/>
      <c r="D125" s="61" t="s">
        <v>3465</v>
      </c>
      <c r="E125" s="608" t="s">
        <v>3202</v>
      </c>
      <c r="F125" s="61" t="s">
        <v>3469</v>
      </c>
      <c r="G125" s="49"/>
      <c r="H125" s="61"/>
      <c r="I125" s="49"/>
      <c r="J125" s="49"/>
      <c r="K125" s="165"/>
      <c r="L125" s="813"/>
      <c r="O125" s="608" t="s">
        <v>3202</v>
      </c>
      <c r="P125" s="1693"/>
      <c r="Q125" s="322"/>
    </row>
    <row r="126" spans="2:17" ht="12" customHeight="1">
      <c r="B126" s="54"/>
      <c r="C126" s="78"/>
      <c r="E126" s="608" t="s">
        <v>3203</v>
      </c>
      <c r="F126" s="61" t="s">
        <v>3470</v>
      </c>
      <c r="G126" s="49"/>
      <c r="H126" s="61"/>
      <c r="I126" s="49"/>
      <c r="J126" s="49"/>
      <c r="K126" s="165"/>
      <c r="L126" s="813"/>
      <c r="O126" s="608" t="s">
        <v>3203</v>
      </c>
      <c r="P126" s="1681"/>
      <c r="Q126" s="321"/>
    </row>
    <row r="127" spans="2:17" ht="12" customHeight="1">
      <c r="B127" s="54"/>
      <c r="C127" s="78"/>
      <c r="E127" s="608" t="s">
        <v>3204</v>
      </c>
      <c r="F127" s="61" t="s">
        <v>3468</v>
      </c>
      <c r="G127" s="49"/>
      <c r="H127" s="61"/>
      <c r="I127" s="49"/>
      <c r="J127" s="49"/>
      <c r="K127" s="165"/>
      <c r="L127" s="813"/>
      <c r="O127" s="608" t="s">
        <v>3204</v>
      </c>
      <c r="P127" s="1681"/>
      <c r="Q127" s="321"/>
    </row>
    <row r="128" spans="2:17" ht="12" customHeight="1">
      <c r="B128" s="44"/>
      <c r="C128" s="78" t="s">
        <v>3120</v>
      </c>
      <c r="D128" s="61" t="s">
        <v>3471</v>
      </c>
      <c r="E128" s="165"/>
      <c r="F128" s="165"/>
      <c r="G128" s="165"/>
      <c r="H128" s="165"/>
      <c r="I128" s="49"/>
      <c r="J128" s="49"/>
      <c r="K128" s="165"/>
      <c r="L128" s="813"/>
      <c r="M128" s="813"/>
      <c r="O128" s="78" t="s">
        <v>3120</v>
      </c>
      <c r="P128" s="1637" t="s">
        <v>4065</v>
      </c>
      <c r="Q128" s="210"/>
    </row>
    <row r="129" spans="1:31" ht="12" customHeight="1">
      <c r="B129" s="54" t="s">
        <v>2428</v>
      </c>
      <c r="C129" s="178" t="s">
        <v>3179</v>
      </c>
      <c r="D129" s="165"/>
      <c r="E129" s="165"/>
      <c r="F129" s="165"/>
      <c r="G129" s="165"/>
      <c r="H129" s="165"/>
      <c r="I129" s="49"/>
      <c r="J129" s="49"/>
      <c r="K129" s="165"/>
      <c r="L129" s="813"/>
      <c r="M129" s="813"/>
      <c r="N129" s="813"/>
      <c r="O129" s="813"/>
      <c r="P129" s="813"/>
      <c r="Q129" s="813"/>
    </row>
    <row r="130" spans="1:31" ht="12" customHeight="1">
      <c r="B130" s="54"/>
      <c r="C130" s="78" t="s">
        <v>2430</v>
      </c>
      <c r="D130" s="61" t="s">
        <v>3180</v>
      </c>
      <c r="E130" s="165"/>
      <c r="F130" s="1694" t="s">
        <v>4065</v>
      </c>
      <c r="G130" s="324"/>
      <c r="H130" s="78" t="s">
        <v>3120</v>
      </c>
      <c r="I130" s="61" t="s">
        <v>2012</v>
      </c>
      <c r="J130" s="1694" t="s">
        <v>4065</v>
      </c>
      <c r="K130" s="324"/>
      <c r="L130" s="654" t="s">
        <v>104</v>
      </c>
      <c r="M130" s="61" t="s">
        <v>2013</v>
      </c>
      <c r="O130" s="1694" t="s">
        <v>4065</v>
      </c>
      <c r="P130" s="324"/>
    </row>
    <row r="131" spans="1:31" ht="12" customHeight="1">
      <c r="B131" s="44"/>
      <c r="C131" s="78" t="s">
        <v>2431</v>
      </c>
      <c r="D131" s="61" t="s">
        <v>3277</v>
      </c>
      <c r="E131" s="165"/>
      <c r="F131" s="1695" t="s">
        <v>4065</v>
      </c>
      <c r="G131" s="473"/>
      <c r="H131" s="78" t="s">
        <v>2009</v>
      </c>
      <c r="I131" s="61" t="s">
        <v>3668</v>
      </c>
      <c r="J131" s="1695" t="s">
        <v>4065</v>
      </c>
      <c r="K131" s="473"/>
      <c r="L131" s="654" t="s">
        <v>678</v>
      </c>
      <c r="M131" s="64" t="s">
        <v>3473</v>
      </c>
      <c r="O131" s="1695" t="s">
        <v>4065</v>
      </c>
      <c r="P131" s="473"/>
    </row>
    <row r="132" spans="1:31" ht="12" customHeight="1">
      <c r="B132" s="44"/>
      <c r="C132" s="78" t="s">
        <v>2432</v>
      </c>
      <c r="D132" s="61" t="s">
        <v>3472</v>
      </c>
      <c r="E132" s="165"/>
      <c r="F132" s="1696" t="s">
        <v>4065</v>
      </c>
      <c r="G132" s="325"/>
      <c r="H132" s="78" t="s">
        <v>2010</v>
      </c>
      <c r="I132" s="61" t="s">
        <v>2011</v>
      </c>
      <c r="J132" s="1696" t="s">
        <v>4065</v>
      </c>
      <c r="K132" s="325"/>
      <c r="L132" s="654" t="s">
        <v>679</v>
      </c>
      <c r="M132" s="64" t="s">
        <v>3474</v>
      </c>
      <c r="O132" s="1696" t="s">
        <v>4065</v>
      </c>
      <c r="P132" s="325"/>
    </row>
    <row r="133" spans="1:31" ht="12" customHeight="1">
      <c r="B133" s="44"/>
      <c r="C133" s="654" t="s">
        <v>680</v>
      </c>
      <c r="D133" s="61" t="s">
        <v>3962</v>
      </c>
      <c r="E133" s="165"/>
      <c r="F133" s="165"/>
      <c r="G133" s="165"/>
      <c r="H133" s="165"/>
      <c r="J133" s="1687"/>
      <c r="K133" s="1688"/>
      <c r="L133" s="1688"/>
      <c r="M133" s="1688"/>
      <c r="N133" s="1688"/>
      <c r="O133" s="1688"/>
      <c r="P133" s="1689"/>
      <c r="Q133" s="210"/>
    </row>
    <row r="134" spans="1:31" ht="12" customHeight="1">
      <c r="B134" s="54" t="s">
        <v>2429</v>
      </c>
      <c r="C134" s="61" t="s">
        <v>1718</v>
      </c>
      <c r="D134" s="165"/>
      <c r="E134" s="165"/>
      <c r="F134" s="165"/>
      <c r="G134" s="165"/>
      <c r="H134" s="165"/>
      <c r="I134" s="49"/>
      <c r="J134" s="49"/>
      <c r="K134" s="165"/>
      <c r="L134" s="165"/>
      <c r="M134" s="813"/>
      <c r="O134" s="654" t="s">
        <v>2429</v>
      </c>
      <c r="P134" s="1637" t="s">
        <v>4064</v>
      </c>
      <c r="Q134" s="210"/>
    </row>
    <row r="135" spans="1:31" ht="12" customHeight="1">
      <c r="A135" s="176"/>
      <c r="B135" s="49"/>
      <c r="C135" s="78" t="s">
        <v>2430</v>
      </c>
      <c r="D135" s="61" t="s">
        <v>908</v>
      </c>
      <c r="E135" s="165"/>
      <c r="F135" s="165"/>
      <c r="G135" s="165"/>
      <c r="H135" s="165"/>
      <c r="O135" s="78" t="s">
        <v>2430</v>
      </c>
      <c r="P135" s="1637" t="s">
        <v>4065</v>
      </c>
      <c r="Q135" s="210"/>
    </row>
    <row r="136" spans="1:31" ht="12" customHeight="1">
      <c r="A136" s="176"/>
      <c r="B136" s="162"/>
      <c r="C136" s="78" t="s">
        <v>2431</v>
      </c>
      <c r="D136" s="61" t="s">
        <v>625</v>
      </c>
      <c r="E136" s="61"/>
      <c r="F136" s="61"/>
      <c r="G136" s="61"/>
      <c r="H136" s="61"/>
      <c r="I136" s="49"/>
      <c r="J136" s="49"/>
      <c r="K136" s="61"/>
      <c r="L136" s="61"/>
      <c r="M136" s="61"/>
      <c r="O136" s="78" t="s">
        <v>2431</v>
      </c>
      <c r="P136" s="1637" t="s">
        <v>4064</v>
      </c>
      <c r="Q136" s="210"/>
    </row>
    <row r="137" spans="1:31" ht="12" customHeight="1">
      <c r="A137" s="176"/>
      <c r="B137" s="162"/>
      <c r="C137" s="78" t="s">
        <v>2432</v>
      </c>
      <c r="D137" s="61" t="s">
        <v>867</v>
      </c>
      <c r="E137" s="61"/>
      <c r="F137" s="61"/>
      <c r="G137" s="61"/>
      <c r="H137" s="61"/>
      <c r="I137" s="49"/>
      <c r="J137" s="49"/>
      <c r="K137" s="61"/>
      <c r="L137" s="61"/>
      <c r="M137" s="61"/>
      <c r="O137" s="78" t="s">
        <v>2432</v>
      </c>
      <c r="P137" s="1637" t="s">
        <v>4064</v>
      </c>
      <c r="Q137" s="210"/>
    </row>
    <row r="138" spans="1:31" ht="12" customHeight="1">
      <c r="B138" s="54" t="s">
        <v>2658</v>
      </c>
      <c r="C138" s="61" t="s">
        <v>2447</v>
      </c>
      <c r="D138" s="165"/>
      <c r="E138" s="165"/>
      <c r="F138" s="165"/>
      <c r="G138" s="165"/>
      <c r="H138" s="165"/>
      <c r="I138" s="49"/>
      <c r="J138" s="49"/>
      <c r="K138" s="165"/>
      <c r="L138" s="165"/>
      <c r="M138" s="813"/>
      <c r="O138" s="654" t="s">
        <v>2658</v>
      </c>
      <c r="P138" s="1637"/>
      <c r="Q138" s="210"/>
    </row>
    <row r="139" spans="1:31" ht="4.9000000000000004" customHeight="1"/>
    <row r="140" spans="1:31" ht="11.25" customHeight="1">
      <c r="B140" s="173" t="s">
        <v>2571</v>
      </c>
      <c r="D140" s="173"/>
      <c r="E140" s="173"/>
      <c r="F140" s="173"/>
      <c r="G140" s="173"/>
      <c r="H140" s="823"/>
      <c r="I140" s="162"/>
      <c r="J140" s="162"/>
      <c r="K140" s="162"/>
      <c r="L140" s="814"/>
      <c r="M140" s="814"/>
      <c r="N140" s="814"/>
      <c r="O140" s="814"/>
      <c r="P140" s="814"/>
      <c r="Q140" s="59"/>
    </row>
    <row r="141" spans="1:31" ht="12" customHeight="1">
      <c r="A141" s="1641"/>
      <c r="B141" s="1642"/>
      <c r="C141" s="1642"/>
      <c r="D141" s="1642"/>
      <c r="E141" s="1642"/>
      <c r="F141" s="1642"/>
      <c r="G141" s="1642"/>
      <c r="H141" s="1642"/>
      <c r="I141" s="1642"/>
      <c r="J141" s="1642"/>
      <c r="K141" s="1642"/>
      <c r="L141" s="1642"/>
      <c r="M141" s="1642"/>
      <c r="N141" s="1642"/>
      <c r="O141" s="1642"/>
      <c r="P141" s="1642"/>
      <c r="Q141" s="1643"/>
      <c r="R141" s="614" t="s">
        <v>1677</v>
      </c>
      <c r="S141" s="615"/>
      <c r="U141" s="168"/>
      <c r="V141" s="168"/>
      <c r="W141" s="168"/>
      <c r="X141" s="168"/>
      <c r="Y141" s="168"/>
      <c r="Z141" s="168"/>
      <c r="AA141" s="168"/>
      <c r="AB141" s="168"/>
      <c r="AC141" s="168"/>
      <c r="AD141" s="168"/>
      <c r="AE141" s="656"/>
    </row>
    <row r="142" spans="1:31" ht="11.25" customHeight="1">
      <c r="B142" s="169" t="s">
        <v>2572</v>
      </c>
      <c r="C142" s="170"/>
      <c r="D142" s="818"/>
      <c r="E142" s="818"/>
      <c r="F142" s="818"/>
      <c r="G142" s="818"/>
      <c r="H142" s="818"/>
      <c r="I142" s="818"/>
      <c r="J142" s="818"/>
      <c r="K142" s="818"/>
      <c r="L142" s="818"/>
      <c r="M142" s="818"/>
      <c r="N142" s="818"/>
      <c r="O142" s="818"/>
      <c r="P142" s="818"/>
      <c r="Q142" s="818"/>
    </row>
    <row r="143" spans="1:31" ht="12" customHeight="1">
      <c r="A143" s="1048"/>
      <c r="B143" s="1049"/>
      <c r="C143" s="1049"/>
      <c r="D143" s="1049"/>
      <c r="E143" s="1049"/>
      <c r="F143" s="1049"/>
      <c r="G143" s="1049"/>
      <c r="H143" s="1049"/>
      <c r="I143" s="1049"/>
      <c r="J143" s="1049"/>
      <c r="K143" s="1049"/>
      <c r="L143" s="1049"/>
      <c r="M143" s="1049"/>
      <c r="N143" s="1049"/>
      <c r="O143" s="1049"/>
      <c r="P143" s="1049"/>
      <c r="Q143" s="1050"/>
      <c r="R143" s="614" t="s">
        <v>1677</v>
      </c>
      <c r="S143" s="615"/>
    </row>
    <row r="144" spans="1:31" ht="8.4499999999999993" customHeight="1">
      <c r="A144" s="814"/>
      <c r="B144" s="162"/>
      <c r="C144" s="818"/>
      <c r="D144" s="818"/>
      <c r="E144" s="818"/>
      <c r="F144" s="818"/>
      <c r="G144" s="818"/>
      <c r="H144" s="818"/>
      <c r="I144" s="818"/>
      <c r="J144" s="818"/>
      <c r="K144" s="818"/>
      <c r="L144" s="818"/>
      <c r="M144" s="818"/>
      <c r="N144" s="818"/>
      <c r="O144" s="818"/>
      <c r="P144" s="818"/>
      <c r="Q144" s="814"/>
    </row>
    <row r="145" spans="1:31" ht="13.9" customHeight="1">
      <c r="A145" s="820">
        <v>8</v>
      </c>
      <c r="B145" s="820" t="s">
        <v>3491</v>
      </c>
      <c r="C145" s="820"/>
      <c r="D145" s="818"/>
      <c r="E145" s="818"/>
      <c r="F145" s="818"/>
      <c r="G145" s="818"/>
      <c r="H145" s="818"/>
      <c r="I145" s="818"/>
      <c r="J145" s="818"/>
      <c r="K145" s="818"/>
      <c r="O145" s="163" t="s">
        <v>2573</v>
      </c>
      <c r="P145" s="1053"/>
      <c r="Q145" s="1054"/>
    </row>
    <row r="146" spans="1:31" ht="12" customHeight="1">
      <c r="B146" s="54" t="s">
        <v>2695</v>
      </c>
      <c r="C146" s="61" t="s">
        <v>3633</v>
      </c>
      <c r="D146" s="61"/>
      <c r="E146" s="61"/>
      <c r="F146" s="61"/>
      <c r="G146" s="61"/>
      <c r="I146" s="61" t="s">
        <v>3632</v>
      </c>
      <c r="K146" s="1697">
        <v>41639</v>
      </c>
      <c r="L146" s="1698"/>
      <c r="N146" s="61"/>
      <c r="O146" s="654" t="s">
        <v>2695</v>
      </c>
      <c r="P146" s="1637" t="s">
        <v>4064</v>
      </c>
      <c r="Q146" s="210"/>
    </row>
    <row r="147" spans="1:31" ht="12" customHeight="1">
      <c r="A147" s="171"/>
      <c r="B147" s="54" t="s">
        <v>2698</v>
      </c>
      <c r="C147" s="172" t="s">
        <v>164</v>
      </c>
      <c r="D147" s="172"/>
      <c r="E147" s="172"/>
      <c r="F147" s="172"/>
      <c r="G147" s="172"/>
      <c r="H147" s="172"/>
      <c r="M147" s="654" t="s">
        <v>2698</v>
      </c>
      <c r="N147" s="1699" t="s">
        <v>4153</v>
      </c>
      <c r="O147" s="1700"/>
      <c r="P147" s="1085"/>
      <c r="Q147" s="1086"/>
    </row>
    <row r="148" spans="1:31" ht="12" customHeight="1">
      <c r="A148" s="171"/>
      <c r="B148" s="54" t="s">
        <v>1054</v>
      </c>
      <c r="C148" s="172" t="s">
        <v>868</v>
      </c>
      <c r="D148" s="172"/>
      <c r="E148" s="172"/>
      <c r="F148" s="172"/>
      <c r="G148" s="172"/>
      <c r="H148" s="172"/>
      <c r="J148" s="654" t="s">
        <v>1054</v>
      </c>
      <c r="K148" s="1701" t="s">
        <v>4089</v>
      </c>
      <c r="L148" s="1702"/>
      <c r="M148" s="1702"/>
      <c r="N148" s="1702"/>
      <c r="O148" s="1702"/>
      <c r="P148" s="1703"/>
      <c r="Q148" s="210"/>
    </row>
    <row r="149" spans="1:31" ht="12" customHeight="1">
      <c r="B149" s="173" t="s">
        <v>2571</v>
      </c>
      <c r="D149" s="173"/>
      <c r="E149" s="173"/>
      <c r="F149" s="173"/>
      <c r="G149" s="173"/>
      <c r="H149" s="823"/>
      <c r="I149" s="162"/>
      <c r="J149" s="162"/>
      <c r="K149" s="162"/>
      <c r="L149" s="814"/>
      <c r="M149" s="814"/>
      <c r="N149" s="814"/>
      <c r="O149" s="814"/>
      <c r="P149" s="814"/>
      <c r="Q149" s="59"/>
    </row>
    <row r="150" spans="1:31" ht="11.45" customHeight="1">
      <c r="A150" s="1641"/>
      <c r="B150" s="1642"/>
      <c r="C150" s="1642"/>
      <c r="D150" s="1642"/>
      <c r="E150" s="1642"/>
      <c r="F150" s="1642"/>
      <c r="G150" s="1642"/>
      <c r="H150" s="1642"/>
      <c r="I150" s="1642"/>
      <c r="J150" s="1642"/>
      <c r="K150" s="1642"/>
      <c r="L150" s="1642"/>
      <c r="M150" s="1642"/>
      <c r="N150" s="1642"/>
      <c r="O150" s="1642"/>
      <c r="P150" s="1642"/>
      <c r="Q150" s="1643"/>
      <c r="U150" s="168"/>
      <c r="V150" s="168"/>
      <c r="W150" s="168"/>
      <c r="X150" s="168"/>
      <c r="Y150" s="168"/>
      <c r="Z150" s="168"/>
      <c r="AA150" s="168"/>
      <c r="AB150" s="168"/>
      <c r="AC150" s="168"/>
      <c r="AD150" s="168"/>
      <c r="AE150" s="656"/>
    </row>
    <row r="151" spans="1:31" ht="12" customHeight="1">
      <c r="B151" s="169" t="s">
        <v>2572</v>
      </c>
      <c r="C151" s="170"/>
      <c r="D151" s="818"/>
      <c r="E151" s="818"/>
      <c r="F151" s="818"/>
      <c r="G151" s="818"/>
      <c r="H151" s="818"/>
      <c r="I151" s="818"/>
      <c r="J151" s="818"/>
      <c r="K151" s="818"/>
      <c r="L151" s="818"/>
      <c r="M151" s="818"/>
      <c r="N151" s="818"/>
      <c r="O151" s="818"/>
      <c r="P151" s="818"/>
      <c r="Q151" s="818"/>
    </row>
    <row r="152" spans="1:31" ht="11.45" customHeight="1">
      <c r="A152" s="1048"/>
      <c r="B152" s="1049"/>
      <c r="C152" s="1049"/>
      <c r="D152" s="1049"/>
      <c r="E152" s="1049"/>
      <c r="F152" s="1049"/>
      <c r="G152" s="1049"/>
      <c r="H152" s="1049"/>
      <c r="I152" s="1049"/>
      <c r="J152" s="1049"/>
      <c r="K152" s="1049"/>
      <c r="L152" s="1049"/>
      <c r="M152" s="1049"/>
      <c r="N152" s="1049"/>
      <c r="O152" s="1049"/>
      <c r="P152" s="1049"/>
      <c r="Q152" s="1050"/>
    </row>
    <row r="153" spans="1:31" ht="3" customHeight="1">
      <c r="A153" s="814"/>
      <c r="B153" s="162"/>
      <c r="C153" s="818"/>
      <c r="D153" s="818"/>
      <c r="E153" s="818"/>
      <c r="F153" s="818"/>
      <c r="G153" s="818"/>
      <c r="H153" s="818"/>
      <c r="I153" s="818"/>
      <c r="J153" s="818"/>
      <c r="K153" s="818"/>
      <c r="L153" s="818"/>
      <c r="M153" s="818"/>
      <c r="Q153" s="814"/>
    </row>
    <row r="154" spans="1:31" ht="13.9" customHeight="1">
      <c r="A154" s="820">
        <v>9</v>
      </c>
      <c r="B154" s="820" t="s">
        <v>3492</v>
      </c>
      <c r="C154" s="820"/>
      <c r="D154" s="818"/>
      <c r="E154" s="818"/>
      <c r="F154" s="818"/>
      <c r="G154" s="818"/>
      <c r="H154" s="818"/>
      <c r="I154" s="818"/>
      <c r="J154" s="818"/>
      <c r="K154" s="818"/>
      <c r="L154" s="818"/>
      <c r="M154" s="818"/>
      <c r="O154" s="163" t="s">
        <v>2573</v>
      </c>
      <c r="P154" s="1053"/>
      <c r="Q154" s="1054"/>
    </row>
    <row r="155" spans="1:31" ht="12" customHeight="1">
      <c r="B155" s="174" t="s">
        <v>2695</v>
      </c>
      <c r="C155" s="172" t="s">
        <v>102</v>
      </c>
      <c r="D155" s="172"/>
      <c r="E155" s="172"/>
      <c r="F155" s="172"/>
      <c r="G155" s="172"/>
      <c r="H155" s="172"/>
      <c r="I155" s="172"/>
      <c r="J155" s="172"/>
      <c r="K155" s="172"/>
      <c r="L155" s="179"/>
      <c r="M155" s="179"/>
      <c r="N155" s="179"/>
      <c r="O155" s="199" t="s">
        <v>2695</v>
      </c>
      <c r="P155" s="1637" t="s">
        <v>4064</v>
      </c>
      <c r="Q155" s="210"/>
    </row>
    <row r="156" spans="1:31" ht="22.15" customHeight="1">
      <c r="B156" s="174" t="s">
        <v>2698</v>
      </c>
      <c r="C156" s="1055" t="s">
        <v>3293</v>
      </c>
      <c r="D156" s="1055"/>
      <c r="E156" s="1055"/>
      <c r="F156" s="1055"/>
      <c r="G156" s="1055"/>
      <c r="H156" s="1055"/>
      <c r="I156" s="1055"/>
      <c r="J156" s="1055"/>
      <c r="K156" s="1055"/>
      <c r="L156" s="1055"/>
      <c r="M156" s="1055"/>
      <c r="N156" s="1055"/>
      <c r="O156" s="199" t="s">
        <v>2698</v>
      </c>
      <c r="P156" s="1637"/>
      <c r="Q156" s="210"/>
    </row>
    <row r="157" spans="1:31" ht="21.75" customHeight="1">
      <c r="B157" s="174" t="s">
        <v>1054</v>
      </c>
      <c r="C157" s="1055" t="s">
        <v>3475</v>
      </c>
      <c r="D157" s="1055"/>
      <c r="E157" s="1055"/>
      <c r="F157" s="1055"/>
      <c r="G157" s="1055"/>
      <c r="H157" s="1055"/>
      <c r="I157" s="1055"/>
      <c r="J157" s="1055"/>
      <c r="K157" s="1055"/>
      <c r="L157" s="1055"/>
      <c r="M157" s="1055"/>
      <c r="N157" s="1055"/>
      <c r="O157" s="199" t="s">
        <v>1054</v>
      </c>
      <c r="P157" s="1637"/>
      <c r="Q157" s="210"/>
    </row>
    <row r="158" spans="1:31" ht="12" customHeight="1">
      <c r="B158" s="173" t="s">
        <v>2571</v>
      </c>
      <c r="D158" s="173"/>
      <c r="E158" s="173"/>
      <c r="F158" s="173"/>
      <c r="G158" s="173"/>
      <c r="H158" s="823"/>
      <c r="I158" s="162"/>
      <c r="J158" s="162"/>
      <c r="K158" s="162"/>
      <c r="L158" s="814"/>
      <c r="M158" s="814"/>
      <c r="N158" s="814"/>
      <c r="O158" s="814"/>
      <c r="P158" s="814"/>
      <c r="Q158" s="59"/>
    </row>
    <row r="159" spans="1:31" ht="11.45" customHeight="1">
      <c r="A159" s="1641"/>
      <c r="B159" s="1642"/>
      <c r="C159" s="1642"/>
      <c r="D159" s="1642"/>
      <c r="E159" s="1642"/>
      <c r="F159" s="1642"/>
      <c r="G159" s="1642"/>
      <c r="H159" s="1642"/>
      <c r="I159" s="1642"/>
      <c r="J159" s="1642"/>
      <c r="K159" s="1642"/>
      <c r="L159" s="1642"/>
      <c r="M159" s="1642"/>
      <c r="N159" s="1642"/>
      <c r="O159" s="1642"/>
      <c r="P159" s="1642"/>
      <c r="Q159" s="1643"/>
      <c r="U159" s="168"/>
      <c r="V159" s="168"/>
      <c r="W159" s="168"/>
      <c r="X159" s="168"/>
      <c r="Y159" s="168"/>
      <c r="Z159" s="168"/>
      <c r="AA159" s="168"/>
      <c r="AB159" s="168"/>
      <c r="AC159" s="168"/>
      <c r="AD159" s="168"/>
      <c r="AE159" s="656"/>
    </row>
    <row r="160" spans="1:31" ht="12" customHeight="1">
      <c r="B160" s="169" t="s">
        <v>2572</v>
      </c>
      <c r="C160" s="170"/>
      <c r="D160" s="818"/>
      <c r="E160" s="818"/>
      <c r="F160" s="818"/>
      <c r="G160" s="818"/>
      <c r="H160" s="818"/>
      <c r="I160" s="818"/>
      <c r="J160" s="818"/>
      <c r="K160" s="818"/>
      <c r="L160" s="818"/>
      <c r="M160" s="818"/>
      <c r="N160" s="818"/>
      <c r="O160" s="818"/>
      <c r="P160" s="818"/>
      <c r="Q160" s="818"/>
    </row>
    <row r="161" spans="1:32" ht="11.45" customHeight="1">
      <c r="A161" s="1048"/>
      <c r="B161" s="1049"/>
      <c r="C161" s="1049"/>
      <c r="D161" s="1049"/>
      <c r="E161" s="1049"/>
      <c r="F161" s="1049"/>
      <c r="G161" s="1049"/>
      <c r="H161" s="1049"/>
      <c r="I161" s="1049"/>
      <c r="J161" s="1049"/>
      <c r="K161" s="1049"/>
      <c r="L161" s="1049"/>
      <c r="M161" s="1049"/>
      <c r="N161" s="1049"/>
      <c r="O161" s="1049"/>
      <c r="P161" s="1049"/>
      <c r="Q161" s="1050"/>
    </row>
    <row r="162" spans="1:32" ht="3" customHeight="1">
      <c r="B162" s="162"/>
      <c r="C162" s="818"/>
      <c r="D162" s="818"/>
      <c r="E162" s="818"/>
      <c r="F162" s="818"/>
      <c r="G162" s="818"/>
      <c r="H162" s="818"/>
      <c r="I162" s="818"/>
      <c r="J162" s="818"/>
      <c r="K162" s="818"/>
      <c r="L162" s="818"/>
      <c r="M162" s="818"/>
      <c r="N162" s="818"/>
      <c r="O162" s="818"/>
      <c r="P162" s="818"/>
      <c r="Q162" s="814"/>
    </row>
    <row r="163" spans="1:32" ht="13.9" customHeight="1">
      <c r="A163" s="803">
        <v>10</v>
      </c>
      <c r="B163" s="1100" t="s">
        <v>3493</v>
      </c>
      <c r="C163" s="1100"/>
      <c r="D163" s="1100"/>
      <c r="O163" s="163" t="s">
        <v>2573</v>
      </c>
      <c r="P163" s="1053"/>
      <c r="Q163" s="1054"/>
    </row>
    <row r="164" spans="1:32" ht="12" customHeight="1">
      <c r="B164" s="174" t="s">
        <v>2695</v>
      </c>
      <c r="C164" s="179" t="s">
        <v>600</v>
      </c>
      <c r="D164" s="179"/>
      <c r="E164" s="179"/>
      <c r="F164" s="179"/>
      <c r="G164" s="179"/>
      <c r="H164" s="179"/>
      <c r="I164" s="179"/>
      <c r="J164" s="179"/>
      <c r="K164" s="179"/>
      <c r="L164" s="179"/>
      <c r="M164" s="179"/>
      <c r="O164" s="199" t="s">
        <v>2695</v>
      </c>
      <c r="P164" s="1637" t="s">
        <v>4064</v>
      </c>
      <c r="Q164" s="210"/>
    </row>
    <row r="165" spans="1:32" ht="12" customHeight="1">
      <c r="B165" s="174" t="s">
        <v>2698</v>
      </c>
      <c r="C165" s="179" t="s">
        <v>3476</v>
      </c>
      <c r="D165" s="179"/>
      <c r="E165" s="179"/>
      <c r="F165" s="179"/>
      <c r="G165" s="179"/>
      <c r="H165" s="179"/>
      <c r="I165" s="179"/>
      <c r="J165" s="179"/>
      <c r="K165" s="179"/>
      <c r="L165" s="179"/>
      <c r="M165" s="179"/>
      <c r="O165" s="199" t="s">
        <v>2698</v>
      </c>
      <c r="P165" s="1637" t="s">
        <v>4064</v>
      </c>
      <c r="Q165" s="210"/>
    </row>
    <row r="166" spans="1:32" ht="12" customHeight="1">
      <c r="B166" s="174" t="s">
        <v>1054</v>
      </c>
      <c r="C166" s="179" t="s">
        <v>3477</v>
      </c>
      <c r="D166" s="179"/>
      <c r="E166" s="179"/>
      <c r="F166" s="179"/>
      <c r="G166" s="179"/>
      <c r="H166" s="179"/>
      <c r="I166" s="179"/>
      <c r="J166" s="179"/>
      <c r="K166" s="179"/>
      <c r="L166" s="179"/>
      <c r="M166" s="179"/>
      <c r="O166" s="199" t="s">
        <v>1054</v>
      </c>
      <c r="P166" s="1637" t="s">
        <v>4064</v>
      </c>
      <c r="Q166" s="210"/>
    </row>
    <row r="167" spans="1:32" ht="12" customHeight="1">
      <c r="B167" s="174"/>
      <c r="C167" s="179" t="s">
        <v>3465</v>
      </c>
      <c r="D167" s="179"/>
      <c r="E167" s="608" t="s">
        <v>2430</v>
      </c>
      <c r="F167" s="179" t="s">
        <v>3478</v>
      </c>
      <c r="G167" s="179"/>
      <c r="H167" s="179"/>
      <c r="I167" s="179"/>
      <c r="J167" s="179"/>
      <c r="K167" s="179"/>
      <c r="L167" s="179"/>
      <c r="M167" s="179"/>
      <c r="O167" s="608" t="s">
        <v>2430</v>
      </c>
      <c r="P167" s="1637" t="s">
        <v>4064</v>
      </c>
      <c r="Q167" s="210"/>
    </row>
    <row r="168" spans="1:32" ht="12" customHeight="1">
      <c r="B168" s="174"/>
      <c r="C168" s="179"/>
      <c r="D168" s="179"/>
      <c r="E168" s="608" t="s">
        <v>2431</v>
      </c>
      <c r="F168" s="179" t="s">
        <v>3479</v>
      </c>
      <c r="G168" s="179"/>
      <c r="H168" s="179"/>
      <c r="I168" s="179"/>
      <c r="J168" s="179"/>
      <c r="K168" s="179"/>
      <c r="L168" s="179"/>
      <c r="M168" s="179"/>
      <c r="O168" s="608" t="s">
        <v>2431</v>
      </c>
      <c r="P168" s="1637" t="s">
        <v>4064</v>
      </c>
      <c r="Q168" s="210"/>
    </row>
    <row r="169" spans="1:32" s="164" customFormat="1" ht="21.75" customHeight="1">
      <c r="B169" s="174"/>
      <c r="C169" s="179"/>
      <c r="D169" s="179"/>
      <c r="E169" s="199" t="s">
        <v>2432</v>
      </c>
      <c r="F169" s="1055" t="s">
        <v>3480</v>
      </c>
      <c r="G169" s="1055"/>
      <c r="H169" s="1055"/>
      <c r="I169" s="1055"/>
      <c r="J169" s="1055"/>
      <c r="K169" s="1055"/>
      <c r="L169" s="1055"/>
      <c r="M169" s="1055"/>
      <c r="N169" s="1055"/>
      <c r="O169" s="199" t="s">
        <v>2432</v>
      </c>
      <c r="P169" s="1686" t="s">
        <v>4064</v>
      </c>
      <c r="Q169" s="323"/>
      <c r="AE169" s="657"/>
      <c r="AF169" s="657"/>
    </row>
    <row r="170" spans="1:32" ht="12" customHeight="1">
      <c r="B170" s="174"/>
      <c r="C170" s="179"/>
      <c r="D170" s="179"/>
      <c r="E170" s="608" t="s">
        <v>3120</v>
      </c>
      <c r="F170" s="179" t="s">
        <v>3481</v>
      </c>
      <c r="G170" s="179"/>
      <c r="H170" s="179"/>
      <c r="I170" s="179"/>
      <c r="J170" s="179"/>
      <c r="K170" s="179"/>
      <c r="L170" s="179"/>
      <c r="M170" s="179"/>
      <c r="O170" s="608" t="s">
        <v>3120</v>
      </c>
      <c r="P170" s="1637" t="s">
        <v>4064</v>
      </c>
      <c r="Q170" s="210"/>
    </row>
    <row r="171" spans="1:32" s="164" customFormat="1" ht="21.75" customHeight="1">
      <c r="B171" s="174"/>
      <c r="C171" s="179"/>
      <c r="D171" s="179"/>
      <c r="E171" s="199" t="s">
        <v>2009</v>
      </c>
      <c r="F171" s="1055" t="s">
        <v>3482</v>
      </c>
      <c r="G171" s="1055"/>
      <c r="H171" s="1055"/>
      <c r="I171" s="1055"/>
      <c r="J171" s="1055"/>
      <c r="K171" s="1055"/>
      <c r="L171" s="1055"/>
      <c r="M171" s="1055"/>
      <c r="N171" s="1055"/>
      <c r="O171" s="199" t="s">
        <v>2009</v>
      </c>
      <c r="P171" s="1686" t="s">
        <v>4064</v>
      </c>
      <c r="Q171" s="323"/>
      <c r="AE171" s="657"/>
      <c r="AF171" s="657"/>
    </row>
    <row r="172" spans="1:32" ht="21.75" customHeight="1">
      <c r="B172" s="174" t="s">
        <v>2831</v>
      </c>
      <c r="C172" s="1055" t="s">
        <v>3483</v>
      </c>
      <c r="D172" s="1055"/>
      <c r="E172" s="1055"/>
      <c r="F172" s="1055"/>
      <c r="G172" s="1055"/>
      <c r="H172" s="1055"/>
      <c r="I172" s="1055"/>
      <c r="J172" s="1055"/>
      <c r="K172" s="1055"/>
      <c r="L172" s="1055"/>
      <c r="M172" s="1055"/>
      <c r="N172" s="1055"/>
      <c r="O172" s="199" t="s">
        <v>2831</v>
      </c>
      <c r="P172" s="1637" t="s">
        <v>4064</v>
      </c>
      <c r="Q172" s="210"/>
    </row>
    <row r="173" spans="1:32" ht="12" customHeight="1">
      <c r="B173" s="174" t="s">
        <v>2428</v>
      </c>
      <c r="C173" s="179" t="s">
        <v>3136</v>
      </c>
      <c r="D173" s="179"/>
      <c r="E173" s="179"/>
      <c r="F173" s="179"/>
      <c r="G173" s="179"/>
      <c r="H173" s="179"/>
      <c r="I173" s="179"/>
      <c r="J173" s="179"/>
      <c r="K173" s="179"/>
      <c r="L173" s="179"/>
      <c r="M173" s="179"/>
      <c r="O173" s="199" t="s">
        <v>2428</v>
      </c>
      <c r="P173" s="1637" t="s">
        <v>4064</v>
      </c>
      <c r="Q173" s="210"/>
    </row>
    <row r="174" spans="1:32" ht="12" customHeight="1">
      <c r="B174" s="173" t="s">
        <v>2571</v>
      </c>
      <c r="D174" s="173"/>
      <c r="E174" s="173"/>
      <c r="F174" s="173"/>
      <c r="G174" s="173"/>
      <c r="H174" s="823"/>
      <c r="I174" s="162"/>
      <c r="J174" s="162"/>
      <c r="K174" s="162"/>
      <c r="L174" s="814"/>
      <c r="M174" s="814"/>
      <c r="N174" s="814"/>
      <c r="O174" s="814"/>
      <c r="P174" s="814"/>
      <c r="Q174" s="59"/>
    </row>
    <row r="175" spans="1:32" ht="11.45" customHeight="1">
      <c r="A175" s="1641"/>
      <c r="B175" s="1642"/>
      <c r="C175" s="1642"/>
      <c r="D175" s="1642"/>
      <c r="E175" s="1642"/>
      <c r="F175" s="1642"/>
      <c r="G175" s="1642"/>
      <c r="H175" s="1642"/>
      <c r="I175" s="1642"/>
      <c r="J175" s="1642"/>
      <c r="K175" s="1642"/>
      <c r="L175" s="1642"/>
      <c r="M175" s="1642"/>
      <c r="N175" s="1642"/>
      <c r="O175" s="1642"/>
      <c r="P175" s="1642"/>
      <c r="Q175" s="1643"/>
      <c r="U175" s="168"/>
      <c r="V175" s="168"/>
      <c r="W175" s="168"/>
      <c r="X175" s="168"/>
      <c r="Y175" s="168"/>
      <c r="Z175" s="168"/>
      <c r="AA175" s="168"/>
      <c r="AB175" s="168"/>
      <c r="AC175" s="168"/>
      <c r="AD175" s="168"/>
      <c r="AE175" s="656"/>
    </row>
    <row r="176" spans="1:32" ht="12" customHeight="1">
      <c r="B176" s="169" t="s">
        <v>2572</v>
      </c>
      <c r="C176" s="170"/>
      <c r="D176" s="818"/>
      <c r="E176" s="818"/>
      <c r="F176" s="818"/>
      <c r="G176" s="818"/>
      <c r="H176" s="818"/>
      <c r="I176" s="818"/>
      <c r="J176" s="818"/>
      <c r="K176" s="818"/>
      <c r="L176" s="818"/>
      <c r="M176" s="818"/>
      <c r="N176" s="818"/>
      <c r="O176" s="818"/>
      <c r="P176" s="818"/>
      <c r="Q176" s="818"/>
    </row>
    <row r="177" spans="1:31" ht="11.45" customHeight="1">
      <c r="A177" s="1048"/>
      <c r="B177" s="1049"/>
      <c r="C177" s="1049"/>
      <c r="D177" s="1049"/>
      <c r="E177" s="1049"/>
      <c r="F177" s="1049"/>
      <c r="G177" s="1049"/>
      <c r="H177" s="1049"/>
      <c r="I177" s="1049"/>
      <c r="J177" s="1049"/>
      <c r="K177" s="1049"/>
      <c r="L177" s="1049"/>
      <c r="M177" s="1049"/>
      <c r="N177" s="1049"/>
      <c r="O177" s="1049"/>
      <c r="P177" s="1049"/>
      <c r="Q177" s="1050"/>
    </row>
    <row r="178" spans="1:31" ht="3" customHeight="1">
      <c r="A178" s="814"/>
      <c r="B178" s="162"/>
      <c r="C178" s="818"/>
      <c r="D178" s="818"/>
      <c r="E178" s="818"/>
      <c r="F178" s="818"/>
      <c r="G178" s="818"/>
      <c r="H178" s="818"/>
      <c r="I178" s="818"/>
      <c r="J178" s="818"/>
      <c r="K178" s="818"/>
      <c r="L178" s="818"/>
      <c r="M178" s="818"/>
      <c r="N178" s="818"/>
      <c r="O178" s="818"/>
      <c r="P178" s="818"/>
      <c r="Q178" s="814"/>
    </row>
    <row r="179" spans="1:31" ht="13.9" customHeight="1">
      <c r="A179" s="820">
        <v>11</v>
      </c>
      <c r="B179" s="820" t="s">
        <v>3494</v>
      </c>
      <c r="C179" s="820"/>
      <c r="D179" s="818"/>
      <c r="E179" s="180"/>
      <c r="F179" s="180"/>
      <c r="G179" s="818"/>
      <c r="J179" s="607"/>
      <c r="K179" s="750"/>
      <c r="L179" s="750"/>
      <c r="M179" s="750"/>
      <c r="N179" s="750"/>
      <c r="O179" s="163" t="s">
        <v>2573</v>
      </c>
      <c r="P179" s="1053"/>
      <c r="Q179" s="1054"/>
    </row>
    <row r="180" spans="1:31" ht="12" customHeight="1">
      <c r="A180" s="171"/>
      <c r="B180" s="54" t="s">
        <v>2695</v>
      </c>
      <c r="C180" s="1055" t="s">
        <v>103</v>
      </c>
      <c r="D180" s="1055"/>
      <c r="E180" s="1055"/>
      <c r="F180" s="1055"/>
      <c r="G180" s="1055"/>
      <c r="H180" s="78" t="s">
        <v>2430</v>
      </c>
      <c r="I180" s="61" t="s">
        <v>166</v>
      </c>
      <c r="K180" s="1665" t="s">
        <v>2544</v>
      </c>
      <c r="L180" s="1666"/>
      <c r="M180" s="1666"/>
      <c r="N180" s="1667"/>
      <c r="O180" s="78" t="s">
        <v>2430</v>
      </c>
      <c r="P180" s="1637"/>
      <c r="Q180" s="210"/>
    </row>
    <row r="181" spans="1:31" ht="12" customHeight="1">
      <c r="A181" s="171"/>
      <c r="B181" s="162"/>
      <c r="C181" s="125"/>
      <c r="D181" s="125"/>
      <c r="E181" s="125"/>
      <c r="F181" s="125"/>
      <c r="H181" s="78" t="s">
        <v>2431</v>
      </c>
      <c r="I181" s="61" t="s">
        <v>2060</v>
      </c>
      <c r="K181" s="1671" t="s">
        <v>4154</v>
      </c>
      <c r="L181" s="1672"/>
      <c r="M181" s="1672"/>
      <c r="N181" s="1673"/>
      <c r="O181" s="78" t="s">
        <v>2431</v>
      </c>
      <c r="P181" s="1637" t="s">
        <v>4064</v>
      </c>
      <c r="Q181" s="210"/>
    </row>
    <row r="182" spans="1:31" ht="12" customHeight="1">
      <c r="B182" s="173" t="s">
        <v>2571</v>
      </c>
      <c r="D182" s="173"/>
      <c r="E182" s="173"/>
      <c r="F182" s="173"/>
      <c r="G182" s="173"/>
      <c r="J182" s="162"/>
      <c r="K182" s="162"/>
      <c r="L182" s="814"/>
      <c r="M182" s="814"/>
      <c r="N182" s="814"/>
      <c r="O182" s="814"/>
      <c r="P182" s="814"/>
      <c r="Q182" s="59"/>
    </row>
    <row r="183" spans="1:31" ht="11.45" customHeight="1">
      <c r="A183" s="1641"/>
      <c r="B183" s="1642"/>
      <c r="C183" s="1642"/>
      <c r="D183" s="1642"/>
      <c r="E183" s="1642"/>
      <c r="F183" s="1642"/>
      <c r="G183" s="1642"/>
      <c r="H183" s="1642"/>
      <c r="I183" s="1642"/>
      <c r="J183" s="1642"/>
      <c r="K183" s="1642"/>
      <c r="L183" s="1642"/>
      <c r="M183" s="1642"/>
      <c r="N183" s="1642"/>
      <c r="O183" s="1642"/>
      <c r="P183" s="1642"/>
      <c r="Q183" s="1643"/>
      <c r="U183" s="168"/>
      <c r="V183" s="168"/>
      <c r="W183" s="168"/>
      <c r="X183" s="168"/>
      <c r="Y183" s="168"/>
      <c r="Z183" s="168"/>
      <c r="AA183" s="168"/>
      <c r="AB183" s="168"/>
      <c r="AC183" s="168"/>
      <c r="AD183" s="168"/>
      <c r="AE183" s="656"/>
    </row>
    <row r="184" spans="1:31" ht="12" customHeight="1">
      <c r="B184" s="169" t="s">
        <v>2572</v>
      </c>
      <c r="C184" s="170"/>
      <c r="D184" s="818"/>
      <c r="E184" s="818"/>
      <c r="F184" s="818"/>
      <c r="G184" s="818"/>
      <c r="H184" s="818"/>
      <c r="I184" s="818"/>
      <c r="J184" s="818"/>
      <c r="K184" s="818"/>
      <c r="L184" s="818"/>
      <c r="M184" s="818"/>
      <c r="N184" s="818"/>
      <c r="O184" s="818"/>
      <c r="P184" s="818"/>
      <c r="Q184" s="818"/>
    </row>
    <row r="185" spans="1:31" ht="11.45" customHeight="1">
      <c r="A185" s="1048"/>
      <c r="B185" s="1049"/>
      <c r="C185" s="1049"/>
      <c r="D185" s="1049"/>
      <c r="E185" s="1049"/>
      <c r="F185" s="1049"/>
      <c r="G185" s="1049"/>
      <c r="H185" s="1049"/>
      <c r="I185" s="1049"/>
      <c r="J185" s="1049"/>
      <c r="K185" s="1049"/>
      <c r="L185" s="1049"/>
      <c r="M185" s="1049"/>
      <c r="N185" s="1049"/>
      <c r="O185" s="1049"/>
      <c r="P185" s="1049"/>
      <c r="Q185" s="1050"/>
    </row>
    <row r="186" spans="1:31" ht="4.1500000000000004" customHeight="1">
      <c r="B186" s="162"/>
      <c r="C186" s="818"/>
      <c r="D186" s="818"/>
      <c r="E186" s="818"/>
      <c r="F186" s="818"/>
      <c r="G186" s="818"/>
      <c r="H186" s="818"/>
      <c r="I186" s="818"/>
      <c r="J186" s="818"/>
      <c r="K186" s="818"/>
      <c r="L186" s="818"/>
      <c r="M186" s="818"/>
      <c r="Q186" s="59"/>
    </row>
    <row r="187" spans="1:31" ht="13.9" customHeight="1">
      <c r="A187" s="820">
        <v>12</v>
      </c>
      <c r="B187" s="5" t="s">
        <v>3495</v>
      </c>
      <c r="C187" s="5"/>
      <c r="D187" s="104"/>
      <c r="E187" s="104"/>
      <c r="F187" s="104"/>
      <c r="G187" s="818"/>
      <c r="H187" s="818"/>
      <c r="I187" s="818"/>
      <c r="J187" s="818"/>
      <c r="K187" s="818"/>
      <c r="L187" s="818"/>
      <c r="M187" s="818"/>
      <c r="O187" s="163" t="s">
        <v>2573</v>
      </c>
      <c r="P187" s="1053"/>
      <c r="Q187" s="1054"/>
    </row>
    <row r="188" spans="1:31" ht="4.1500000000000004" customHeight="1"/>
    <row r="189" spans="1:31" ht="11.45" customHeight="1">
      <c r="B189" s="174" t="s">
        <v>2695</v>
      </c>
      <c r="C189" s="536" t="s">
        <v>2430</v>
      </c>
      <c r="D189" s="535" t="s">
        <v>681</v>
      </c>
      <c r="E189" s="535"/>
      <c r="F189" s="535"/>
      <c r="G189" s="535"/>
      <c r="H189" s="535"/>
      <c r="I189" s="535"/>
      <c r="J189" s="535"/>
      <c r="K189" s="535"/>
      <c r="L189" s="535"/>
      <c r="M189" s="535"/>
      <c r="N189" s="535"/>
      <c r="O189" s="199" t="s">
        <v>1938</v>
      </c>
      <c r="P189" s="1637" t="s">
        <v>4065</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637"/>
      <c r="Q190" s="210"/>
    </row>
    <row r="191" spans="1:31" ht="11.45" customHeight="1">
      <c r="A191" s="171"/>
      <c r="B191" s="174" t="s">
        <v>2698</v>
      </c>
      <c r="C191" s="1055" t="s">
        <v>2554</v>
      </c>
      <c r="D191" s="1055"/>
      <c r="E191" s="1055"/>
      <c r="F191" s="1055"/>
      <c r="G191" s="1055"/>
      <c r="H191" s="78" t="s">
        <v>2430</v>
      </c>
      <c r="I191" s="61" t="s">
        <v>815</v>
      </c>
      <c r="K191" s="1665" t="s">
        <v>4155</v>
      </c>
      <c r="L191" s="1666"/>
      <c r="M191" s="1666"/>
      <c r="N191" s="1667"/>
      <c r="O191" s="78" t="s">
        <v>1891</v>
      </c>
      <c r="P191" s="1637" t="s">
        <v>4064</v>
      </c>
      <c r="Q191" s="210"/>
    </row>
    <row r="192" spans="1:31" ht="11.45" customHeight="1">
      <c r="A192" s="171"/>
      <c r="B192" s="824"/>
      <c r="C192" s="1055"/>
      <c r="D192" s="1055"/>
      <c r="E192" s="1055"/>
      <c r="F192" s="1055"/>
      <c r="G192" s="1055"/>
      <c r="H192" s="78" t="s">
        <v>2431</v>
      </c>
      <c r="I192" s="61" t="s">
        <v>122</v>
      </c>
      <c r="K192" s="1671" t="s">
        <v>4155</v>
      </c>
      <c r="L192" s="1672"/>
      <c r="M192" s="1672"/>
      <c r="N192" s="1673"/>
      <c r="O192" s="78" t="s">
        <v>2431</v>
      </c>
      <c r="P192" s="1637" t="s">
        <v>4064</v>
      </c>
      <c r="Q192" s="210"/>
    </row>
    <row r="193" spans="1:32" ht="11.25" customHeight="1">
      <c r="B193" s="173" t="s">
        <v>2571</v>
      </c>
      <c r="D193" s="173"/>
      <c r="E193" s="173"/>
      <c r="F193" s="173"/>
      <c r="G193" s="173"/>
      <c r="H193" s="823"/>
      <c r="I193" s="162"/>
      <c r="J193" s="162"/>
      <c r="K193" s="162"/>
      <c r="L193" s="814"/>
      <c r="M193" s="814"/>
      <c r="N193" s="814"/>
      <c r="O193" s="814"/>
      <c r="P193" s="814"/>
      <c r="Q193" s="59"/>
    </row>
    <row r="194" spans="1:32" ht="11.45" customHeight="1">
      <c r="A194" s="1641"/>
      <c r="B194" s="1642"/>
      <c r="C194" s="1642"/>
      <c r="D194" s="1642"/>
      <c r="E194" s="1642"/>
      <c r="F194" s="1642"/>
      <c r="G194" s="1642"/>
      <c r="H194" s="1642"/>
      <c r="I194" s="1642"/>
      <c r="J194" s="1642"/>
      <c r="K194" s="1642"/>
      <c r="L194" s="1642"/>
      <c r="M194" s="1642"/>
      <c r="N194" s="1642"/>
      <c r="O194" s="1642"/>
      <c r="P194" s="1642"/>
      <c r="Q194" s="1643"/>
      <c r="U194" s="168"/>
      <c r="V194" s="168"/>
      <c r="W194" s="168"/>
      <c r="X194" s="168"/>
      <c r="Y194" s="168"/>
      <c r="Z194" s="168"/>
      <c r="AA194" s="168"/>
      <c r="AB194" s="168"/>
      <c r="AC194" s="168"/>
      <c r="AD194" s="168"/>
      <c r="AE194" s="656"/>
    </row>
    <row r="195" spans="1:32" ht="11.25" customHeight="1">
      <c r="B195" s="169" t="s">
        <v>2572</v>
      </c>
      <c r="C195" s="170"/>
      <c r="D195" s="818"/>
      <c r="E195" s="818"/>
      <c r="F195" s="818"/>
      <c r="G195" s="818"/>
      <c r="H195" s="818"/>
      <c r="I195" s="818"/>
      <c r="J195" s="818"/>
      <c r="K195" s="818"/>
      <c r="L195" s="818"/>
      <c r="M195" s="818"/>
      <c r="N195" s="818"/>
      <c r="O195" s="818"/>
      <c r="P195" s="818"/>
      <c r="Q195" s="818"/>
    </row>
    <row r="196" spans="1:32" ht="11.45" customHeight="1">
      <c r="A196" s="1048"/>
      <c r="B196" s="1049"/>
      <c r="C196" s="1049"/>
      <c r="D196" s="1049"/>
      <c r="E196" s="1049"/>
      <c r="F196" s="1049"/>
      <c r="G196" s="1049"/>
      <c r="H196" s="1049"/>
      <c r="I196" s="1049"/>
      <c r="J196" s="1049"/>
      <c r="K196" s="1049"/>
      <c r="L196" s="1049"/>
      <c r="M196" s="1049"/>
      <c r="N196" s="1049"/>
      <c r="O196" s="1049"/>
      <c r="P196" s="1049"/>
      <c r="Q196" s="1050"/>
    </row>
    <row r="197" spans="1:32" ht="3" customHeight="1">
      <c r="A197" s="814"/>
      <c r="B197" s="162"/>
      <c r="C197" s="818"/>
      <c r="D197" s="818"/>
      <c r="E197" s="818"/>
      <c r="F197" s="818"/>
      <c r="G197" s="818"/>
      <c r="H197" s="818"/>
      <c r="I197" s="818"/>
      <c r="J197" s="818"/>
      <c r="K197" s="818"/>
      <c r="L197" s="818"/>
      <c r="M197" s="818"/>
      <c r="Q197" s="814"/>
    </row>
    <row r="198" spans="1:32" ht="13.9" customHeight="1">
      <c r="A198" s="820">
        <v>13</v>
      </c>
      <c r="B198" s="5" t="s">
        <v>3496</v>
      </c>
      <c r="C198" s="5"/>
      <c r="D198" s="104"/>
      <c r="E198" s="104"/>
      <c r="F198" s="104"/>
      <c r="G198" s="104"/>
      <c r="H198" s="818"/>
      <c r="I198" s="818"/>
      <c r="J198" s="818"/>
      <c r="K198" s="818"/>
      <c r="L198" s="818"/>
      <c r="M198" s="818"/>
      <c r="O198" s="163" t="s">
        <v>2573</v>
      </c>
      <c r="P198" s="1053"/>
      <c r="Q198" s="1054"/>
    </row>
    <row r="199" spans="1:32" ht="10.9" customHeight="1">
      <c r="B199" s="177" t="s">
        <v>155</v>
      </c>
    </row>
    <row r="200" spans="1:32" ht="11.45" customHeight="1">
      <c r="B200" s="54" t="s">
        <v>2695</v>
      </c>
      <c r="C200" s="61" t="s">
        <v>159</v>
      </c>
      <c r="D200" s="49"/>
      <c r="E200" s="61"/>
      <c r="F200" s="61"/>
      <c r="G200" s="61"/>
      <c r="H200" s="61"/>
      <c r="I200" s="49"/>
      <c r="J200" s="49"/>
      <c r="K200" s="49"/>
      <c r="L200" s="179"/>
      <c r="M200" s="179"/>
      <c r="O200" s="199" t="s">
        <v>2695</v>
      </c>
      <c r="P200" s="1637" t="s">
        <v>4064</v>
      </c>
      <c r="Q200" s="210"/>
    </row>
    <row r="201" spans="1:32" ht="11.45" customHeight="1">
      <c r="B201" s="54" t="s">
        <v>2698</v>
      </c>
      <c r="C201" s="61" t="s">
        <v>156</v>
      </c>
      <c r="D201" s="61"/>
      <c r="E201" s="61"/>
      <c r="F201" s="61"/>
      <c r="G201" s="61"/>
      <c r="H201" s="61"/>
      <c r="I201" s="49"/>
      <c r="J201" s="49"/>
      <c r="K201" s="49"/>
      <c r="L201" s="172"/>
      <c r="M201" s="172"/>
      <c r="O201" s="199" t="s">
        <v>2698</v>
      </c>
      <c r="P201" s="1637" t="s">
        <v>4064</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637" t="s">
        <v>4064</v>
      </c>
      <c r="Q202" s="210"/>
      <c r="AE202" s="658"/>
      <c r="AF202" s="658"/>
    </row>
    <row r="203" spans="1:32" s="181" customFormat="1" ht="11.45" customHeight="1">
      <c r="B203" s="54" t="s">
        <v>2831</v>
      </c>
      <c r="C203" s="61" t="s">
        <v>158</v>
      </c>
      <c r="D203" s="61"/>
      <c r="E203" s="61"/>
      <c r="F203" s="61"/>
      <c r="G203" s="61"/>
      <c r="H203" s="61"/>
      <c r="I203" s="115"/>
      <c r="J203" s="115"/>
      <c r="K203" s="115"/>
      <c r="L203" s="115"/>
      <c r="M203" s="115"/>
      <c r="O203" s="654" t="s">
        <v>2831</v>
      </c>
      <c r="P203" s="1637" t="s">
        <v>4064</v>
      </c>
      <c r="Q203" s="210"/>
      <c r="AE203" s="658"/>
      <c r="AF203" s="658"/>
    </row>
    <row r="204" spans="1:32" ht="11.25" customHeight="1">
      <c r="B204" s="173" t="s">
        <v>2571</v>
      </c>
      <c r="D204" s="173"/>
      <c r="E204" s="173"/>
      <c r="F204" s="173"/>
      <c r="G204" s="173"/>
      <c r="H204" s="823"/>
      <c r="I204" s="162"/>
      <c r="J204" s="162"/>
      <c r="K204" s="162"/>
      <c r="L204" s="814"/>
      <c r="M204" s="814"/>
      <c r="N204" s="814"/>
      <c r="O204" s="814"/>
      <c r="P204" s="814"/>
      <c r="Q204" s="59"/>
    </row>
    <row r="205" spans="1:32" ht="13.15" customHeight="1">
      <c r="A205" s="1641"/>
      <c r="B205" s="1642"/>
      <c r="C205" s="1642"/>
      <c r="D205" s="1642"/>
      <c r="E205" s="1642"/>
      <c r="F205" s="1642"/>
      <c r="G205" s="1642"/>
      <c r="H205" s="1642"/>
      <c r="I205" s="1642"/>
      <c r="J205" s="1642"/>
      <c r="K205" s="1642"/>
      <c r="L205" s="1642"/>
      <c r="M205" s="1642"/>
      <c r="N205" s="1642"/>
      <c r="O205" s="1642"/>
      <c r="P205" s="1642"/>
      <c r="Q205" s="1643"/>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2572</v>
      </c>
      <c r="C207" s="170"/>
      <c r="D207" s="818"/>
      <c r="E207" s="818"/>
      <c r="F207" s="818"/>
      <c r="G207" s="818"/>
      <c r="H207" s="818"/>
      <c r="I207" s="818"/>
      <c r="J207" s="818"/>
      <c r="K207" s="818"/>
      <c r="L207" s="818"/>
      <c r="M207" s="818"/>
      <c r="N207" s="818"/>
      <c r="O207" s="818"/>
      <c r="P207" s="818"/>
      <c r="Q207" s="818"/>
    </row>
    <row r="208" spans="1:32" ht="13.15" customHeight="1">
      <c r="A208" s="1048"/>
      <c r="B208" s="1049"/>
      <c r="C208" s="1049"/>
      <c r="D208" s="1049"/>
      <c r="E208" s="1049"/>
      <c r="F208" s="1049"/>
      <c r="G208" s="1049"/>
      <c r="H208" s="1049"/>
      <c r="I208" s="1049"/>
      <c r="J208" s="1049"/>
      <c r="K208" s="1049"/>
      <c r="L208" s="1049"/>
      <c r="M208" s="1049"/>
      <c r="N208" s="1049"/>
      <c r="O208" s="1049"/>
      <c r="P208" s="1049"/>
      <c r="Q208" s="1050"/>
    </row>
    <row r="209" spans="1:32" ht="3" customHeight="1">
      <c r="A209" s="814"/>
      <c r="B209" s="162"/>
      <c r="C209" s="818"/>
      <c r="D209" s="818"/>
      <c r="E209" s="818"/>
      <c r="F209" s="818"/>
      <c r="G209" s="818"/>
      <c r="H209" s="818"/>
      <c r="I209" s="818"/>
      <c r="J209" s="818"/>
      <c r="K209" s="818"/>
      <c r="L209" s="818"/>
      <c r="M209" s="818"/>
      <c r="Q209" s="814"/>
    </row>
    <row r="210" spans="1:32" ht="13.9" customHeight="1">
      <c r="A210" s="820">
        <v>14</v>
      </c>
      <c r="B210" s="820" t="s">
        <v>3497</v>
      </c>
      <c r="C210" s="136"/>
      <c r="D210" s="818"/>
      <c r="E210" s="818"/>
      <c r="F210" s="818"/>
      <c r="G210" s="818"/>
      <c r="H210" s="818"/>
      <c r="I210" s="818"/>
      <c r="J210" s="818"/>
      <c r="K210" s="818"/>
      <c r="L210" s="818"/>
      <c r="M210" s="818"/>
      <c r="O210" s="163" t="s">
        <v>2573</v>
      </c>
      <c r="P210" s="1053"/>
      <c r="Q210" s="1054"/>
    </row>
    <row r="211" spans="1:32" s="31" customFormat="1" ht="11.45" customHeight="1">
      <c r="B211" s="177" t="s">
        <v>1608</v>
      </c>
      <c r="N211" s="148"/>
      <c r="P211" s="1637" t="s">
        <v>4065</v>
      </c>
      <c r="Q211" s="210"/>
      <c r="AE211" s="142"/>
      <c r="AF211" s="142"/>
    </row>
    <row r="212" spans="1:32" ht="12" customHeight="1">
      <c r="B212" s="54" t="s">
        <v>2695</v>
      </c>
      <c r="C212" s="104" t="s">
        <v>1816</v>
      </c>
      <c r="D212" s="49"/>
      <c r="E212" s="49"/>
      <c r="F212" s="49"/>
      <c r="G212" s="49"/>
      <c r="H212" s="49"/>
      <c r="I212" s="49"/>
      <c r="J212" s="49"/>
      <c r="K212" s="49"/>
      <c r="L212" s="49"/>
      <c r="M212" s="49"/>
    </row>
    <row r="213" spans="1:32" ht="11.45" customHeight="1">
      <c r="B213" s="54"/>
      <c r="C213" s="78" t="s">
        <v>2430</v>
      </c>
      <c r="D213" s="61" t="s">
        <v>2642</v>
      </c>
      <c r="E213" s="61"/>
      <c r="F213" s="61"/>
      <c r="G213" s="61"/>
      <c r="H213" s="61"/>
      <c r="I213" s="49"/>
      <c r="K213" s="78" t="s">
        <v>1938</v>
      </c>
      <c r="L213" s="1701" t="s">
        <v>4156</v>
      </c>
      <c r="M213" s="1703"/>
      <c r="Q213" s="210"/>
    </row>
    <row r="214" spans="1:32" ht="11.45" customHeight="1">
      <c r="B214" s="54"/>
      <c r="C214" s="78" t="s">
        <v>2431</v>
      </c>
      <c r="D214" s="38" t="s">
        <v>3673</v>
      </c>
      <c r="E214" s="38"/>
      <c r="F214" s="38"/>
      <c r="G214" s="38"/>
      <c r="H214" s="38"/>
      <c r="I214" s="49"/>
      <c r="K214" s="78" t="s">
        <v>1939</v>
      </c>
      <c r="L214" s="1704" t="s">
        <v>4157</v>
      </c>
      <c r="M214" s="1705"/>
      <c r="N214" s="1706" t="s">
        <v>3674</v>
      </c>
      <c r="O214" s="1707"/>
      <c r="P214" s="1708"/>
      <c r="Q214" s="210"/>
    </row>
    <row r="215" spans="1:32" ht="11.45" customHeight="1">
      <c r="B215" s="54"/>
      <c r="C215" s="78" t="s">
        <v>2432</v>
      </c>
      <c r="D215" s="38" t="s">
        <v>726</v>
      </c>
      <c r="E215" s="38"/>
      <c r="F215" s="38"/>
      <c r="G215" s="38"/>
      <c r="H215" s="38"/>
      <c r="I215" s="49"/>
      <c r="K215" s="78" t="s">
        <v>1940</v>
      </c>
      <c r="L215" s="1701" t="s">
        <v>4158</v>
      </c>
      <c r="M215" s="1702"/>
      <c r="N215" s="1709"/>
      <c r="Q215" s="210"/>
      <c r="R215" s="49"/>
    </row>
    <row r="216" spans="1:32" ht="3" customHeight="1">
      <c r="B216" s="54"/>
      <c r="C216" s="78"/>
      <c r="D216" s="61"/>
      <c r="E216" s="61"/>
      <c r="F216" s="61"/>
      <c r="G216" s="61"/>
      <c r="H216" s="61"/>
      <c r="I216" s="49"/>
      <c r="J216" s="40"/>
      <c r="K216" s="49"/>
      <c r="L216" s="40"/>
      <c r="M216" s="40"/>
    </row>
    <row r="217" spans="1:32" ht="12" customHeight="1">
      <c r="B217" s="54" t="s">
        <v>2698</v>
      </c>
      <c r="C217" s="271" t="s">
        <v>3295</v>
      </c>
      <c r="D217" s="61"/>
      <c r="E217" s="61"/>
      <c r="F217" s="61"/>
      <c r="G217" s="61"/>
      <c r="H217" s="61"/>
      <c r="I217" s="61"/>
      <c r="J217" s="61"/>
      <c r="K217" s="49"/>
      <c r="L217" s="49"/>
      <c r="M217" s="49"/>
      <c r="N217" s="49"/>
      <c r="O217" s="654" t="s">
        <v>2698</v>
      </c>
      <c r="P217" s="1637" t="s">
        <v>4133</v>
      </c>
      <c r="Q217" s="210"/>
    </row>
    <row r="218" spans="1:32" ht="10.9" customHeight="1">
      <c r="B218" s="54"/>
      <c r="C218" s="61" t="s">
        <v>3294</v>
      </c>
      <c r="D218" s="61"/>
      <c r="E218" s="61"/>
      <c r="F218" s="61"/>
      <c r="G218" s="61"/>
      <c r="H218" s="61"/>
      <c r="I218" s="61"/>
      <c r="J218" s="61"/>
      <c r="K218" s="49"/>
      <c r="L218" s="49"/>
      <c r="M218" s="49"/>
      <c r="N218" s="49"/>
      <c r="O218" s="49"/>
      <c r="P218" s="1056" t="s">
        <v>3</v>
      </c>
      <c r="Q218" s="1056"/>
    </row>
    <row r="219" spans="1:32" ht="10.9" customHeight="1">
      <c r="B219" s="54"/>
      <c r="D219" s="61" t="s">
        <v>2</v>
      </c>
      <c r="E219" s="61"/>
      <c r="F219" s="61"/>
      <c r="G219" s="61"/>
      <c r="I219" s="381" t="s">
        <v>1162</v>
      </c>
      <c r="J219" s="382" t="s">
        <v>1163</v>
      </c>
      <c r="L219" s="61" t="s">
        <v>3675</v>
      </c>
      <c r="M219" s="49"/>
      <c r="N219" s="49"/>
      <c r="O219" s="381"/>
      <c r="P219" s="383" t="s">
        <v>1162</v>
      </c>
      <c r="Q219" s="382" t="s">
        <v>1163</v>
      </c>
    </row>
    <row r="220" spans="1:32" s="50" customFormat="1" ht="11.45" customHeight="1">
      <c r="A220" s="115"/>
      <c r="B220" s="60"/>
      <c r="C220" s="78" t="s">
        <v>2430</v>
      </c>
      <c r="D220" s="1710" t="s">
        <v>4159</v>
      </c>
      <c r="E220" s="1711"/>
      <c r="F220" s="1711"/>
      <c r="G220" s="1711"/>
      <c r="H220" s="1712"/>
      <c r="I220" s="384"/>
      <c r="J220" s="267"/>
      <c r="K220" s="78" t="s">
        <v>2432</v>
      </c>
      <c r="L220" s="1710"/>
      <c r="M220" s="1711"/>
      <c r="N220" s="1711"/>
      <c r="O220" s="1712"/>
      <c r="P220" s="324"/>
      <c r="Q220" s="267"/>
      <c r="AE220" s="63"/>
      <c r="AF220" s="63"/>
    </row>
    <row r="221" spans="1:32" s="50" customFormat="1" ht="11.45" customHeight="1">
      <c r="A221" s="115"/>
      <c r="B221" s="60"/>
      <c r="C221" s="78" t="s">
        <v>2431</v>
      </c>
      <c r="D221" s="1713" t="s">
        <v>4160</v>
      </c>
      <c r="E221" s="1714"/>
      <c r="F221" s="1714"/>
      <c r="G221" s="1714"/>
      <c r="H221" s="1715"/>
      <c r="I221" s="541"/>
      <c r="J221" s="268"/>
      <c r="K221" s="78" t="s">
        <v>3120</v>
      </c>
      <c r="L221" s="1713"/>
      <c r="M221" s="1714"/>
      <c r="N221" s="1714"/>
      <c r="O221" s="1715"/>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637" t="s">
        <v>4133</v>
      </c>
      <c r="Q223" s="210"/>
    </row>
    <row r="224" spans="1:32" ht="11.45" customHeight="1">
      <c r="B224" s="54"/>
      <c r="C224" s="78" t="s">
        <v>2430</v>
      </c>
      <c r="D224" s="61" t="s">
        <v>167</v>
      </c>
      <c r="E224" s="61"/>
      <c r="F224" s="61"/>
      <c r="G224" s="61"/>
      <c r="H224" s="61"/>
      <c r="I224" s="49"/>
      <c r="J224" s="40"/>
      <c r="K224" s="49"/>
      <c r="L224" s="40"/>
      <c r="M224" s="40"/>
      <c r="O224" s="78" t="s">
        <v>2430</v>
      </c>
      <c r="P224" s="1637" t="s">
        <v>4064</v>
      </c>
      <c r="Q224" s="210"/>
    </row>
    <row r="225" spans="1:31" ht="11.45" customHeight="1">
      <c r="C225" s="78" t="s">
        <v>2431</v>
      </c>
      <c r="D225" s="38" t="s">
        <v>2341</v>
      </c>
      <c r="E225" s="38"/>
      <c r="F225" s="38"/>
      <c r="G225" s="38"/>
      <c r="H225" s="38"/>
      <c r="I225" s="49"/>
      <c r="J225" s="40"/>
      <c r="K225" s="49"/>
      <c r="L225" s="40"/>
      <c r="M225" s="40"/>
      <c r="O225" s="78" t="s">
        <v>2431</v>
      </c>
      <c r="P225" s="1637" t="s">
        <v>4064</v>
      </c>
      <c r="Q225" s="210"/>
    </row>
    <row r="226" spans="1:31" ht="11.45" customHeight="1">
      <c r="C226" s="78" t="s">
        <v>2432</v>
      </c>
      <c r="D226" s="38" t="s">
        <v>1963</v>
      </c>
      <c r="E226" s="38"/>
      <c r="F226" s="38"/>
      <c r="G226" s="38"/>
      <c r="H226" s="38"/>
      <c r="I226" s="49"/>
      <c r="J226" s="40"/>
      <c r="K226" s="49"/>
      <c r="L226" s="40"/>
      <c r="M226" s="40"/>
      <c r="O226" s="78" t="s">
        <v>2432</v>
      </c>
      <c r="P226" s="1637" t="s">
        <v>4064</v>
      </c>
      <c r="Q226" s="210"/>
    </row>
    <row r="227" spans="1:31" ht="11.45" customHeight="1">
      <c r="B227" s="54"/>
      <c r="C227" s="78" t="s">
        <v>3120</v>
      </c>
      <c r="D227" s="38" t="s">
        <v>168</v>
      </c>
      <c r="E227" s="38"/>
      <c r="F227" s="38"/>
      <c r="G227" s="38"/>
      <c r="H227" s="38"/>
      <c r="I227" s="49"/>
      <c r="J227" s="40"/>
      <c r="K227" s="49"/>
      <c r="L227" s="40"/>
      <c r="M227" s="40"/>
      <c r="O227" s="78" t="s">
        <v>3120</v>
      </c>
      <c r="P227" s="1637" t="s">
        <v>4064</v>
      </c>
      <c r="Q227" s="210"/>
    </row>
    <row r="228" spans="1:31" ht="11.45" customHeight="1">
      <c r="B228" s="54"/>
      <c r="C228" s="78" t="s">
        <v>2009</v>
      </c>
      <c r="D228" s="61" t="s">
        <v>1164</v>
      </c>
      <c r="E228" s="61"/>
      <c r="F228" s="61"/>
      <c r="G228" s="61"/>
      <c r="H228" s="61"/>
      <c r="I228" s="49"/>
      <c r="J228" s="40"/>
      <c r="K228" s="49"/>
      <c r="L228" s="40"/>
      <c r="M228" s="40"/>
      <c r="O228" s="78" t="s">
        <v>1165</v>
      </c>
      <c r="P228" s="1637" t="s">
        <v>4064</v>
      </c>
      <c r="Q228" s="210"/>
    </row>
    <row r="229" spans="1:31" ht="11.45" customHeight="1">
      <c r="B229" s="54"/>
      <c r="C229" s="78"/>
      <c r="D229" s="61" t="s">
        <v>1941</v>
      </c>
      <c r="E229" s="61"/>
      <c r="F229" s="61"/>
      <c r="G229" s="61"/>
      <c r="H229" s="61"/>
      <c r="I229" s="49"/>
      <c r="J229" s="40"/>
      <c r="K229" s="49"/>
      <c r="L229" s="40"/>
      <c r="M229" s="40"/>
      <c r="O229" s="78" t="s">
        <v>1166</v>
      </c>
      <c r="P229" s="1637" t="s">
        <v>4065</v>
      </c>
      <c r="Q229" s="210"/>
    </row>
    <row r="230" spans="1:31" ht="3" customHeight="1">
      <c r="B230" s="54"/>
      <c r="C230" s="78"/>
      <c r="D230" s="61"/>
      <c r="E230" s="61"/>
      <c r="F230" s="61"/>
      <c r="G230" s="61"/>
      <c r="H230" s="61"/>
      <c r="I230" s="49"/>
      <c r="J230" s="40"/>
      <c r="K230" s="49"/>
      <c r="L230" s="40"/>
      <c r="M230" s="40"/>
    </row>
    <row r="231" spans="1:31" ht="12" customHeight="1">
      <c r="B231" s="54" t="s">
        <v>2831</v>
      </c>
      <c r="C231" s="271" t="s">
        <v>3550</v>
      </c>
      <c r="D231" s="61"/>
      <c r="E231" s="61"/>
      <c r="F231" s="61"/>
      <c r="G231" s="61"/>
      <c r="H231" s="61"/>
      <c r="I231" s="61"/>
      <c r="J231" s="61"/>
      <c r="K231" s="49"/>
      <c r="L231" s="61"/>
      <c r="M231" s="61"/>
      <c r="O231" s="654" t="s">
        <v>2831</v>
      </c>
      <c r="P231" s="1637" t="s">
        <v>4133</v>
      </c>
      <c r="Q231" s="210"/>
    </row>
    <row r="232" spans="1:31" ht="11.45" customHeight="1">
      <c r="B232" s="54"/>
      <c r="C232" s="78" t="s">
        <v>2430</v>
      </c>
      <c r="D232" s="47" t="s">
        <v>1678</v>
      </c>
      <c r="E232" s="49"/>
      <c r="F232" s="49"/>
      <c r="G232" s="47"/>
      <c r="H232" s="38"/>
      <c r="I232" s="49"/>
      <c r="J232" s="38"/>
      <c r="K232" s="49"/>
      <c r="L232" s="38"/>
      <c r="M232" s="38"/>
      <c r="O232" s="78" t="s">
        <v>2430</v>
      </c>
      <c r="P232" s="1637" t="s">
        <v>4064</v>
      </c>
      <c r="Q232" s="210"/>
    </row>
    <row r="233" spans="1:31" ht="11.45" customHeight="1">
      <c r="B233" s="54"/>
      <c r="C233" s="78" t="s">
        <v>2431</v>
      </c>
      <c r="D233" s="47" t="s">
        <v>160</v>
      </c>
      <c r="E233" s="49"/>
      <c r="F233" s="49"/>
      <c r="G233" s="38"/>
      <c r="H233" s="38"/>
      <c r="I233" s="49"/>
      <c r="J233" s="38"/>
      <c r="K233" s="49"/>
      <c r="L233" s="38"/>
      <c r="M233" s="38"/>
      <c r="O233" s="78" t="s">
        <v>2431</v>
      </c>
      <c r="P233" s="1637" t="s">
        <v>4064</v>
      </c>
      <c r="Q233" s="210"/>
    </row>
    <row r="234" spans="1:31" ht="11.45" customHeight="1">
      <c r="B234" s="54"/>
      <c r="C234" s="78" t="s">
        <v>2432</v>
      </c>
      <c r="D234" s="38" t="s">
        <v>2319</v>
      </c>
      <c r="E234" s="49"/>
      <c r="F234" s="49"/>
      <c r="G234" s="38"/>
      <c r="H234" s="38"/>
      <c r="I234" s="49"/>
      <c r="J234" s="38"/>
      <c r="K234" s="49"/>
      <c r="L234" s="38"/>
      <c r="M234" s="38"/>
      <c r="O234" s="78" t="s">
        <v>3126</v>
      </c>
      <c r="P234" s="1637" t="s">
        <v>4064</v>
      </c>
      <c r="Q234" s="210"/>
    </row>
    <row r="235" spans="1:31" ht="11.45" customHeight="1">
      <c r="B235" s="44"/>
      <c r="C235" s="49"/>
      <c r="D235" s="38" t="s">
        <v>1719</v>
      </c>
      <c r="E235" s="49"/>
      <c r="F235" s="49"/>
      <c r="G235" s="38"/>
      <c r="H235" s="38"/>
      <c r="I235" s="49"/>
      <c r="J235" s="38"/>
      <c r="K235" s="49"/>
      <c r="L235" s="38"/>
      <c r="M235" s="38"/>
      <c r="O235" s="78" t="s">
        <v>3127</v>
      </c>
      <c r="P235" s="1637"/>
      <c r="Q235" s="210"/>
    </row>
    <row r="236" spans="1:31" ht="11.25" customHeight="1">
      <c r="B236" s="173" t="s">
        <v>2571</v>
      </c>
      <c r="D236" s="173"/>
      <c r="E236" s="173"/>
      <c r="F236" s="173"/>
      <c r="G236" s="173"/>
      <c r="H236" s="823"/>
      <c r="I236" s="162"/>
      <c r="J236" s="162"/>
      <c r="K236" s="162"/>
      <c r="L236" s="814"/>
      <c r="M236" s="814"/>
      <c r="N236" s="814"/>
      <c r="O236" s="814"/>
      <c r="P236" s="814"/>
      <c r="Q236" s="59"/>
    </row>
    <row r="237" spans="1:31" ht="11.45" customHeight="1">
      <c r="A237" s="1641"/>
      <c r="B237" s="1642"/>
      <c r="C237" s="1642"/>
      <c r="D237" s="1642"/>
      <c r="E237" s="1642"/>
      <c r="F237" s="1642"/>
      <c r="G237" s="1642"/>
      <c r="H237" s="1642"/>
      <c r="I237" s="1642"/>
      <c r="J237" s="1642"/>
      <c r="K237" s="1642"/>
      <c r="L237" s="1642"/>
      <c r="M237" s="1642"/>
      <c r="N237" s="1642"/>
      <c r="O237" s="1642"/>
      <c r="P237" s="1642"/>
      <c r="Q237" s="1643"/>
      <c r="R237" s="614" t="s">
        <v>1677</v>
      </c>
      <c r="S237" s="615"/>
      <c r="U237" s="168"/>
      <c r="V237" s="168"/>
      <c r="W237" s="168"/>
      <c r="X237" s="168"/>
      <c r="Y237" s="168"/>
      <c r="Z237" s="168"/>
      <c r="AA237" s="168"/>
      <c r="AB237" s="168"/>
      <c r="AC237" s="168"/>
      <c r="AD237" s="168"/>
      <c r="AE237" s="656"/>
    </row>
    <row r="238" spans="1:31" ht="11.25" customHeight="1">
      <c r="B238" s="169" t="s">
        <v>2572</v>
      </c>
      <c r="C238" s="170"/>
      <c r="D238" s="818"/>
      <c r="E238" s="818"/>
      <c r="F238" s="818"/>
      <c r="G238" s="818"/>
      <c r="H238" s="818"/>
      <c r="I238" s="818"/>
      <c r="J238" s="818"/>
      <c r="K238" s="818"/>
      <c r="L238" s="818"/>
      <c r="M238" s="818"/>
      <c r="N238" s="818"/>
      <c r="O238" s="818"/>
      <c r="P238" s="818"/>
      <c r="Q238" s="818"/>
    </row>
    <row r="239" spans="1:31" ht="13.15" customHeight="1">
      <c r="A239" s="1048"/>
      <c r="B239" s="1049"/>
      <c r="C239" s="1049"/>
      <c r="D239" s="1049"/>
      <c r="E239" s="1049"/>
      <c r="F239" s="1049"/>
      <c r="G239" s="1049"/>
      <c r="H239" s="1049"/>
      <c r="I239" s="1049"/>
      <c r="J239" s="1049"/>
      <c r="K239" s="1049"/>
      <c r="L239" s="1049"/>
      <c r="M239" s="1049"/>
      <c r="N239" s="1049"/>
      <c r="O239" s="1049"/>
      <c r="P239" s="1049"/>
      <c r="Q239" s="1050"/>
    </row>
    <row r="240" spans="1:31" ht="3" customHeight="1">
      <c r="A240" s="814"/>
      <c r="B240" s="162"/>
      <c r="C240" s="818"/>
      <c r="D240" s="818"/>
      <c r="E240" s="818"/>
      <c r="F240" s="818"/>
      <c r="G240" s="818"/>
      <c r="H240" s="818"/>
      <c r="I240" s="818"/>
      <c r="J240" s="818"/>
      <c r="K240" s="818"/>
      <c r="L240" s="818"/>
      <c r="M240" s="818"/>
      <c r="Q240" s="814"/>
    </row>
    <row r="241" spans="1:32" ht="13.9" customHeight="1">
      <c r="A241" s="820">
        <v>15</v>
      </c>
      <c r="B241" s="5" t="s">
        <v>3498</v>
      </c>
      <c r="C241" s="5"/>
      <c r="D241" s="104"/>
      <c r="E241" s="104"/>
      <c r="F241" s="104"/>
      <c r="G241" s="104"/>
      <c r="H241" s="818"/>
      <c r="I241" s="818"/>
      <c r="J241" s="818"/>
      <c r="K241" s="818"/>
      <c r="L241" s="818"/>
      <c r="M241" s="818"/>
      <c r="O241" s="163" t="s">
        <v>2573</v>
      </c>
      <c r="P241" s="1053"/>
      <c r="Q241" s="1054"/>
    </row>
    <row r="242" spans="1:32" ht="4.9000000000000004" customHeight="1"/>
    <row r="243" spans="1:32" ht="11.45" customHeight="1">
      <c r="B243" s="54" t="s">
        <v>2695</v>
      </c>
      <c r="C243" s="61" t="s">
        <v>1693</v>
      </c>
      <c r="D243" s="49"/>
      <c r="E243" s="61"/>
      <c r="F243" s="61"/>
      <c r="G243" s="61"/>
      <c r="H243" s="61"/>
      <c r="I243" s="49"/>
      <c r="J243" s="49"/>
      <c r="K243" s="49"/>
      <c r="L243" s="654" t="s">
        <v>2695</v>
      </c>
      <c r="M243" s="1687" t="s">
        <v>2466</v>
      </c>
      <c r="N243" s="1688"/>
      <c r="O243" s="1689"/>
      <c r="P243" s="1087" t="s">
        <v>2466</v>
      </c>
      <c r="Q243" s="1088"/>
    </row>
    <row r="244" spans="1:32" ht="11.45" customHeight="1">
      <c r="B244" s="54" t="s">
        <v>2698</v>
      </c>
      <c r="C244" s="61" t="s">
        <v>1666</v>
      </c>
      <c r="D244" s="61"/>
      <c r="E244" s="61"/>
      <c r="F244" s="61"/>
      <c r="G244" s="61"/>
      <c r="H244" s="61"/>
      <c r="I244" s="49"/>
      <c r="J244" s="49"/>
      <c r="K244" s="49"/>
      <c r="L244" s="654" t="s">
        <v>2698</v>
      </c>
      <c r="M244" s="1716"/>
      <c r="N244" s="1717"/>
      <c r="O244" s="1718"/>
      <c r="P244" s="1107"/>
      <c r="Q244" s="1108"/>
    </row>
    <row r="245" spans="1:32" s="181" customFormat="1" ht="11.45" customHeight="1">
      <c r="B245" s="54" t="s">
        <v>1054</v>
      </c>
      <c r="C245" s="61" t="s">
        <v>2656</v>
      </c>
      <c r="D245" s="61"/>
      <c r="E245" s="61"/>
      <c r="F245" s="61"/>
      <c r="G245" s="61"/>
      <c r="H245" s="61"/>
      <c r="I245" s="115"/>
      <c r="J245" s="115"/>
      <c r="K245" s="115"/>
      <c r="L245" s="654" t="s">
        <v>1054</v>
      </c>
      <c r="M245" s="1687"/>
      <c r="N245" s="1688"/>
      <c r="O245" s="1689"/>
      <c r="P245" s="1087"/>
      <c r="Q245" s="1088"/>
      <c r="AE245" s="658"/>
      <c r="AF245" s="658"/>
    </row>
    <row r="246" spans="1:32" s="181" customFormat="1" ht="11.45" customHeight="1">
      <c r="B246" s="54" t="s">
        <v>2831</v>
      </c>
      <c r="C246" s="61" t="s">
        <v>3341</v>
      </c>
      <c r="D246" s="61"/>
      <c r="E246" s="61"/>
      <c r="F246" s="61"/>
      <c r="G246" s="61"/>
      <c r="H246" s="61"/>
      <c r="I246" s="115"/>
      <c r="J246" s="115"/>
      <c r="K246" s="115"/>
      <c r="L246" s="115"/>
      <c r="M246" s="115"/>
      <c r="O246" s="654" t="s">
        <v>2831</v>
      </c>
      <c r="P246" s="1637"/>
      <c r="Q246" s="210"/>
      <c r="AE246" s="658"/>
      <c r="AF246" s="658"/>
    </row>
    <row r="247" spans="1:32" s="181" customFormat="1" ht="22.15" customHeight="1">
      <c r="B247" s="174" t="s">
        <v>2428</v>
      </c>
      <c r="C247" s="1055" t="s">
        <v>3761</v>
      </c>
      <c r="D247" s="1055"/>
      <c r="E247" s="1055"/>
      <c r="F247" s="1055"/>
      <c r="G247" s="1055"/>
      <c r="H247" s="1055"/>
      <c r="I247" s="1055"/>
      <c r="J247" s="1055"/>
      <c r="K247" s="1055"/>
      <c r="L247" s="1055"/>
      <c r="M247" s="1055"/>
      <c r="N247" s="1055"/>
      <c r="O247" s="199" t="s">
        <v>2428</v>
      </c>
      <c r="P247" s="1637"/>
      <c r="Q247" s="210"/>
      <c r="AE247" s="658"/>
      <c r="AF247" s="658"/>
    </row>
    <row r="248" spans="1:32" ht="11.25" customHeight="1">
      <c r="B248" s="173" t="s">
        <v>2571</v>
      </c>
      <c r="D248" s="173"/>
      <c r="E248" s="173"/>
      <c r="F248" s="173"/>
      <c r="G248" s="173"/>
      <c r="H248" s="823"/>
      <c r="I248" s="162"/>
      <c r="J248" s="162"/>
      <c r="K248" s="162"/>
      <c r="L248" s="814"/>
      <c r="M248" s="814"/>
      <c r="N248" s="814"/>
      <c r="O248" s="814"/>
      <c r="P248" s="814"/>
      <c r="Q248" s="59"/>
    </row>
    <row r="249" spans="1:32" ht="13.15" customHeight="1">
      <c r="A249" s="1641"/>
      <c r="B249" s="1642"/>
      <c r="C249" s="1642"/>
      <c r="D249" s="1642"/>
      <c r="E249" s="1642"/>
      <c r="F249" s="1642"/>
      <c r="G249" s="1642"/>
      <c r="H249" s="1642"/>
      <c r="I249" s="1642"/>
      <c r="J249" s="1642"/>
      <c r="K249" s="1642"/>
      <c r="L249" s="1642"/>
      <c r="M249" s="1642"/>
      <c r="N249" s="1642"/>
      <c r="O249" s="1642"/>
      <c r="P249" s="1642"/>
      <c r="Q249" s="1643"/>
      <c r="R249" s="614" t="s">
        <v>1677</v>
      </c>
      <c r="S249" s="615"/>
      <c r="U249" s="168"/>
      <c r="V249" s="168"/>
      <c r="W249" s="168"/>
      <c r="X249" s="168"/>
      <c r="Y249" s="168"/>
      <c r="Z249" s="168"/>
      <c r="AA249" s="168"/>
      <c r="AB249" s="168"/>
      <c r="AC249" s="168"/>
      <c r="AD249" s="168"/>
      <c r="AE249" s="656"/>
    </row>
    <row r="250" spans="1:32" ht="10.9" customHeight="1">
      <c r="B250" s="169" t="s">
        <v>2572</v>
      </c>
      <c r="C250" s="170"/>
      <c r="D250" s="818"/>
      <c r="E250" s="818"/>
      <c r="F250" s="818"/>
      <c r="G250" s="818"/>
      <c r="H250" s="818"/>
      <c r="I250" s="818"/>
      <c r="J250" s="818"/>
      <c r="K250" s="818"/>
      <c r="L250" s="818"/>
      <c r="M250" s="818"/>
      <c r="N250" s="818"/>
      <c r="O250" s="818"/>
      <c r="P250" s="818"/>
      <c r="Q250" s="818"/>
    </row>
    <row r="251" spans="1:32" ht="13.15" customHeight="1">
      <c r="A251" s="1048"/>
      <c r="B251" s="1049"/>
      <c r="C251" s="1049"/>
      <c r="D251" s="1049"/>
      <c r="E251" s="1049"/>
      <c r="F251" s="1049"/>
      <c r="G251" s="1049"/>
      <c r="H251" s="1049"/>
      <c r="I251" s="1049"/>
      <c r="J251" s="1049"/>
      <c r="K251" s="1049"/>
      <c r="L251" s="1049"/>
      <c r="M251" s="1049"/>
      <c r="N251" s="1049"/>
      <c r="O251" s="1049"/>
      <c r="P251" s="1049"/>
      <c r="Q251" s="1050"/>
    </row>
    <row r="252" spans="1:32" ht="3" customHeight="1">
      <c r="A252" s="814"/>
      <c r="B252" s="162"/>
      <c r="C252" s="818"/>
      <c r="D252" s="818"/>
      <c r="E252" s="818"/>
      <c r="F252" s="818"/>
      <c r="G252" s="818"/>
      <c r="H252" s="818"/>
      <c r="I252" s="818"/>
      <c r="J252" s="818"/>
      <c r="K252" s="818"/>
      <c r="L252" s="818"/>
      <c r="M252" s="818"/>
      <c r="Q252" s="814"/>
    </row>
    <row r="253" spans="1:32" ht="13.9" customHeight="1">
      <c r="A253" s="820">
        <v>16</v>
      </c>
      <c r="B253" s="5" t="s">
        <v>3499</v>
      </c>
      <c r="C253" s="5"/>
      <c r="D253" s="104"/>
      <c r="E253" s="104"/>
      <c r="F253" s="104"/>
      <c r="G253" s="104"/>
      <c r="H253" s="818"/>
      <c r="I253" s="818"/>
      <c r="J253" s="818"/>
      <c r="K253" s="818"/>
      <c r="L253" s="818"/>
      <c r="M253" s="818"/>
      <c r="O253" s="163" t="s">
        <v>2573</v>
      </c>
      <c r="P253" s="1053"/>
      <c r="Q253" s="1054"/>
    </row>
    <row r="254" spans="1:32" ht="3" customHeight="1"/>
    <row r="255" spans="1:32" s="550" customFormat="1" ht="11.25" customHeight="1">
      <c r="B255" s="174" t="s">
        <v>2695</v>
      </c>
      <c r="C255" s="1055" t="s">
        <v>3532</v>
      </c>
      <c r="D255" s="1055"/>
      <c r="E255" s="1055"/>
      <c r="F255" s="1055"/>
      <c r="G255" s="1055"/>
      <c r="H255" s="1055"/>
      <c r="I255" s="1055"/>
      <c r="J255" s="1055"/>
      <c r="K255" s="1055"/>
      <c r="L255" s="1055"/>
      <c r="M255" s="1055"/>
      <c r="N255" s="1055"/>
      <c r="O255" s="199" t="s">
        <v>2695</v>
      </c>
      <c r="P255" s="1686" t="s">
        <v>4064</v>
      </c>
      <c r="Q255" s="323"/>
      <c r="AE255" s="659"/>
      <c r="AF255" s="659"/>
    </row>
    <row r="256" spans="1:32" s="181" customFormat="1" ht="11.45" customHeight="1">
      <c r="B256" s="54" t="s">
        <v>2698</v>
      </c>
      <c r="C256" s="61" t="s">
        <v>1843</v>
      </c>
      <c r="D256" s="61"/>
      <c r="E256" s="61"/>
      <c r="F256" s="61"/>
      <c r="G256" s="61"/>
      <c r="H256" s="61"/>
      <c r="I256" s="61"/>
      <c r="J256" s="61"/>
      <c r="K256" s="61"/>
      <c r="L256" s="61"/>
      <c r="M256" s="61"/>
      <c r="O256" s="654" t="s">
        <v>2698</v>
      </c>
      <c r="P256" s="1637" t="s">
        <v>4064</v>
      </c>
      <c r="Q256" s="210"/>
      <c r="AE256" s="658"/>
      <c r="AF256" s="658"/>
    </row>
    <row r="257" spans="1:32" ht="11.25" customHeight="1">
      <c r="B257" s="173" t="s">
        <v>2571</v>
      </c>
      <c r="D257" s="173"/>
      <c r="E257" s="173"/>
      <c r="F257" s="173"/>
      <c r="G257" s="173"/>
      <c r="H257" s="823"/>
      <c r="I257" s="162"/>
      <c r="J257" s="162"/>
      <c r="K257" s="162"/>
      <c r="L257" s="814"/>
      <c r="M257" s="814"/>
      <c r="N257" s="814"/>
      <c r="O257" s="814"/>
      <c r="P257" s="814"/>
      <c r="Q257" s="59"/>
    </row>
    <row r="258" spans="1:32" ht="13.15" customHeight="1">
      <c r="A258" s="1641"/>
      <c r="B258" s="1642"/>
      <c r="C258" s="1642"/>
      <c r="D258" s="1642"/>
      <c r="E258" s="1642"/>
      <c r="F258" s="1642"/>
      <c r="G258" s="1642"/>
      <c r="H258" s="1642"/>
      <c r="I258" s="1642"/>
      <c r="J258" s="1642"/>
      <c r="K258" s="1642"/>
      <c r="L258" s="1642"/>
      <c r="M258" s="1642"/>
      <c r="N258" s="1642"/>
      <c r="O258" s="1642"/>
      <c r="P258" s="1642"/>
      <c r="Q258" s="1643"/>
      <c r="R258" s="614" t="s">
        <v>1677</v>
      </c>
      <c r="S258" s="615"/>
      <c r="U258" s="168"/>
      <c r="V258" s="168"/>
      <c r="W258" s="168"/>
      <c r="X258" s="168"/>
      <c r="Y258" s="168"/>
      <c r="Z258" s="168"/>
      <c r="AA258" s="168"/>
      <c r="AB258" s="168"/>
      <c r="AC258" s="168"/>
      <c r="AD258" s="168"/>
      <c r="AE258" s="656"/>
    </row>
    <row r="259" spans="1:32" ht="11.25" customHeight="1">
      <c r="B259" s="169" t="s">
        <v>2572</v>
      </c>
      <c r="C259" s="170"/>
      <c r="D259" s="818"/>
      <c r="E259" s="818"/>
      <c r="F259" s="818"/>
      <c r="G259" s="818"/>
      <c r="H259" s="818"/>
      <c r="I259" s="818"/>
      <c r="J259" s="818"/>
      <c r="K259" s="818"/>
      <c r="L259" s="818"/>
      <c r="M259" s="818"/>
      <c r="N259" s="818"/>
      <c r="O259" s="818"/>
      <c r="P259" s="818"/>
      <c r="Q259" s="818"/>
    </row>
    <row r="260" spans="1:32" ht="13.15" customHeight="1">
      <c r="A260" s="1048"/>
      <c r="B260" s="1049"/>
      <c r="C260" s="1049"/>
      <c r="D260" s="1049"/>
      <c r="E260" s="1049"/>
      <c r="F260" s="1049"/>
      <c r="G260" s="1049"/>
      <c r="H260" s="1049"/>
      <c r="I260" s="1049"/>
      <c r="J260" s="1049"/>
      <c r="K260" s="1049"/>
      <c r="L260" s="1049"/>
      <c r="M260" s="1049"/>
      <c r="N260" s="1049"/>
      <c r="O260" s="1049"/>
      <c r="P260" s="1049"/>
      <c r="Q260" s="1050"/>
    </row>
    <row r="261" spans="1:32" ht="3" customHeight="1">
      <c r="A261" s="814"/>
      <c r="B261" s="162"/>
      <c r="C261" s="818"/>
      <c r="D261" s="818"/>
      <c r="E261" s="818"/>
      <c r="F261" s="818"/>
      <c r="G261" s="818"/>
      <c r="H261" s="818"/>
      <c r="I261" s="818"/>
      <c r="J261" s="818"/>
      <c r="K261" s="818"/>
      <c r="L261" s="818"/>
      <c r="M261" s="818"/>
      <c r="N261" s="818"/>
      <c r="O261" s="818"/>
      <c r="P261" s="163"/>
      <c r="Q261" s="59"/>
    </row>
    <row r="262" spans="1:32" ht="13.9" customHeight="1">
      <c r="A262" s="820">
        <v>17</v>
      </c>
      <c r="B262" s="820" t="s">
        <v>3500</v>
      </c>
      <c r="C262" s="820"/>
      <c r="D262" s="818"/>
      <c r="E262" s="818"/>
      <c r="F262" s="818"/>
      <c r="G262" s="818"/>
      <c r="H262" s="818"/>
      <c r="I262" s="818"/>
      <c r="J262" s="818"/>
      <c r="K262" s="818"/>
      <c r="L262" s="818"/>
      <c r="M262" s="818"/>
      <c r="O262" s="163" t="s">
        <v>2573</v>
      </c>
      <c r="P262" s="1053"/>
      <c r="Q262" s="1054"/>
    </row>
    <row r="263" spans="1:32" ht="3" customHeight="1"/>
    <row r="264" spans="1:32" s="550" customFormat="1" ht="24" customHeight="1">
      <c r="B264" s="174" t="s">
        <v>2695</v>
      </c>
      <c r="C264" s="1051" t="s">
        <v>3567</v>
      </c>
      <c r="D264" s="941"/>
      <c r="E264" s="941"/>
      <c r="F264" s="941"/>
      <c r="G264" s="941"/>
      <c r="H264" s="941"/>
      <c r="I264" s="941"/>
      <c r="J264" s="941"/>
      <c r="K264" s="941"/>
      <c r="L264" s="941"/>
      <c r="M264" s="941"/>
      <c r="N264" s="941"/>
      <c r="O264" s="199" t="s">
        <v>2695</v>
      </c>
      <c r="P264" s="1637" t="s">
        <v>4133</v>
      </c>
      <c r="Q264" s="210"/>
      <c r="AE264" s="659"/>
      <c r="AF264" s="659"/>
    </row>
    <row r="265" spans="1:32" s="550" customFormat="1" ht="24" customHeight="1">
      <c r="B265" s="174" t="s">
        <v>2698</v>
      </c>
      <c r="C265" s="1051" t="s">
        <v>3568</v>
      </c>
      <c r="D265" s="941"/>
      <c r="E265" s="941"/>
      <c r="F265" s="941"/>
      <c r="G265" s="941"/>
      <c r="H265" s="941"/>
      <c r="I265" s="941"/>
      <c r="J265" s="941"/>
      <c r="K265" s="941"/>
      <c r="L265" s="941"/>
      <c r="M265" s="941"/>
      <c r="N265" s="941"/>
      <c r="O265" s="199" t="s">
        <v>2698</v>
      </c>
      <c r="P265" s="1637" t="s">
        <v>4133</v>
      </c>
      <c r="Q265" s="210"/>
      <c r="AE265" s="659"/>
      <c r="AF265" s="659"/>
    </row>
    <row r="266" spans="1:32" ht="11.25" customHeight="1">
      <c r="B266" s="173" t="s">
        <v>2571</v>
      </c>
      <c r="D266" s="173"/>
      <c r="E266" s="173"/>
      <c r="F266" s="173"/>
      <c r="G266" s="173"/>
      <c r="H266" s="823"/>
      <c r="I266" s="162"/>
      <c r="J266" s="162"/>
      <c r="K266" s="162"/>
      <c r="L266" s="814"/>
      <c r="M266" s="814"/>
      <c r="N266" s="814"/>
      <c r="O266" s="814"/>
      <c r="P266" s="814"/>
      <c r="Q266" s="59"/>
    </row>
    <row r="267" spans="1:32" ht="13.15" customHeight="1">
      <c r="A267" s="1641"/>
      <c r="B267" s="1642"/>
      <c r="C267" s="1642"/>
      <c r="D267" s="1642"/>
      <c r="E267" s="1642"/>
      <c r="F267" s="1642"/>
      <c r="G267" s="1642"/>
      <c r="H267" s="1642"/>
      <c r="I267" s="1642"/>
      <c r="J267" s="1642"/>
      <c r="K267" s="1642"/>
      <c r="L267" s="1642"/>
      <c r="M267" s="1642"/>
      <c r="N267" s="1642"/>
      <c r="O267" s="1642"/>
      <c r="P267" s="1642"/>
      <c r="Q267" s="1643"/>
      <c r="R267" s="614" t="s">
        <v>1677</v>
      </c>
      <c r="S267" s="615"/>
      <c r="U267" s="168"/>
      <c r="V267" s="168"/>
      <c r="W267" s="168"/>
      <c r="X267" s="168"/>
      <c r="Y267" s="168"/>
      <c r="Z267" s="168"/>
      <c r="AA267" s="168"/>
      <c r="AB267" s="168"/>
      <c r="AC267" s="168"/>
      <c r="AD267" s="168"/>
      <c r="AE267" s="656"/>
    </row>
    <row r="268" spans="1:32" ht="11.25" customHeight="1">
      <c r="B268" s="169" t="s">
        <v>2572</v>
      </c>
      <c r="C268" s="170"/>
      <c r="D268" s="818"/>
      <c r="E268" s="818"/>
      <c r="F268" s="818"/>
      <c r="G268" s="818"/>
      <c r="H268" s="818"/>
      <c r="I268" s="818"/>
      <c r="J268" s="818"/>
      <c r="K268" s="818"/>
      <c r="L268" s="818"/>
      <c r="M268" s="818"/>
      <c r="N268" s="818"/>
      <c r="O268" s="818"/>
      <c r="P268" s="818"/>
      <c r="Q268" s="818"/>
    </row>
    <row r="269" spans="1:32" ht="13.15" customHeight="1">
      <c r="A269" s="1048"/>
      <c r="B269" s="1049"/>
      <c r="C269" s="1049"/>
      <c r="D269" s="1049"/>
      <c r="E269" s="1049"/>
      <c r="F269" s="1049"/>
      <c r="G269" s="1049"/>
      <c r="H269" s="1049"/>
      <c r="I269" s="1049"/>
      <c r="J269" s="1049"/>
      <c r="K269" s="1049"/>
      <c r="L269" s="1049"/>
      <c r="M269" s="1049"/>
      <c r="N269" s="1049"/>
      <c r="O269" s="1049"/>
      <c r="P269" s="1049"/>
      <c r="Q269" s="1050"/>
    </row>
    <row r="270" spans="1:32" ht="5.45" customHeight="1">
      <c r="A270" s="814"/>
      <c r="B270" s="162"/>
      <c r="C270" s="818"/>
      <c r="D270" s="818"/>
      <c r="E270" s="818"/>
      <c r="F270" s="818"/>
      <c r="G270" s="818"/>
      <c r="H270" s="818"/>
      <c r="I270" s="818"/>
      <c r="J270" s="818"/>
      <c r="K270" s="818"/>
      <c r="L270" s="818"/>
      <c r="M270" s="818"/>
      <c r="Q270" s="814"/>
    </row>
    <row r="271" spans="1:32" ht="13.9" customHeight="1">
      <c r="A271" s="820">
        <v>18</v>
      </c>
      <c r="B271" s="820" t="s">
        <v>3501</v>
      </c>
      <c r="C271" s="182"/>
      <c r="D271" s="819"/>
      <c r="E271" s="818"/>
      <c r="F271" s="818"/>
      <c r="G271" s="818"/>
      <c r="H271" s="818"/>
      <c r="I271" s="818"/>
      <c r="J271" s="818"/>
      <c r="K271" s="818"/>
      <c r="L271" s="818"/>
      <c r="M271" s="818"/>
      <c r="O271" s="163" t="s">
        <v>2573</v>
      </c>
      <c r="P271" s="1053"/>
      <c r="Q271" s="1054"/>
    </row>
    <row r="272" spans="1:32" s="181" customFormat="1" ht="46.5" customHeight="1">
      <c r="B272" s="174" t="s">
        <v>2695</v>
      </c>
      <c r="C272" s="183" t="s">
        <v>2430</v>
      </c>
      <c r="D272" s="1051" t="s">
        <v>3676</v>
      </c>
      <c r="E272" s="1051"/>
      <c r="F272" s="1051"/>
      <c r="G272" s="1051"/>
      <c r="H272" s="1051"/>
      <c r="I272" s="1051"/>
      <c r="J272" s="1051"/>
      <c r="K272" s="1051"/>
      <c r="L272" s="1051"/>
      <c r="M272" s="1051"/>
      <c r="N272" s="1051"/>
      <c r="O272" s="199" t="s">
        <v>3679</v>
      </c>
      <c r="P272" s="1686" t="s">
        <v>4064</v>
      </c>
      <c r="Q272" s="210"/>
      <c r="AE272" s="658"/>
      <c r="AF272" s="658"/>
    </row>
    <row r="273" spans="1:256 1523:1523" s="115" customFormat="1" ht="12.75" customHeight="1">
      <c r="B273" s="54"/>
      <c r="C273" s="78" t="s">
        <v>2431</v>
      </c>
      <c r="D273" s="1052" t="s">
        <v>3634</v>
      </c>
      <c r="E273" s="1052"/>
      <c r="F273" s="1052"/>
      <c r="G273" s="1052"/>
      <c r="H273" s="1052"/>
      <c r="I273" s="1052"/>
      <c r="J273" s="1052"/>
      <c r="K273" s="1052"/>
      <c r="L273" s="1052"/>
      <c r="M273" s="1052"/>
      <c r="N273" s="1052"/>
      <c r="O273" s="78" t="s">
        <v>2431</v>
      </c>
      <c r="P273" s="1637" t="s">
        <v>4064</v>
      </c>
      <c r="Q273" s="210"/>
      <c r="AE273" s="660"/>
      <c r="AF273" s="660"/>
    </row>
    <row r="274" spans="1:256 1523:1523" s="115" customFormat="1" ht="22.5" customHeight="1">
      <c r="B274" s="174" t="s">
        <v>2698</v>
      </c>
      <c r="C274" s="183" t="s">
        <v>2430</v>
      </c>
      <c r="D274" s="1051" t="s">
        <v>3677</v>
      </c>
      <c r="E274" s="1051"/>
      <c r="F274" s="1051"/>
      <c r="G274" s="1051"/>
      <c r="H274" s="1051"/>
      <c r="I274" s="1051"/>
      <c r="J274" s="1051"/>
      <c r="K274" s="1051"/>
      <c r="L274" s="1051"/>
      <c r="M274" s="1051"/>
      <c r="N274" s="1051"/>
      <c r="O274" s="654" t="s">
        <v>3680</v>
      </c>
      <c r="P274" s="1637" t="s">
        <v>4064</v>
      </c>
      <c r="Q274" s="210"/>
      <c r="AE274" s="660"/>
      <c r="AF274" s="660"/>
    </row>
    <row r="275" spans="1:256 1523:1523" s="115" customFormat="1" ht="12" customHeight="1">
      <c r="B275" s="174"/>
      <c r="C275" s="183" t="s">
        <v>2431</v>
      </c>
      <c r="D275" s="1051" t="s">
        <v>3678</v>
      </c>
      <c r="E275" s="1051"/>
      <c r="F275" s="1051"/>
      <c r="G275" s="1051"/>
      <c r="H275" s="1051"/>
      <c r="I275" s="1051"/>
      <c r="J275" s="1051"/>
      <c r="K275" s="1051"/>
      <c r="L275" s="1051"/>
      <c r="M275" s="1051"/>
      <c r="N275" s="1051"/>
      <c r="O275" s="78" t="s">
        <v>2431</v>
      </c>
      <c r="P275" s="1719" t="s">
        <v>4064</v>
      </c>
      <c r="Q275" s="679"/>
      <c r="AE275" s="660"/>
      <c r="AF275" s="660"/>
    </row>
    <row r="276" spans="1:256 1523:1523" s="550" customFormat="1" ht="35.25" customHeight="1">
      <c r="B276" s="174" t="s">
        <v>1054</v>
      </c>
      <c r="C276" s="183"/>
      <c r="D276" s="1051" t="s">
        <v>3681</v>
      </c>
      <c r="E276" s="1051"/>
      <c r="F276" s="1051"/>
      <c r="G276" s="1051"/>
      <c r="H276" s="1051"/>
      <c r="I276" s="1051"/>
      <c r="J276" s="1051"/>
      <c r="K276" s="1051"/>
      <c r="L276" s="1051"/>
      <c r="M276" s="1051"/>
      <c r="N276" s="1051"/>
      <c r="O276" s="199" t="s">
        <v>1054</v>
      </c>
      <c r="P276" s="1686" t="s">
        <v>4064</v>
      </c>
      <c r="Q276" s="323"/>
      <c r="AE276" s="659"/>
      <c r="AF276" s="659"/>
    </row>
    <row r="277" spans="1:256 1523:1523" ht="11.25" customHeight="1">
      <c r="B277" s="173" t="s">
        <v>2571</v>
      </c>
      <c r="D277" s="173"/>
      <c r="E277" s="173"/>
      <c r="F277" s="173"/>
      <c r="G277" s="173"/>
      <c r="H277" s="823"/>
      <c r="I277" s="162"/>
      <c r="J277" s="162"/>
      <c r="K277" s="162"/>
      <c r="L277" s="814"/>
      <c r="M277" s="814"/>
      <c r="N277" s="814"/>
      <c r="O277" s="814"/>
      <c r="P277" s="814"/>
      <c r="Q277" s="59"/>
    </row>
    <row r="278" spans="1:256 1523:1523" ht="11.45" customHeight="1">
      <c r="A278" s="1641"/>
      <c r="B278" s="1642"/>
      <c r="C278" s="1642"/>
      <c r="D278" s="1642"/>
      <c r="E278" s="1642"/>
      <c r="F278" s="1642"/>
      <c r="G278" s="1642"/>
      <c r="H278" s="1642"/>
      <c r="I278" s="1642"/>
      <c r="J278" s="1642"/>
      <c r="K278" s="1642"/>
      <c r="L278" s="1642"/>
      <c r="M278" s="1642"/>
      <c r="N278" s="1642"/>
      <c r="O278" s="1642"/>
      <c r="P278" s="1642"/>
      <c r="Q278" s="1643"/>
      <c r="R278" s="614" t="s">
        <v>1677</v>
      </c>
      <c r="S278" s="615"/>
      <c r="U278" s="168"/>
      <c r="V278" s="168"/>
      <c r="W278" s="168"/>
      <c r="X278" s="168"/>
      <c r="Y278" s="168"/>
      <c r="Z278" s="168"/>
      <c r="AA278" s="168"/>
      <c r="AB278" s="168"/>
      <c r="AC278" s="168"/>
      <c r="AD278" s="168"/>
      <c r="AE278" s="656"/>
    </row>
    <row r="279" spans="1:256 1523:1523" ht="11.25" customHeight="1">
      <c r="B279" s="169" t="s">
        <v>2572</v>
      </c>
      <c r="C279" s="170"/>
      <c r="D279" s="818"/>
      <c r="E279" s="818"/>
      <c r="F279" s="818"/>
      <c r="G279" s="818"/>
      <c r="H279" s="818"/>
      <c r="I279" s="818"/>
      <c r="J279" s="818"/>
      <c r="K279" s="818"/>
      <c r="L279" s="818"/>
      <c r="M279" s="818"/>
      <c r="N279" s="818"/>
      <c r="O279" s="818"/>
      <c r="P279" s="818"/>
      <c r="Q279" s="818"/>
    </row>
    <row r="280" spans="1:256 1523:1523" ht="11.45" customHeight="1">
      <c r="A280" s="1111"/>
      <c r="B280" s="1112"/>
      <c r="C280" s="1112"/>
      <c r="D280" s="1112"/>
      <c r="E280" s="1112"/>
      <c r="F280" s="1112"/>
      <c r="G280" s="1112"/>
      <c r="H280" s="1112"/>
      <c r="I280" s="1112"/>
      <c r="J280" s="1112"/>
      <c r="K280" s="1112"/>
      <c r="L280" s="1112"/>
      <c r="M280" s="1112"/>
      <c r="N280" s="1112"/>
      <c r="O280" s="1112"/>
      <c r="P280" s="1112"/>
      <c r="Q280" s="1113"/>
    </row>
    <row r="281" spans="1:256 1523:1523" ht="13.9" customHeight="1">
      <c r="A281" s="820">
        <v>19</v>
      </c>
      <c r="B281" s="11" t="s">
        <v>3502</v>
      </c>
      <c r="C281" s="11"/>
      <c r="D281" s="11"/>
      <c r="E281" s="11"/>
      <c r="F281" s="11"/>
      <c r="G281" s="11"/>
      <c r="H281" s="818"/>
      <c r="I281" s="818"/>
      <c r="J281" s="818"/>
      <c r="K281" s="818"/>
      <c r="L281" s="818"/>
      <c r="M281" s="818"/>
      <c r="O281" s="163" t="s">
        <v>2573</v>
      </c>
      <c r="P281" s="1109"/>
      <c r="Q281" s="1110"/>
    </row>
    <row r="282" spans="1:256 1523:1523" ht="11.45" customHeight="1">
      <c r="B282" s="177" t="s">
        <v>2980</v>
      </c>
      <c r="P282" s="1637" t="s">
        <v>4065</v>
      </c>
      <c r="Q282" s="210"/>
    </row>
    <row r="283" spans="1:256 1523:1523" ht="12" customHeight="1">
      <c r="B283" s="179" t="s">
        <v>2933</v>
      </c>
      <c r="C283" s="179"/>
      <c r="D283" s="179"/>
      <c r="E283" s="179"/>
      <c r="F283" s="179"/>
      <c r="G283" s="179"/>
      <c r="H283" s="179"/>
      <c r="I283" s="179"/>
      <c r="J283" s="179"/>
      <c r="K283" s="179"/>
      <c r="L283" s="179"/>
      <c r="P283" s="1637" t="s">
        <v>4064</v>
      </c>
      <c r="Q283" s="210"/>
    </row>
    <row r="284" spans="1:256 1523:1523" ht="11.45" customHeight="1">
      <c r="B284" s="174" t="s">
        <v>2695</v>
      </c>
      <c r="C284" s="234" t="s">
        <v>586</v>
      </c>
      <c r="D284" s="38"/>
      <c r="E284" s="38"/>
      <c r="F284" s="38"/>
      <c r="G284" s="38"/>
      <c r="H284" s="38"/>
      <c r="I284" s="38"/>
      <c r="J284" s="38"/>
      <c r="K284" s="38"/>
      <c r="L284" s="38"/>
      <c r="M284" s="38"/>
      <c r="N284" s="199"/>
    </row>
    <row r="285" spans="1:256 1523:1523" ht="22.5" customHeight="1">
      <c r="A285" s="176"/>
      <c r="C285" s="1051" t="s">
        <v>3583</v>
      </c>
      <c r="D285" s="1051"/>
      <c r="E285" s="1051"/>
      <c r="F285" s="1051"/>
      <c r="G285" s="1051"/>
      <c r="H285" s="1051"/>
      <c r="I285" s="1051"/>
      <c r="J285" s="1051"/>
      <c r="K285" s="1051"/>
      <c r="L285" s="1051"/>
      <c r="M285" s="1051"/>
      <c r="N285" s="1051"/>
      <c r="O285" s="199" t="s">
        <v>2695</v>
      </c>
      <c r="P285" s="1686"/>
      <c r="Q285" s="323"/>
    </row>
    <row r="286" spans="1:256 1523:1523" ht="3" customHeight="1">
      <c r="A286" s="814"/>
      <c r="B286" s="814"/>
      <c r="C286" s="814"/>
      <c r="D286" s="814"/>
      <c r="E286" s="814"/>
      <c r="F286" s="814"/>
      <c r="G286" s="814"/>
      <c r="H286" s="814"/>
      <c r="I286" s="814"/>
      <c r="J286" s="814"/>
      <c r="K286" s="814"/>
      <c r="L286" s="814"/>
      <c r="M286" s="814"/>
      <c r="N286" s="814"/>
      <c r="O286" s="814"/>
      <c r="P286" s="814"/>
      <c r="Q286" s="814"/>
      <c r="R286" s="814"/>
      <c r="S286" s="814"/>
      <c r="T286" s="814"/>
      <c r="U286" s="814"/>
      <c r="V286" s="814"/>
      <c r="W286" s="814"/>
      <c r="X286" s="814"/>
      <c r="Y286" s="814"/>
      <c r="Z286" s="814"/>
      <c r="AA286" s="814"/>
      <c r="AB286" s="814"/>
      <c r="AC286" s="814"/>
      <c r="AD286" s="814"/>
      <c r="AE286" s="59"/>
      <c r="AF286" s="59"/>
      <c r="AG286" s="814"/>
      <c r="AH286" s="814"/>
      <c r="AI286" s="814"/>
      <c r="AJ286" s="814"/>
      <c r="AK286" s="814"/>
      <c r="AL286" s="814"/>
      <c r="AM286" s="814"/>
      <c r="AN286" s="814"/>
      <c r="AO286" s="814"/>
      <c r="AP286" s="814"/>
      <c r="AQ286" s="814"/>
      <c r="AR286" s="814"/>
      <c r="AS286" s="814"/>
      <c r="AT286" s="814"/>
      <c r="AU286" s="814"/>
      <c r="AV286" s="814"/>
      <c r="AW286" s="814"/>
      <c r="AX286" s="814"/>
      <c r="AY286" s="814"/>
      <c r="AZ286" s="814"/>
      <c r="BA286" s="814"/>
      <c r="BB286" s="814"/>
      <c r="BC286" s="814"/>
      <c r="BD286" s="814"/>
      <c r="BE286" s="814"/>
      <c r="BF286" s="814"/>
      <c r="BG286" s="814"/>
      <c r="BH286" s="814"/>
      <c r="BI286" s="814"/>
      <c r="BJ286" s="814"/>
      <c r="BK286" s="814"/>
      <c r="BL286" s="814"/>
      <c r="BM286" s="814"/>
      <c r="BN286" s="814"/>
      <c r="BO286" s="814"/>
      <c r="BP286" s="814"/>
      <c r="BQ286" s="814"/>
      <c r="BR286" s="814"/>
      <c r="BS286" s="814"/>
      <c r="BT286" s="814"/>
      <c r="BU286" s="814"/>
      <c r="BV286" s="814"/>
      <c r="BW286" s="814"/>
      <c r="BX286" s="814"/>
      <c r="BY286" s="814"/>
      <c r="BZ286" s="814"/>
      <c r="CA286" s="814"/>
      <c r="CB286" s="814"/>
      <c r="CC286" s="814"/>
      <c r="CD286" s="814"/>
      <c r="CE286" s="814"/>
      <c r="CF286" s="814"/>
      <c r="CG286" s="814"/>
      <c r="CH286" s="814"/>
      <c r="CI286" s="814"/>
      <c r="CJ286" s="814"/>
      <c r="CK286" s="814"/>
      <c r="CL286" s="814"/>
      <c r="CM286" s="814"/>
      <c r="CN286" s="814"/>
      <c r="CO286" s="814"/>
      <c r="CP286" s="814"/>
      <c r="CQ286" s="814"/>
      <c r="CR286" s="814"/>
      <c r="CS286" s="814"/>
      <c r="CT286" s="814"/>
      <c r="CU286" s="814"/>
      <c r="CV286" s="814"/>
      <c r="CW286" s="814"/>
      <c r="CX286" s="814"/>
      <c r="CY286" s="814"/>
      <c r="CZ286" s="814"/>
      <c r="DA286" s="814"/>
      <c r="DB286" s="814"/>
      <c r="DC286" s="814"/>
      <c r="DD286" s="814"/>
      <c r="DE286" s="814"/>
      <c r="DF286" s="814"/>
      <c r="DG286" s="814"/>
      <c r="DH286" s="814"/>
      <c r="DI286" s="814"/>
      <c r="DJ286" s="814"/>
      <c r="DK286" s="814"/>
      <c r="DL286" s="814"/>
      <c r="DM286" s="814"/>
      <c r="DN286" s="814"/>
      <c r="DO286" s="814"/>
      <c r="DP286" s="814"/>
      <c r="DQ286" s="814"/>
      <c r="DR286" s="814"/>
      <c r="DS286" s="814"/>
      <c r="DT286" s="814"/>
      <c r="DU286" s="814"/>
      <c r="DV286" s="814"/>
      <c r="DW286" s="814"/>
      <c r="DX286" s="814"/>
      <c r="DY286" s="814"/>
      <c r="DZ286" s="814"/>
      <c r="EA286" s="814"/>
      <c r="EB286" s="814"/>
      <c r="EC286" s="814"/>
      <c r="ED286" s="814"/>
      <c r="EE286" s="814"/>
      <c r="EF286" s="814"/>
      <c r="EG286" s="814"/>
      <c r="EH286" s="814"/>
      <c r="EI286" s="814"/>
      <c r="EJ286" s="814"/>
      <c r="EK286" s="814"/>
      <c r="EL286" s="814"/>
      <c r="EM286" s="814"/>
      <c r="EN286" s="814"/>
      <c r="EO286" s="814"/>
      <c r="EP286" s="814"/>
      <c r="EQ286" s="814"/>
      <c r="ER286" s="814"/>
      <c r="ES286" s="814"/>
      <c r="ET286" s="814"/>
      <c r="EU286" s="814"/>
      <c r="EV286" s="814"/>
      <c r="EW286" s="814"/>
      <c r="EX286" s="814"/>
      <c r="EY286" s="814"/>
      <c r="EZ286" s="814"/>
      <c r="FA286" s="814"/>
      <c r="FB286" s="814"/>
      <c r="FC286" s="814"/>
      <c r="FD286" s="814"/>
      <c r="FE286" s="814"/>
      <c r="FF286" s="814"/>
      <c r="FG286" s="814"/>
      <c r="FH286" s="814"/>
      <c r="FI286" s="814"/>
      <c r="FJ286" s="814"/>
      <c r="FK286" s="814"/>
      <c r="FL286" s="814"/>
      <c r="FM286" s="814"/>
      <c r="FN286" s="814"/>
      <c r="FO286" s="814"/>
      <c r="FP286" s="814"/>
      <c r="FQ286" s="814"/>
      <c r="FR286" s="814"/>
      <c r="FS286" s="814"/>
      <c r="FT286" s="814"/>
      <c r="FU286" s="814"/>
      <c r="FV286" s="814"/>
      <c r="FW286" s="814"/>
      <c r="FX286" s="814"/>
      <c r="FY286" s="814"/>
      <c r="FZ286" s="814"/>
      <c r="GA286" s="814"/>
      <c r="GB286" s="814"/>
      <c r="GC286" s="814"/>
      <c r="GD286" s="814"/>
      <c r="GE286" s="814"/>
      <c r="GF286" s="814"/>
      <c r="GG286" s="814"/>
      <c r="GH286" s="814"/>
      <c r="GI286" s="814"/>
      <c r="GJ286" s="814"/>
      <c r="GK286" s="814"/>
      <c r="GL286" s="814"/>
      <c r="GM286" s="814"/>
      <c r="GN286" s="814"/>
      <c r="GO286" s="814"/>
      <c r="GP286" s="814"/>
      <c r="GQ286" s="814"/>
      <c r="GR286" s="814"/>
      <c r="GS286" s="814"/>
      <c r="GT286" s="814"/>
      <c r="GU286" s="814"/>
      <c r="GV286" s="814"/>
      <c r="GW286" s="814"/>
      <c r="GX286" s="814"/>
      <c r="GY286" s="814"/>
      <c r="GZ286" s="814"/>
      <c r="HA286" s="814"/>
      <c r="HB286" s="814"/>
      <c r="HC286" s="814"/>
      <c r="HD286" s="814"/>
      <c r="HE286" s="814"/>
      <c r="HF286" s="814"/>
      <c r="HG286" s="814"/>
      <c r="HH286" s="814"/>
      <c r="HI286" s="814"/>
      <c r="HJ286" s="814"/>
      <c r="HK286" s="814"/>
      <c r="HL286" s="814"/>
      <c r="HM286" s="814"/>
      <c r="HN286" s="814"/>
      <c r="HO286" s="814"/>
      <c r="HP286" s="814"/>
      <c r="HQ286" s="814"/>
      <c r="HR286" s="814"/>
      <c r="HS286" s="814"/>
      <c r="HT286" s="814"/>
      <c r="HU286" s="814"/>
      <c r="HV286" s="814"/>
      <c r="HW286" s="814"/>
      <c r="HX286" s="814"/>
      <c r="HY286" s="814"/>
      <c r="HZ286" s="814"/>
      <c r="IA286" s="814"/>
      <c r="IB286" s="814"/>
      <c r="IC286" s="814"/>
      <c r="ID286" s="814"/>
      <c r="IE286" s="814"/>
      <c r="IF286" s="814"/>
      <c r="IG286" s="814"/>
      <c r="IH286" s="814"/>
      <c r="II286" s="814"/>
      <c r="IJ286" s="814"/>
      <c r="IK286" s="814"/>
      <c r="IL286" s="814"/>
      <c r="IM286" s="814"/>
      <c r="IN286" s="814"/>
      <c r="IO286" s="814"/>
      <c r="IP286" s="814"/>
      <c r="IQ286" s="814"/>
      <c r="IR286" s="814"/>
      <c r="IS286" s="814"/>
      <c r="IT286" s="814"/>
      <c r="IU286" s="814"/>
      <c r="IV286" s="814"/>
    </row>
    <row r="287" spans="1:256 1523:1523" ht="12.6" customHeight="1">
      <c r="B287" s="174" t="s">
        <v>2698</v>
      </c>
      <c r="C287" s="1118" t="s">
        <v>587</v>
      </c>
      <c r="D287" s="1118"/>
      <c r="E287" s="1118"/>
      <c r="F287" s="1118"/>
      <c r="G287" s="1118"/>
      <c r="H287" s="1118"/>
      <c r="I287" s="1118"/>
      <c r="J287" s="1118"/>
      <c r="K287" s="1118"/>
      <c r="L287" s="1118"/>
      <c r="M287" s="1118"/>
      <c r="O287" s="199" t="s">
        <v>2698</v>
      </c>
      <c r="P287" s="814"/>
      <c r="Q287" s="59"/>
    </row>
    <row r="288" spans="1:256 1523:1523" ht="23.25" customHeight="1">
      <c r="A288" s="176"/>
      <c r="C288" s="269" t="s">
        <v>2430</v>
      </c>
      <c r="D288" s="270" t="s">
        <v>1541</v>
      </c>
      <c r="E288" s="164"/>
      <c r="F288" s="164"/>
      <c r="G288" s="1720" t="s">
        <v>1888</v>
      </c>
      <c r="H288" s="1721"/>
      <c r="I288" s="1721"/>
      <c r="J288" s="1721"/>
      <c r="K288" s="1721"/>
      <c r="L288" s="1721"/>
      <c r="M288" s="1721"/>
      <c r="N288" s="1722"/>
      <c r="O288" s="273" t="s">
        <v>2430</v>
      </c>
      <c r="P288" s="1686" t="s">
        <v>4064</v>
      </c>
      <c r="Q288" s="323"/>
      <c r="BFO288" s="181" t="s">
        <v>3682</v>
      </c>
    </row>
    <row r="289" spans="1:256" ht="23.25" customHeight="1">
      <c r="A289" s="176"/>
      <c r="C289" s="269" t="s">
        <v>2431</v>
      </c>
      <c r="D289" s="1055" t="s">
        <v>1542</v>
      </c>
      <c r="E289" s="1102"/>
      <c r="F289" s="1103"/>
      <c r="G289" s="1713" t="s">
        <v>3484</v>
      </c>
      <c r="H289" s="1723"/>
      <c r="I289" s="1723"/>
      <c r="J289" s="1723"/>
      <c r="K289" s="1723"/>
      <c r="L289" s="1723"/>
      <c r="M289" s="1723"/>
      <c r="N289" s="1724"/>
      <c r="O289" s="273" t="s">
        <v>2431</v>
      </c>
      <c r="P289" s="1686" t="s">
        <v>4064</v>
      </c>
      <c r="Q289" s="323"/>
    </row>
    <row r="290" spans="1:256" ht="3" customHeight="1">
      <c r="A290" s="814"/>
      <c r="B290" s="814"/>
      <c r="C290" s="814"/>
      <c r="D290" s="814"/>
      <c r="E290" s="814"/>
      <c r="F290" s="814"/>
      <c r="G290" s="814"/>
      <c r="H290" s="814"/>
      <c r="I290" s="814"/>
      <c r="J290" s="814"/>
      <c r="K290" s="814"/>
      <c r="L290" s="814"/>
      <c r="M290" s="814"/>
      <c r="N290" s="814"/>
      <c r="O290" s="814"/>
      <c r="P290" s="814"/>
      <c r="Q290" s="814"/>
      <c r="R290" s="814"/>
      <c r="S290" s="814"/>
      <c r="T290" s="814"/>
      <c r="U290" s="814"/>
      <c r="V290" s="814"/>
      <c r="W290" s="814"/>
      <c r="X290" s="814"/>
      <c r="Y290" s="814"/>
      <c r="Z290" s="814"/>
      <c r="AA290" s="814"/>
      <c r="AB290" s="814"/>
      <c r="AC290" s="814"/>
      <c r="AD290" s="814"/>
      <c r="AE290" s="59"/>
      <c r="AF290" s="59"/>
      <c r="AG290" s="814"/>
      <c r="AH290" s="814"/>
      <c r="AI290" s="814"/>
      <c r="AJ290" s="814"/>
      <c r="AK290" s="814"/>
      <c r="AL290" s="814"/>
      <c r="AM290" s="814"/>
      <c r="AN290" s="814"/>
      <c r="AO290" s="814"/>
      <c r="AP290" s="814"/>
      <c r="AQ290" s="814"/>
      <c r="AR290" s="814"/>
      <c r="AS290" s="814"/>
      <c r="AT290" s="814"/>
      <c r="AU290" s="814"/>
      <c r="AV290" s="814"/>
      <c r="AW290" s="814"/>
      <c r="AX290" s="814"/>
      <c r="AY290" s="814"/>
      <c r="AZ290" s="814"/>
      <c r="BA290" s="814"/>
      <c r="BB290" s="814"/>
      <c r="BC290" s="814"/>
      <c r="BD290" s="814"/>
      <c r="BE290" s="814"/>
      <c r="BF290" s="814"/>
      <c r="BG290" s="814"/>
      <c r="BH290" s="814"/>
      <c r="BI290" s="814"/>
      <c r="BJ290" s="814"/>
      <c r="BK290" s="814"/>
      <c r="BL290" s="814"/>
      <c r="BM290" s="814"/>
      <c r="BN290" s="814"/>
      <c r="BO290" s="814"/>
      <c r="BP290" s="814"/>
      <c r="BQ290" s="814"/>
      <c r="BR290" s="814"/>
      <c r="BS290" s="814"/>
      <c r="BT290" s="814"/>
      <c r="BU290" s="814"/>
      <c r="BV290" s="814"/>
      <c r="BW290" s="814"/>
      <c r="BX290" s="814"/>
      <c r="BY290" s="814"/>
      <c r="BZ290" s="814"/>
      <c r="CA290" s="814"/>
      <c r="CB290" s="814"/>
      <c r="CC290" s="814"/>
      <c r="CD290" s="814"/>
      <c r="CE290" s="814"/>
      <c r="CF290" s="814"/>
      <c r="CG290" s="814"/>
      <c r="CH290" s="814"/>
      <c r="CI290" s="814"/>
      <c r="CJ290" s="814"/>
      <c r="CK290" s="814"/>
      <c r="CL290" s="814"/>
      <c r="CM290" s="814"/>
      <c r="CN290" s="814"/>
      <c r="CO290" s="814"/>
      <c r="CP290" s="814"/>
      <c r="CQ290" s="814"/>
      <c r="CR290" s="814"/>
      <c r="CS290" s="814"/>
      <c r="CT290" s="814"/>
      <c r="CU290" s="814"/>
      <c r="CV290" s="814"/>
      <c r="CW290" s="814"/>
      <c r="CX290" s="814"/>
      <c r="CY290" s="814"/>
      <c r="CZ290" s="814"/>
      <c r="DA290" s="814"/>
      <c r="DB290" s="814"/>
      <c r="DC290" s="814"/>
      <c r="DD290" s="814"/>
      <c r="DE290" s="814"/>
      <c r="DF290" s="814"/>
      <c r="DG290" s="814"/>
      <c r="DH290" s="814"/>
      <c r="DI290" s="814"/>
      <c r="DJ290" s="814"/>
      <c r="DK290" s="814"/>
      <c r="DL290" s="814"/>
      <c r="DM290" s="814"/>
      <c r="DN290" s="814"/>
      <c r="DO290" s="814"/>
      <c r="DP290" s="814"/>
      <c r="DQ290" s="814"/>
      <c r="DR290" s="814"/>
      <c r="DS290" s="814"/>
      <c r="DT290" s="814"/>
      <c r="DU290" s="814"/>
      <c r="DV290" s="814"/>
      <c r="DW290" s="814"/>
      <c r="DX290" s="814"/>
      <c r="DY290" s="814"/>
      <c r="DZ290" s="814"/>
      <c r="EA290" s="814"/>
      <c r="EB290" s="814"/>
      <c r="EC290" s="814"/>
      <c r="ED290" s="814"/>
      <c r="EE290" s="814"/>
      <c r="EF290" s="814"/>
      <c r="EG290" s="814"/>
      <c r="EH290" s="814"/>
      <c r="EI290" s="814"/>
      <c r="EJ290" s="814"/>
      <c r="EK290" s="814"/>
      <c r="EL290" s="814"/>
      <c r="EM290" s="814"/>
      <c r="EN290" s="814"/>
      <c r="EO290" s="814"/>
      <c r="EP290" s="814"/>
      <c r="EQ290" s="814"/>
      <c r="ER290" s="814"/>
      <c r="ES290" s="814"/>
      <c r="ET290" s="814"/>
      <c r="EU290" s="814"/>
      <c r="EV290" s="814"/>
      <c r="EW290" s="814"/>
      <c r="EX290" s="814"/>
      <c r="EY290" s="814"/>
      <c r="EZ290" s="814"/>
      <c r="FA290" s="814"/>
      <c r="FB290" s="814"/>
      <c r="FC290" s="814"/>
      <c r="FD290" s="814"/>
      <c r="FE290" s="814"/>
      <c r="FF290" s="814"/>
      <c r="FG290" s="814"/>
      <c r="FH290" s="814"/>
      <c r="FI290" s="814"/>
      <c r="FJ290" s="814"/>
      <c r="FK290" s="814"/>
      <c r="FL290" s="814"/>
      <c r="FM290" s="814"/>
      <c r="FN290" s="814"/>
      <c r="FO290" s="814"/>
      <c r="FP290" s="814"/>
      <c r="FQ290" s="814"/>
      <c r="FR290" s="814"/>
      <c r="FS290" s="814"/>
      <c r="FT290" s="814"/>
      <c r="FU290" s="814"/>
      <c r="FV290" s="814"/>
      <c r="FW290" s="814"/>
      <c r="FX290" s="814"/>
      <c r="FY290" s="814"/>
      <c r="FZ290" s="814"/>
      <c r="GA290" s="814"/>
      <c r="GB290" s="814"/>
      <c r="GC290" s="814"/>
      <c r="GD290" s="814"/>
      <c r="GE290" s="814"/>
      <c r="GF290" s="814"/>
      <c r="GG290" s="814"/>
      <c r="GH290" s="814"/>
      <c r="GI290" s="814"/>
      <c r="GJ290" s="814"/>
      <c r="GK290" s="814"/>
      <c r="GL290" s="814"/>
      <c r="GM290" s="814"/>
      <c r="GN290" s="814"/>
      <c r="GO290" s="814"/>
      <c r="GP290" s="814"/>
      <c r="GQ290" s="814"/>
      <c r="GR290" s="814"/>
      <c r="GS290" s="814"/>
      <c r="GT290" s="814"/>
      <c r="GU290" s="814"/>
      <c r="GV290" s="814"/>
      <c r="GW290" s="814"/>
      <c r="GX290" s="814"/>
      <c r="GY290" s="814"/>
      <c r="GZ290" s="814"/>
      <c r="HA290" s="814"/>
      <c r="HB290" s="814"/>
      <c r="HC290" s="814"/>
      <c r="HD290" s="814"/>
      <c r="HE290" s="814"/>
      <c r="HF290" s="814"/>
      <c r="HG290" s="814"/>
      <c r="HH290" s="814"/>
      <c r="HI290" s="814"/>
      <c r="HJ290" s="814"/>
      <c r="HK290" s="814"/>
      <c r="HL290" s="814"/>
      <c r="HM290" s="814"/>
      <c r="HN290" s="814"/>
      <c r="HO290" s="814"/>
      <c r="HP290" s="814"/>
      <c r="HQ290" s="814"/>
      <c r="HR290" s="814"/>
      <c r="HS290" s="814"/>
      <c r="HT290" s="814"/>
      <c r="HU290" s="814"/>
      <c r="HV290" s="814"/>
      <c r="HW290" s="814"/>
      <c r="HX290" s="814"/>
      <c r="HY290" s="814"/>
      <c r="HZ290" s="814"/>
      <c r="IA290" s="814"/>
      <c r="IB290" s="814"/>
      <c r="IC290" s="814"/>
      <c r="ID290" s="814"/>
      <c r="IE290" s="814"/>
      <c r="IF290" s="814"/>
      <c r="IG290" s="814"/>
      <c r="IH290" s="814"/>
      <c r="II290" s="814"/>
      <c r="IJ290" s="814"/>
      <c r="IK290" s="814"/>
      <c r="IL290" s="814"/>
      <c r="IM290" s="814"/>
      <c r="IN290" s="814"/>
      <c r="IO290" s="814"/>
      <c r="IP290" s="814"/>
      <c r="IQ290" s="814"/>
      <c r="IR290" s="814"/>
      <c r="IS290" s="814"/>
      <c r="IT290" s="814"/>
      <c r="IU290" s="814"/>
      <c r="IV290" s="814"/>
    </row>
    <row r="291" spans="1:256" s="164" customFormat="1" ht="23.25" customHeight="1">
      <c r="B291" s="174" t="s">
        <v>1054</v>
      </c>
      <c r="C291" s="1114" t="s">
        <v>3522</v>
      </c>
      <c r="D291" s="1114"/>
      <c r="E291" s="1114"/>
      <c r="F291" s="1114"/>
      <c r="G291" s="1114"/>
      <c r="H291" s="1114"/>
      <c r="I291" s="1114"/>
      <c r="J291" s="1114"/>
      <c r="K291" s="1114"/>
      <c r="L291" s="1114"/>
      <c r="M291" s="1114"/>
      <c r="N291" s="1114"/>
      <c r="O291" s="608" t="s">
        <v>1054</v>
      </c>
      <c r="P291" s="814"/>
      <c r="Q291" s="59"/>
      <c r="AE291" s="657"/>
      <c r="AF291" s="657"/>
    </row>
    <row r="292" spans="1:256" s="164" customFormat="1" ht="11.25" customHeight="1">
      <c r="A292" s="176"/>
      <c r="C292" s="269" t="s">
        <v>2430</v>
      </c>
      <c r="D292" s="1710"/>
      <c r="E292" s="1711"/>
      <c r="F292" s="1711"/>
      <c r="G292" s="1711"/>
      <c r="H292" s="1711"/>
      <c r="I292" s="1711"/>
      <c r="J292" s="1711"/>
      <c r="K292" s="1711"/>
      <c r="L292" s="1711"/>
      <c r="M292" s="1711"/>
      <c r="N292" s="1712"/>
      <c r="O292" s="273" t="s">
        <v>2430</v>
      </c>
      <c r="P292" s="1686"/>
      <c r="Q292" s="323"/>
      <c r="AE292" s="657"/>
      <c r="AF292" s="657"/>
    </row>
    <row r="293" spans="1:256" s="164" customFormat="1" ht="11.25" customHeight="1">
      <c r="A293" s="176"/>
      <c r="C293" s="269" t="s">
        <v>2431</v>
      </c>
      <c r="D293" s="1713"/>
      <c r="E293" s="1714"/>
      <c r="F293" s="1714"/>
      <c r="G293" s="1714"/>
      <c r="H293" s="1714"/>
      <c r="I293" s="1714"/>
      <c r="J293" s="1714"/>
      <c r="K293" s="1714"/>
      <c r="L293" s="1714"/>
      <c r="M293" s="1714"/>
      <c r="N293" s="1715"/>
      <c r="O293" s="273" t="s">
        <v>2431</v>
      </c>
      <c r="P293" s="1686"/>
      <c r="Q293" s="323"/>
      <c r="AE293" s="657"/>
      <c r="AF293" s="657"/>
    </row>
    <row r="294" spans="1:256" ht="3" customHeight="1">
      <c r="A294" s="814"/>
      <c r="B294" s="814"/>
      <c r="C294" s="814"/>
      <c r="D294" s="814"/>
      <c r="E294" s="814"/>
      <c r="F294" s="814"/>
      <c r="G294" s="814"/>
      <c r="H294" s="814"/>
      <c r="I294" s="814"/>
      <c r="J294" s="814"/>
      <c r="K294" s="814"/>
      <c r="L294" s="814"/>
      <c r="M294" s="814"/>
      <c r="N294" s="814"/>
      <c r="O294" s="814"/>
      <c r="P294" s="814"/>
      <c r="Q294" s="814"/>
      <c r="R294" s="814"/>
      <c r="S294" s="814"/>
      <c r="T294" s="814"/>
      <c r="U294" s="814"/>
      <c r="V294" s="814"/>
      <c r="W294" s="814"/>
      <c r="X294" s="814"/>
      <c r="Y294" s="814"/>
      <c r="Z294" s="814"/>
      <c r="AA294" s="814"/>
      <c r="AB294" s="814"/>
      <c r="AC294" s="814"/>
      <c r="AD294" s="814"/>
      <c r="AE294" s="59"/>
      <c r="AF294" s="59"/>
      <c r="AG294" s="814"/>
      <c r="AH294" s="814"/>
      <c r="AI294" s="814"/>
      <c r="AJ294" s="814"/>
      <c r="AK294" s="814"/>
      <c r="AL294" s="814"/>
      <c r="AM294" s="814"/>
      <c r="AN294" s="814"/>
      <c r="AO294" s="814"/>
      <c r="AP294" s="814"/>
      <c r="AQ294" s="814"/>
      <c r="AR294" s="814"/>
      <c r="AS294" s="814"/>
      <c r="AT294" s="814"/>
      <c r="AU294" s="814"/>
      <c r="AV294" s="814"/>
      <c r="AW294" s="814"/>
      <c r="AX294" s="814"/>
      <c r="AY294" s="814"/>
      <c r="AZ294" s="814"/>
      <c r="BA294" s="814"/>
      <c r="BB294" s="814"/>
      <c r="BC294" s="814"/>
      <c r="BD294" s="814"/>
      <c r="BE294" s="814"/>
      <c r="BF294" s="814"/>
      <c r="BG294" s="814"/>
      <c r="BH294" s="814"/>
      <c r="BI294" s="814"/>
      <c r="BJ294" s="814"/>
      <c r="BK294" s="814"/>
      <c r="BL294" s="814"/>
      <c r="BM294" s="814"/>
      <c r="BN294" s="814"/>
      <c r="BO294" s="814"/>
      <c r="BP294" s="814"/>
      <c r="BQ294" s="814"/>
      <c r="BR294" s="814"/>
      <c r="BS294" s="814"/>
      <c r="BT294" s="814"/>
      <c r="BU294" s="814"/>
      <c r="BV294" s="814"/>
      <c r="BW294" s="814"/>
      <c r="BX294" s="814"/>
      <c r="BY294" s="814"/>
      <c r="BZ294" s="814"/>
      <c r="CA294" s="814"/>
      <c r="CB294" s="814"/>
      <c r="CC294" s="814"/>
      <c r="CD294" s="814"/>
      <c r="CE294" s="814"/>
      <c r="CF294" s="814"/>
      <c r="CG294" s="814"/>
      <c r="CH294" s="814"/>
      <c r="CI294" s="814"/>
      <c r="CJ294" s="814"/>
      <c r="CK294" s="814"/>
      <c r="CL294" s="814"/>
      <c r="CM294" s="814"/>
      <c r="CN294" s="814"/>
      <c r="CO294" s="814"/>
      <c r="CP294" s="814"/>
      <c r="CQ294" s="814"/>
      <c r="CR294" s="814"/>
      <c r="CS294" s="814"/>
      <c r="CT294" s="814"/>
      <c r="CU294" s="814"/>
      <c r="CV294" s="814"/>
      <c r="CW294" s="814"/>
      <c r="CX294" s="814"/>
      <c r="CY294" s="814"/>
      <c r="CZ294" s="814"/>
      <c r="DA294" s="814"/>
      <c r="DB294" s="814"/>
      <c r="DC294" s="814"/>
      <c r="DD294" s="814"/>
      <c r="DE294" s="814"/>
      <c r="DF294" s="814"/>
      <c r="DG294" s="814"/>
      <c r="DH294" s="814"/>
      <c r="DI294" s="814"/>
      <c r="DJ294" s="814"/>
      <c r="DK294" s="814"/>
      <c r="DL294" s="814"/>
      <c r="DM294" s="814"/>
      <c r="DN294" s="814"/>
      <c r="DO294" s="814"/>
      <c r="DP294" s="814"/>
      <c r="DQ294" s="814"/>
      <c r="DR294" s="814"/>
      <c r="DS294" s="814"/>
      <c r="DT294" s="814"/>
      <c r="DU294" s="814"/>
      <c r="DV294" s="814"/>
      <c r="DW294" s="814"/>
      <c r="DX294" s="814"/>
      <c r="DY294" s="814"/>
      <c r="DZ294" s="814"/>
      <c r="EA294" s="814"/>
      <c r="EB294" s="814"/>
      <c r="EC294" s="814"/>
      <c r="ED294" s="814"/>
      <c r="EE294" s="814"/>
      <c r="EF294" s="814"/>
      <c r="EG294" s="814"/>
      <c r="EH294" s="814"/>
      <c r="EI294" s="814"/>
      <c r="EJ294" s="814"/>
      <c r="EK294" s="814"/>
      <c r="EL294" s="814"/>
      <c r="EM294" s="814"/>
      <c r="EN294" s="814"/>
      <c r="EO294" s="814"/>
      <c r="EP294" s="814"/>
      <c r="EQ294" s="814"/>
      <c r="ER294" s="814"/>
      <c r="ES294" s="814"/>
      <c r="ET294" s="814"/>
      <c r="EU294" s="814"/>
      <c r="EV294" s="814"/>
      <c r="EW294" s="814"/>
      <c r="EX294" s="814"/>
      <c r="EY294" s="814"/>
      <c r="EZ294" s="814"/>
      <c r="FA294" s="814"/>
      <c r="FB294" s="814"/>
      <c r="FC294" s="814"/>
      <c r="FD294" s="814"/>
      <c r="FE294" s="814"/>
      <c r="FF294" s="814"/>
      <c r="FG294" s="814"/>
      <c r="FH294" s="814"/>
      <c r="FI294" s="814"/>
      <c r="FJ294" s="814"/>
      <c r="FK294" s="814"/>
      <c r="FL294" s="814"/>
      <c r="FM294" s="814"/>
      <c r="FN294" s="814"/>
      <c r="FO294" s="814"/>
      <c r="FP294" s="814"/>
      <c r="FQ294" s="814"/>
      <c r="FR294" s="814"/>
      <c r="FS294" s="814"/>
      <c r="FT294" s="814"/>
      <c r="FU294" s="814"/>
      <c r="FV294" s="814"/>
      <c r="FW294" s="814"/>
      <c r="FX294" s="814"/>
      <c r="FY294" s="814"/>
      <c r="FZ294" s="814"/>
      <c r="GA294" s="814"/>
      <c r="GB294" s="814"/>
      <c r="GC294" s="814"/>
      <c r="GD294" s="814"/>
      <c r="GE294" s="814"/>
      <c r="GF294" s="814"/>
      <c r="GG294" s="814"/>
      <c r="GH294" s="814"/>
      <c r="GI294" s="814"/>
      <c r="GJ294" s="814"/>
      <c r="GK294" s="814"/>
      <c r="GL294" s="814"/>
      <c r="GM294" s="814"/>
      <c r="GN294" s="814"/>
      <c r="GO294" s="814"/>
      <c r="GP294" s="814"/>
      <c r="GQ294" s="814"/>
      <c r="GR294" s="814"/>
      <c r="GS294" s="814"/>
      <c r="GT294" s="814"/>
      <c r="GU294" s="814"/>
      <c r="GV294" s="814"/>
      <c r="GW294" s="814"/>
      <c r="GX294" s="814"/>
      <c r="GY294" s="814"/>
      <c r="GZ294" s="814"/>
      <c r="HA294" s="814"/>
      <c r="HB294" s="814"/>
      <c r="HC294" s="814"/>
      <c r="HD294" s="814"/>
      <c r="HE294" s="814"/>
      <c r="HF294" s="814"/>
      <c r="HG294" s="814"/>
      <c r="HH294" s="814"/>
      <c r="HI294" s="814"/>
      <c r="HJ294" s="814"/>
      <c r="HK294" s="814"/>
      <c r="HL294" s="814"/>
      <c r="HM294" s="814"/>
      <c r="HN294" s="814"/>
      <c r="HO294" s="814"/>
      <c r="HP294" s="814"/>
      <c r="HQ294" s="814"/>
      <c r="HR294" s="814"/>
      <c r="HS294" s="814"/>
      <c r="HT294" s="814"/>
      <c r="HU294" s="814"/>
      <c r="HV294" s="814"/>
      <c r="HW294" s="814"/>
      <c r="HX294" s="814"/>
      <c r="HY294" s="814"/>
      <c r="HZ294" s="814"/>
      <c r="IA294" s="814"/>
      <c r="IB294" s="814"/>
      <c r="IC294" s="814"/>
      <c r="ID294" s="814"/>
      <c r="IE294" s="814"/>
      <c r="IF294" s="814"/>
      <c r="IG294" s="814"/>
      <c r="IH294" s="814"/>
      <c r="II294" s="814"/>
      <c r="IJ294" s="814"/>
      <c r="IK294" s="814"/>
      <c r="IL294" s="814"/>
      <c r="IM294" s="814"/>
      <c r="IN294" s="814"/>
      <c r="IO294" s="814"/>
      <c r="IP294" s="814"/>
      <c r="IQ294" s="814"/>
      <c r="IR294" s="814"/>
      <c r="IS294" s="814"/>
      <c r="IT294" s="814"/>
      <c r="IU294" s="814"/>
      <c r="IV294" s="814"/>
    </row>
    <row r="295" spans="1:256" ht="11.25" customHeight="1">
      <c r="B295" s="173" t="s">
        <v>2571</v>
      </c>
      <c r="D295" s="173"/>
      <c r="E295" s="173"/>
      <c r="F295" s="173"/>
      <c r="G295" s="173"/>
      <c r="H295" s="823"/>
      <c r="I295" s="162"/>
      <c r="J295" s="162"/>
      <c r="K295" s="162"/>
      <c r="L295" s="814"/>
      <c r="M295" s="814"/>
      <c r="N295" s="814"/>
      <c r="O295" s="814"/>
      <c r="P295" s="814"/>
      <c r="Q295" s="59"/>
    </row>
    <row r="296" spans="1:256" ht="11.45" customHeight="1">
      <c r="A296" s="1641"/>
      <c r="B296" s="1642"/>
      <c r="C296" s="1642"/>
      <c r="D296" s="1642"/>
      <c r="E296" s="1642"/>
      <c r="F296" s="1642"/>
      <c r="G296" s="1642"/>
      <c r="H296" s="1642"/>
      <c r="I296" s="1642"/>
      <c r="J296" s="1642"/>
      <c r="K296" s="1642"/>
      <c r="L296" s="1642"/>
      <c r="M296" s="1642"/>
      <c r="N296" s="1642"/>
      <c r="O296" s="1642"/>
      <c r="P296" s="1642"/>
      <c r="Q296" s="1643"/>
      <c r="R296" s="655" t="s">
        <v>1677</v>
      </c>
      <c r="S296" s="150"/>
      <c r="U296" s="168"/>
      <c r="V296" s="168"/>
      <c r="W296" s="168"/>
      <c r="X296" s="168"/>
      <c r="Y296" s="168"/>
      <c r="Z296" s="168"/>
      <c r="AA296" s="168"/>
      <c r="AB296" s="168"/>
      <c r="AC296" s="168"/>
      <c r="AD296" s="168"/>
      <c r="AE296" s="656"/>
    </row>
    <row r="297" spans="1:256" ht="11.25" customHeight="1">
      <c r="B297" s="169" t="s">
        <v>2572</v>
      </c>
      <c r="C297" s="170"/>
      <c r="D297" s="818"/>
      <c r="E297" s="818"/>
      <c r="F297" s="818"/>
      <c r="G297" s="818"/>
      <c r="H297" s="818"/>
      <c r="I297" s="818"/>
      <c r="J297" s="818"/>
      <c r="K297" s="818"/>
      <c r="L297" s="818"/>
      <c r="M297" s="818"/>
      <c r="N297" s="818"/>
      <c r="O297" s="818"/>
      <c r="P297" s="818"/>
      <c r="Q297" s="818"/>
    </row>
    <row r="298" spans="1:256" ht="11.45" customHeight="1">
      <c r="A298" s="1048"/>
      <c r="B298" s="1049"/>
      <c r="C298" s="1049"/>
      <c r="D298" s="1049"/>
      <c r="E298" s="1049"/>
      <c r="F298" s="1049"/>
      <c r="G298" s="1049"/>
      <c r="H298" s="1049"/>
      <c r="I298" s="1049"/>
      <c r="J298" s="1049"/>
      <c r="K298" s="1049"/>
      <c r="L298" s="1049"/>
      <c r="M298" s="1049"/>
      <c r="N298" s="1049"/>
      <c r="O298" s="1049"/>
      <c r="P298" s="1049"/>
      <c r="Q298" s="1050"/>
    </row>
    <row r="299" spans="1:256" ht="3" customHeight="1">
      <c r="A299" s="814"/>
      <c r="B299" s="162"/>
      <c r="C299" s="818"/>
      <c r="D299" s="818"/>
      <c r="E299" s="818"/>
      <c r="F299" s="818"/>
      <c r="G299" s="818"/>
      <c r="H299" s="818"/>
      <c r="I299" s="818"/>
      <c r="J299" s="818"/>
      <c r="K299" s="818"/>
      <c r="L299" s="818"/>
      <c r="M299" s="818"/>
      <c r="N299" s="818"/>
      <c r="O299" s="818"/>
      <c r="P299" s="818"/>
      <c r="Q299" s="814"/>
    </row>
    <row r="300" spans="1:256" ht="13.9" customHeight="1">
      <c r="A300" s="820">
        <v>20</v>
      </c>
      <c r="B300" s="820" t="s">
        <v>3503</v>
      </c>
      <c r="C300" s="820"/>
      <c r="D300" s="818"/>
      <c r="E300" s="818"/>
      <c r="F300" s="818"/>
      <c r="G300" s="818"/>
      <c r="H300" s="818"/>
      <c r="O300" s="163" t="s">
        <v>2573</v>
      </c>
      <c r="P300" s="1053"/>
      <c r="Q300" s="1054"/>
    </row>
    <row r="301" spans="1:256" ht="3" customHeight="1"/>
    <row r="302" spans="1:256" ht="11.45" customHeight="1">
      <c r="B302" s="177" t="s">
        <v>3083</v>
      </c>
      <c r="P302" s="1637" t="s">
        <v>4064</v>
      </c>
      <c r="Q302" s="210"/>
    </row>
    <row r="303" spans="1:256" ht="11.45" customHeight="1">
      <c r="B303" s="177" t="s">
        <v>3084</v>
      </c>
      <c r="P303" s="1637" t="s">
        <v>4065</v>
      </c>
      <c r="Q303" s="210"/>
    </row>
    <row r="304" spans="1:256" ht="11.45" customHeight="1">
      <c r="B304" s="177" t="s">
        <v>774</v>
      </c>
      <c r="L304" s="1725" t="s">
        <v>4161</v>
      </c>
      <c r="M304" s="1726"/>
      <c r="N304" s="1726"/>
      <c r="O304" s="1727"/>
    </row>
    <row r="305" spans="1:31" ht="11.45" customHeight="1">
      <c r="B305" s="542" t="s">
        <v>3085</v>
      </c>
      <c r="L305" s="1104"/>
      <c r="M305" s="1105"/>
      <c r="N305" s="1105"/>
      <c r="O305" s="1106"/>
    </row>
    <row r="306" spans="1:31" ht="11.25" customHeight="1">
      <c r="B306" s="173" t="s">
        <v>2571</v>
      </c>
      <c r="D306" s="173"/>
      <c r="E306" s="173"/>
      <c r="F306" s="173"/>
      <c r="G306" s="173"/>
      <c r="H306" s="823"/>
      <c r="I306" s="162"/>
      <c r="J306" s="162"/>
      <c r="K306" s="162"/>
      <c r="L306" s="814"/>
      <c r="M306" s="814"/>
      <c r="N306" s="814"/>
      <c r="O306" s="814"/>
      <c r="P306" s="814"/>
      <c r="Q306" s="59"/>
    </row>
    <row r="307" spans="1:31" ht="13.15" customHeight="1">
      <c r="A307" s="1641"/>
      <c r="B307" s="1642"/>
      <c r="C307" s="1642"/>
      <c r="D307" s="1642"/>
      <c r="E307" s="1642"/>
      <c r="F307" s="1642"/>
      <c r="G307" s="1642"/>
      <c r="H307" s="1642"/>
      <c r="I307" s="1642"/>
      <c r="J307" s="1642"/>
      <c r="K307" s="1642"/>
      <c r="L307" s="1642"/>
      <c r="M307" s="1642"/>
      <c r="N307" s="1642"/>
      <c r="O307" s="1642"/>
      <c r="P307" s="1642"/>
      <c r="Q307" s="1643"/>
      <c r="R307" s="614" t="s">
        <v>1677</v>
      </c>
      <c r="S307" s="615"/>
      <c r="U307" s="168"/>
      <c r="V307" s="168"/>
      <c r="W307" s="168"/>
      <c r="X307" s="168"/>
      <c r="Y307" s="168"/>
      <c r="Z307" s="168"/>
      <c r="AA307" s="168"/>
      <c r="AB307" s="168"/>
      <c r="AC307" s="168"/>
      <c r="AD307" s="168"/>
      <c r="AE307" s="656"/>
    </row>
    <row r="308" spans="1:31" ht="11.25" customHeight="1">
      <c r="B308" s="169" t="s">
        <v>2572</v>
      </c>
      <c r="C308" s="170"/>
      <c r="D308" s="818"/>
      <c r="E308" s="818"/>
      <c r="F308" s="818"/>
      <c r="G308" s="818"/>
      <c r="H308" s="818"/>
      <c r="I308" s="818"/>
      <c r="J308" s="818"/>
      <c r="K308" s="818"/>
      <c r="L308" s="818"/>
      <c r="M308" s="818"/>
      <c r="N308" s="818"/>
      <c r="O308" s="818"/>
      <c r="P308" s="818"/>
      <c r="Q308" s="818"/>
    </row>
    <row r="309" spans="1:31" ht="13.15" customHeight="1">
      <c r="A309" s="1048"/>
      <c r="B309" s="1049"/>
      <c r="C309" s="1049"/>
      <c r="D309" s="1049"/>
      <c r="E309" s="1049"/>
      <c r="F309" s="1049"/>
      <c r="G309" s="1049"/>
      <c r="H309" s="1049"/>
      <c r="I309" s="1049"/>
      <c r="J309" s="1049"/>
      <c r="K309" s="1049"/>
      <c r="L309" s="1049"/>
      <c r="M309" s="1049"/>
      <c r="N309" s="1049"/>
      <c r="O309" s="1049"/>
      <c r="P309" s="1049"/>
      <c r="Q309" s="1050"/>
    </row>
    <row r="310" spans="1:31" ht="4.1500000000000004" customHeight="1">
      <c r="B310" s="162"/>
      <c r="C310" s="818"/>
      <c r="D310" s="818"/>
      <c r="E310" s="818"/>
      <c r="F310" s="818"/>
      <c r="G310" s="818"/>
      <c r="H310" s="818"/>
      <c r="I310" s="818"/>
      <c r="J310" s="818"/>
      <c r="K310" s="818"/>
      <c r="L310" s="818"/>
      <c r="M310" s="818"/>
      <c r="Q310" s="59"/>
    </row>
    <row r="311" spans="1:31" ht="13.9" customHeight="1">
      <c r="A311" s="820">
        <v>21</v>
      </c>
      <c r="B311" s="5" t="s">
        <v>3504</v>
      </c>
      <c r="C311" s="5"/>
      <c r="D311" s="104"/>
      <c r="E311" s="818"/>
      <c r="F311" s="818"/>
      <c r="G311" s="818"/>
      <c r="H311" s="818"/>
      <c r="I311" s="818"/>
      <c r="J311" s="818"/>
      <c r="K311" s="818"/>
      <c r="L311" s="818"/>
      <c r="M311" s="818"/>
      <c r="O311" s="163" t="s">
        <v>2573</v>
      </c>
      <c r="P311" s="1053"/>
      <c r="Q311" s="1054"/>
    </row>
    <row r="312" spans="1:31" ht="3" customHeight="1"/>
    <row r="313" spans="1:31" ht="22.15" customHeight="1">
      <c r="B313" s="174" t="s">
        <v>2695</v>
      </c>
      <c r="C313" s="1055" t="s">
        <v>3762</v>
      </c>
      <c r="D313" s="1055"/>
      <c r="E313" s="1055"/>
      <c r="F313" s="1055"/>
      <c r="G313" s="1055"/>
      <c r="H313" s="1055"/>
      <c r="I313" s="1055"/>
      <c r="J313" s="1055"/>
      <c r="K313" s="1055"/>
      <c r="L313" s="1055"/>
      <c r="M313" s="1055"/>
      <c r="N313" s="1055"/>
      <c r="O313" s="199" t="s">
        <v>2695</v>
      </c>
      <c r="P313" s="1637"/>
      <c r="Q313" s="210"/>
    </row>
    <row r="314" spans="1:31" ht="11.45" customHeight="1">
      <c r="B314" s="174" t="s">
        <v>2698</v>
      </c>
      <c r="C314" s="1055" t="s">
        <v>3763</v>
      </c>
      <c r="D314" s="1055"/>
      <c r="E314" s="1055"/>
      <c r="F314" s="1055"/>
      <c r="G314" s="1055"/>
      <c r="H314" s="1055"/>
      <c r="I314" s="1055"/>
      <c r="J314" s="1055"/>
      <c r="K314" s="1055"/>
      <c r="L314" s="1055"/>
      <c r="M314" s="1055"/>
      <c r="N314" s="1055"/>
      <c r="O314" s="199" t="s">
        <v>2698</v>
      </c>
      <c r="P314" s="1637"/>
      <c r="Q314" s="210"/>
    </row>
    <row r="315" spans="1:31" ht="11.45" customHeight="1">
      <c r="B315" s="174" t="s">
        <v>1054</v>
      </c>
      <c r="C315" s="179" t="s">
        <v>3523</v>
      </c>
      <c r="D315" s="179"/>
      <c r="E315" s="179"/>
      <c r="F315" s="179"/>
      <c r="G315" s="179"/>
      <c r="H315" s="179"/>
      <c r="I315" s="179"/>
      <c r="J315" s="179"/>
      <c r="K315" s="179"/>
      <c r="L315" s="179"/>
      <c r="M315" s="179"/>
      <c r="O315" s="199" t="s">
        <v>1054</v>
      </c>
      <c r="P315" s="1637"/>
      <c r="Q315" s="210"/>
    </row>
    <row r="316" spans="1:31">
      <c r="B316" s="174" t="s">
        <v>2831</v>
      </c>
      <c r="C316" s="1055" t="s">
        <v>3958</v>
      </c>
      <c r="D316" s="1055"/>
      <c r="E316" s="1055"/>
      <c r="F316" s="1055"/>
      <c r="G316" s="1055"/>
      <c r="H316" s="1055"/>
      <c r="I316" s="1055"/>
      <c r="J316" s="1055"/>
      <c r="K316" s="1055"/>
      <c r="L316" s="1055"/>
      <c r="M316" s="1055"/>
      <c r="N316" s="1055"/>
      <c r="O316" s="199" t="s">
        <v>2831</v>
      </c>
      <c r="P316" s="1637"/>
      <c r="Q316" s="210"/>
    </row>
    <row r="317" spans="1:31" ht="11.25" customHeight="1">
      <c r="B317" s="173" t="s">
        <v>2571</v>
      </c>
      <c r="D317" s="173"/>
      <c r="E317" s="173"/>
      <c r="F317" s="173"/>
      <c r="G317" s="173"/>
      <c r="H317" s="823"/>
      <c r="I317" s="162"/>
      <c r="J317" s="162"/>
      <c r="K317" s="162"/>
      <c r="L317" s="814"/>
      <c r="M317" s="814"/>
      <c r="N317" s="814"/>
      <c r="O317" s="814"/>
      <c r="P317" s="814"/>
      <c r="Q317" s="59"/>
    </row>
    <row r="318" spans="1:31" ht="11.45" customHeight="1">
      <c r="A318" s="1641" t="s">
        <v>4162</v>
      </c>
      <c r="B318" s="1642"/>
      <c r="C318" s="1642"/>
      <c r="D318" s="1642"/>
      <c r="E318" s="1642"/>
      <c r="F318" s="1642"/>
      <c r="G318" s="1642"/>
      <c r="H318" s="1642"/>
      <c r="I318" s="1642"/>
      <c r="J318" s="1642"/>
      <c r="K318" s="1642"/>
      <c r="L318" s="1642"/>
      <c r="M318" s="1642"/>
      <c r="N318" s="1642"/>
      <c r="O318" s="1642"/>
      <c r="P318" s="1642"/>
      <c r="Q318" s="1643"/>
      <c r="U318" s="168"/>
      <c r="V318" s="168"/>
      <c r="W318" s="168"/>
      <c r="X318" s="168"/>
      <c r="Y318" s="168"/>
      <c r="Z318" s="168"/>
      <c r="AA318" s="168"/>
      <c r="AB318" s="168"/>
      <c r="AC318" s="168"/>
      <c r="AD318" s="168"/>
      <c r="AE318" s="656"/>
    </row>
    <row r="319" spans="1:31" ht="11.25" customHeight="1">
      <c r="B319" s="169" t="s">
        <v>2572</v>
      </c>
      <c r="C319" s="170"/>
      <c r="D319" s="818"/>
      <c r="E319" s="818"/>
      <c r="F319" s="818"/>
      <c r="G319" s="818"/>
      <c r="H319" s="818"/>
      <c r="I319" s="818"/>
      <c r="J319" s="818"/>
      <c r="K319" s="818"/>
      <c r="L319" s="818"/>
      <c r="M319" s="818"/>
      <c r="N319" s="818"/>
      <c r="O319" s="818"/>
      <c r="P319" s="818"/>
      <c r="Q319" s="818"/>
    </row>
    <row r="320" spans="1:31" ht="11.45" customHeight="1">
      <c r="A320" s="1048"/>
      <c r="B320" s="1049"/>
      <c r="C320" s="1049"/>
      <c r="D320" s="1049"/>
      <c r="E320" s="1049"/>
      <c r="F320" s="1049"/>
      <c r="G320" s="1049"/>
      <c r="H320" s="1049"/>
      <c r="I320" s="1049"/>
      <c r="J320" s="1049"/>
      <c r="K320" s="1049"/>
      <c r="L320" s="1049"/>
      <c r="M320" s="1049"/>
      <c r="N320" s="1049"/>
      <c r="O320" s="1049"/>
      <c r="P320" s="1049"/>
      <c r="Q320" s="1050"/>
    </row>
    <row r="321" spans="1:32" ht="2.25" customHeight="1">
      <c r="A321" s="814"/>
      <c r="B321" s="162"/>
      <c r="C321" s="818"/>
      <c r="D321" s="818"/>
      <c r="E321" s="818"/>
      <c r="F321" s="818"/>
      <c r="G321" s="818"/>
      <c r="H321" s="818"/>
      <c r="I321" s="818"/>
      <c r="J321" s="818"/>
      <c r="K321" s="818"/>
      <c r="L321" s="818"/>
      <c r="M321" s="818"/>
      <c r="N321" s="818"/>
      <c r="O321" s="818"/>
      <c r="P321" s="818"/>
      <c r="Q321" s="59"/>
      <c r="R321" s="9"/>
      <c r="S321" s="9"/>
    </row>
    <row r="322" spans="1:32" ht="13.9" customHeight="1">
      <c r="A322" s="820">
        <v>22</v>
      </c>
      <c r="B322" s="5" t="s">
        <v>3557</v>
      </c>
      <c r="C322" s="5"/>
      <c r="D322" s="5"/>
      <c r="E322" s="5"/>
      <c r="F322" s="5"/>
      <c r="G322" s="5"/>
      <c r="H322" s="818"/>
      <c r="I322" s="818"/>
      <c r="J322" s="818"/>
      <c r="K322" s="818"/>
      <c r="L322" s="818"/>
      <c r="M322" s="818"/>
      <c r="O322" s="163" t="s">
        <v>2573</v>
      </c>
      <c r="P322" s="1053"/>
      <c r="Q322" s="1054"/>
    </row>
    <row r="323" spans="1:32" ht="12" customHeight="1">
      <c r="B323" s="54" t="s">
        <v>2695</v>
      </c>
      <c r="C323" s="143" t="s">
        <v>3552</v>
      </c>
      <c r="D323" s="824"/>
      <c r="E323" s="824"/>
      <c r="F323" s="824"/>
      <c r="G323" s="824"/>
      <c r="H323" s="824"/>
      <c r="I323" s="49"/>
      <c r="J323" s="654" t="s">
        <v>2695</v>
      </c>
      <c r="K323" s="1701"/>
      <c r="L323" s="1702"/>
      <c r="M323" s="1702"/>
      <c r="N323" s="1702"/>
      <c r="O323" s="1702"/>
      <c r="P323" s="1703"/>
      <c r="Q323" s="210"/>
    </row>
    <row r="324" spans="1:32" ht="22.5" customHeight="1">
      <c r="B324" s="174" t="s">
        <v>2698</v>
      </c>
      <c r="C324" s="1036" t="s">
        <v>3551</v>
      </c>
      <c r="D324" s="1036"/>
      <c r="E324" s="1036"/>
      <c r="F324" s="1036"/>
      <c r="G324" s="1036"/>
      <c r="H324" s="1036"/>
      <c r="I324" s="1036"/>
      <c r="J324" s="1036"/>
      <c r="K324" s="1036"/>
      <c r="L324" s="1036"/>
      <c r="M324" s="1036"/>
      <c r="N324" s="1036"/>
      <c r="O324" s="199" t="s">
        <v>2698</v>
      </c>
      <c r="P324" s="1686"/>
      <c r="Q324" s="210"/>
    </row>
    <row r="325" spans="1:32" ht="11.45" customHeight="1">
      <c r="B325" s="54" t="s">
        <v>1054</v>
      </c>
      <c r="C325" s="61" t="s">
        <v>3553</v>
      </c>
      <c r="D325" s="61"/>
      <c r="E325" s="61"/>
      <c r="F325" s="61"/>
      <c r="G325" s="61"/>
      <c r="H325" s="61"/>
      <c r="I325" s="61"/>
      <c r="J325" s="61"/>
      <c r="K325" s="61"/>
      <c r="L325" s="38"/>
      <c r="M325" s="38"/>
      <c r="O325" s="654" t="s">
        <v>1054</v>
      </c>
      <c r="P325" s="1637"/>
      <c r="Q325" s="210"/>
    </row>
    <row r="326" spans="1:32" ht="11.45" customHeight="1">
      <c r="B326" s="54" t="s">
        <v>2831</v>
      </c>
      <c r="C326" s="61" t="s">
        <v>3554</v>
      </c>
      <c r="D326" s="61"/>
      <c r="E326" s="61"/>
      <c r="F326" s="61"/>
      <c r="G326" s="61"/>
      <c r="H326" s="61"/>
      <c r="I326" s="61"/>
      <c r="J326" s="61"/>
      <c r="K326" s="61"/>
      <c r="L326" s="61"/>
      <c r="M326" s="61"/>
      <c r="O326" s="654" t="s">
        <v>2831</v>
      </c>
      <c r="P326" s="1637"/>
      <c r="Q326" s="210"/>
    </row>
    <row r="327" spans="1:32" s="164" customFormat="1" ht="11.45" customHeight="1">
      <c r="B327" s="174" t="s">
        <v>2428</v>
      </c>
      <c r="C327" s="1055" t="s">
        <v>3559</v>
      </c>
      <c r="D327" s="1055"/>
      <c r="E327" s="1055"/>
      <c r="F327" s="1055"/>
      <c r="G327" s="1055"/>
      <c r="H327" s="1055"/>
      <c r="I327" s="1055"/>
      <c r="J327" s="1055"/>
      <c r="K327" s="1055"/>
      <c r="L327" s="1055"/>
      <c r="M327" s="1055"/>
      <c r="N327" s="1055"/>
      <c r="O327" s="199" t="s">
        <v>2428</v>
      </c>
      <c r="P327" s="1686"/>
      <c r="Q327" s="323"/>
      <c r="AE327" s="657"/>
      <c r="AF327" s="657"/>
    </row>
    <row r="328" spans="1:32" s="164" customFormat="1" ht="11.45" customHeight="1">
      <c r="B328" s="174" t="s">
        <v>2429</v>
      </c>
      <c r="C328" s="1055" t="s">
        <v>3569</v>
      </c>
      <c r="D328" s="1055"/>
      <c r="E328" s="1055"/>
      <c r="F328" s="1055"/>
      <c r="G328" s="1055"/>
      <c r="H328" s="1055"/>
      <c r="I328" s="1055"/>
      <c r="J328" s="1055"/>
      <c r="K328" s="1055"/>
      <c r="L328" s="1055"/>
      <c r="M328" s="1055"/>
      <c r="N328" s="1055"/>
      <c r="O328" s="199" t="s">
        <v>2429</v>
      </c>
      <c r="P328" s="1686"/>
      <c r="Q328" s="323"/>
      <c r="AE328" s="657"/>
      <c r="AF328" s="657"/>
    </row>
    <row r="329" spans="1:32" ht="11.45" customHeight="1">
      <c r="B329" s="54" t="s">
        <v>2658</v>
      </c>
      <c r="C329" s="61" t="s">
        <v>3555</v>
      </c>
      <c r="D329" s="61"/>
      <c r="E329" s="61"/>
      <c r="F329" s="61"/>
      <c r="G329" s="61"/>
      <c r="H329" s="61"/>
      <c r="I329" s="61"/>
      <c r="J329" s="61"/>
      <c r="K329" s="61"/>
      <c r="L329" s="61"/>
      <c r="M329" s="61"/>
      <c r="O329" s="654" t="s">
        <v>2658</v>
      </c>
      <c r="P329" s="1637"/>
      <c r="Q329" s="210"/>
    </row>
    <row r="330" spans="1:32" ht="11.25" customHeight="1">
      <c r="B330" s="173" t="s">
        <v>2571</v>
      </c>
      <c r="D330" s="173"/>
      <c r="E330" s="173"/>
      <c r="F330" s="173"/>
      <c r="G330" s="173"/>
      <c r="H330" s="823"/>
      <c r="I330" s="162"/>
      <c r="J330" s="162"/>
      <c r="K330" s="162"/>
      <c r="L330" s="814"/>
      <c r="M330" s="814"/>
      <c r="N330" s="814"/>
      <c r="O330" s="814"/>
      <c r="P330" s="814"/>
      <c r="Q330" s="59"/>
    </row>
    <row r="331" spans="1:32" ht="11.45" customHeight="1">
      <c r="A331" s="1641"/>
      <c r="B331" s="1642"/>
      <c r="C331" s="1642"/>
      <c r="D331" s="1642"/>
      <c r="E331" s="1642"/>
      <c r="F331" s="1642"/>
      <c r="G331" s="1642"/>
      <c r="H331" s="1642"/>
      <c r="I331" s="1642"/>
      <c r="J331" s="1642"/>
      <c r="K331" s="1642"/>
      <c r="L331" s="1642"/>
      <c r="M331" s="1642"/>
      <c r="N331" s="1642"/>
      <c r="O331" s="1642"/>
      <c r="P331" s="1642"/>
      <c r="Q331" s="1643"/>
      <c r="U331" s="168"/>
      <c r="V331" s="168"/>
      <c r="W331" s="168"/>
      <c r="X331" s="168"/>
      <c r="Y331" s="168"/>
      <c r="Z331" s="168"/>
      <c r="AA331" s="168"/>
      <c r="AB331" s="168"/>
      <c r="AC331" s="168"/>
      <c r="AD331" s="168"/>
      <c r="AE331" s="656"/>
    </row>
    <row r="332" spans="1:32" ht="11.25" customHeight="1">
      <c r="B332" s="169" t="s">
        <v>2572</v>
      </c>
      <c r="C332" s="170"/>
      <c r="D332" s="818"/>
      <c r="E332" s="818"/>
      <c r="F332" s="818"/>
      <c r="G332" s="818"/>
      <c r="H332" s="818"/>
      <c r="I332" s="818"/>
      <c r="J332" s="818"/>
      <c r="K332" s="818"/>
      <c r="L332" s="818"/>
      <c r="M332" s="818"/>
      <c r="N332" s="818"/>
      <c r="O332" s="818"/>
      <c r="P332" s="818"/>
      <c r="Q332" s="818"/>
    </row>
    <row r="333" spans="1:32" ht="11.45" customHeight="1">
      <c r="A333" s="1048"/>
      <c r="B333" s="1049"/>
      <c r="C333" s="1049"/>
      <c r="D333" s="1049"/>
      <c r="E333" s="1049"/>
      <c r="F333" s="1049"/>
      <c r="G333" s="1049"/>
      <c r="H333" s="1049"/>
      <c r="I333" s="1049"/>
      <c r="J333" s="1049"/>
      <c r="K333" s="1049"/>
      <c r="L333" s="1049"/>
      <c r="M333" s="1049"/>
      <c r="N333" s="1049"/>
      <c r="O333" s="1049"/>
      <c r="P333" s="1049"/>
      <c r="Q333" s="1050"/>
    </row>
    <row r="334" spans="1:32" ht="6" customHeight="1">
      <c r="A334" s="814"/>
      <c r="B334" s="162"/>
      <c r="C334" s="818"/>
      <c r="D334" s="818"/>
      <c r="E334" s="818"/>
      <c r="F334" s="818"/>
      <c r="G334" s="818"/>
      <c r="H334" s="818"/>
      <c r="I334" s="818"/>
      <c r="J334" s="818"/>
      <c r="K334" s="818"/>
      <c r="L334" s="818"/>
      <c r="M334" s="818"/>
      <c r="Q334" s="59"/>
    </row>
    <row r="335" spans="1:32" ht="13.9" customHeight="1">
      <c r="A335" s="820">
        <v>23</v>
      </c>
      <c r="B335" s="5" t="s">
        <v>3579</v>
      </c>
      <c r="C335" s="5"/>
      <c r="D335" s="5"/>
      <c r="E335" s="5"/>
      <c r="F335" s="5"/>
      <c r="G335" s="5"/>
      <c r="H335" s="818"/>
      <c r="I335" s="818"/>
      <c r="J335" s="818"/>
      <c r="O335" s="163" t="s">
        <v>2573</v>
      </c>
      <c r="P335" s="1053"/>
      <c r="Q335" s="1054"/>
    </row>
    <row r="336" spans="1:32" ht="13.9" customHeight="1">
      <c r="A336" s="820"/>
      <c r="B336" s="131" t="s">
        <v>3509</v>
      </c>
      <c r="C336" s="5"/>
      <c r="D336" s="5"/>
      <c r="E336" s="5"/>
      <c r="F336" s="5"/>
      <c r="G336" s="5"/>
      <c r="H336" s="818"/>
      <c r="I336" s="818"/>
      <c r="J336" s="818"/>
      <c r="S336" s="691" t="s">
        <v>3739</v>
      </c>
    </row>
    <row r="337" spans="2:32" ht="11.45" customHeight="1">
      <c r="B337" s="136" t="s">
        <v>2695</v>
      </c>
      <c r="C337" s="542" t="s">
        <v>3511</v>
      </c>
      <c r="D337" s="64"/>
      <c r="E337" s="824"/>
      <c r="F337" s="824"/>
      <c r="G337" s="824"/>
      <c r="H337" s="824"/>
      <c r="I337" s="49"/>
      <c r="O337" s="654" t="s">
        <v>2695</v>
      </c>
      <c r="S337" s="693" t="str">
        <f>IF(OR(P338="Yes",P339="Yes",P340="Yes",P341="Yes",P342="Yes",P343="Yes",P344="Yes"), "Yes","")</f>
        <v>Yes</v>
      </c>
    </row>
    <row r="338" spans="2:32" s="164" customFormat="1" ht="11.25" customHeight="1">
      <c r="B338" s="183" t="s">
        <v>2430</v>
      </c>
      <c r="C338" s="1082" t="s">
        <v>3745</v>
      </c>
      <c r="D338" s="1082"/>
      <c r="E338" s="1082"/>
      <c r="F338" s="1082"/>
      <c r="G338" s="1082"/>
      <c r="H338" s="1082"/>
      <c r="I338" s="1082"/>
      <c r="J338" s="1082"/>
      <c r="K338" s="1082"/>
      <c r="L338" s="1082"/>
      <c r="M338" s="1082"/>
      <c r="N338" s="1082"/>
      <c r="O338" s="183" t="s">
        <v>2430</v>
      </c>
      <c r="P338" s="1686"/>
      <c r="Q338" s="323"/>
      <c r="AE338" s="657"/>
      <c r="AF338" s="657"/>
    </row>
    <row r="339" spans="2:32" s="164" customFormat="1" ht="21.75" customHeight="1">
      <c r="B339" s="183" t="s">
        <v>2431</v>
      </c>
      <c r="C339" s="1082" t="s">
        <v>3510</v>
      </c>
      <c r="D339" s="1082"/>
      <c r="E339" s="1082"/>
      <c r="F339" s="1082"/>
      <c r="G339" s="1082"/>
      <c r="H339" s="1082"/>
      <c r="I339" s="1082"/>
      <c r="J339" s="1082"/>
      <c r="K339" s="1082"/>
      <c r="L339" s="1082"/>
      <c r="M339" s="1082"/>
      <c r="N339" s="1082"/>
      <c r="O339" s="183" t="s">
        <v>2431</v>
      </c>
      <c r="P339" s="1686"/>
      <c r="Q339" s="323"/>
      <c r="AE339" s="657"/>
      <c r="AF339" s="657"/>
    </row>
    <row r="340" spans="2:32" s="164" customFormat="1" ht="21.75" customHeight="1">
      <c r="B340" s="183" t="s">
        <v>2432</v>
      </c>
      <c r="C340" s="1051" t="s">
        <v>3734</v>
      </c>
      <c r="D340" s="1051"/>
      <c r="E340" s="1051"/>
      <c r="F340" s="1051"/>
      <c r="G340" s="1051"/>
      <c r="H340" s="1051"/>
      <c r="I340" s="1051"/>
      <c r="J340" s="1051"/>
      <c r="K340" s="1051"/>
      <c r="L340" s="1051"/>
      <c r="M340" s="1051"/>
      <c r="N340" s="1051"/>
      <c r="O340" s="183" t="s">
        <v>2432</v>
      </c>
      <c r="P340" s="1686" t="s">
        <v>4064</v>
      </c>
      <c r="Q340" s="323"/>
      <c r="AE340" s="657"/>
      <c r="AF340" s="657"/>
    </row>
    <row r="341" spans="2:32" s="164" customFormat="1" ht="21.75" customHeight="1">
      <c r="B341" s="183" t="s">
        <v>3120</v>
      </c>
      <c r="C341" s="1051" t="s">
        <v>3735</v>
      </c>
      <c r="D341" s="1051"/>
      <c r="E341" s="1051"/>
      <c r="F341" s="1051"/>
      <c r="G341" s="1051"/>
      <c r="H341" s="1051"/>
      <c r="I341" s="1051"/>
      <c r="J341" s="1051"/>
      <c r="K341" s="1051"/>
      <c r="L341" s="1051"/>
      <c r="M341" s="1051"/>
      <c r="N341" s="1051"/>
      <c r="O341" s="183" t="s">
        <v>3120</v>
      </c>
      <c r="P341" s="1686"/>
      <c r="Q341" s="323"/>
      <c r="AE341" s="657"/>
      <c r="AF341" s="657"/>
    </row>
    <row r="342" spans="2:32" s="164" customFormat="1" ht="33.75" customHeight="1">
      <c r="B342" s="183" t="s">
        <v>2009</v>
      </c>
      <c r="C342" s="1051" t="s">
        <v>3736</v>
      </c>
      <c r="D342" s="1051"/>
      <c r="E342" s="1051"/>
      <c r="F342" s="1051"/>
      <c r="G342" s="1051"/>
      <c r="H342" s="1051"/>
      <c r="I342" s="1051"/>
      <c r="J342" s="1051"/>
      <c r="K342" s="1051"/>
      <c r="L342" s="1051"/>
      <c r="M342" s="1051"/>
      <c r="N342" s="1051"/>
      <c r="O342" s="183" t="s">
        <v>2009</v>
      </c>
      <c r="P342" s="1686"/>
      <c r="Q342" s="323"/>
      <c r="AE342" s="657"/>
      <c r="AF342" s="657"/>
    </row>
    <row r="343" spans="2:32" s="164" customFormat="1" ht="21.75" customHeight="1">
      <c r="B343" s="199" t="s">
        <v>2010</v>
      </c>
      <c r="C343" s="1051" t="s">
        <v>3737</v>
      </c>
      <c r="D343" s="1051"/>
      <c r="E343" s="1051"/>
      <c r="F343" s="1051"/>
      <c r="G343" s="1051"/>
      <c r="H343" s="1051"/>
      <c r="I343" s="1051"/>
      <c r="J343" s="1051"/>
      <c r="K343" s="1051"/>
      <c r="L343" s="1051"/>
      <c r="M343" s="1051"/>
      <c r="N343" s="1051"/>
      <c r="O343" s="199" t="s">
        <v>2010</v>
      </c>
      <c r="P343" s="1686"/>
      <c r="Q343" s="323"/>
      <c r="AE343" s="657"/>
      <c r="AF343" s="657"/>
    </row>
    <row r="344" spans="2:32" s="164" customFormat="1" ht="21.75" customHeight="1">
      <c r="B344" s="199" t="s">
        <v>104</v>
      </c>
      <c r="C344" s="1051" t="s">
        <v>3738</v>
      </c>
      <c r="D344" s="1051"/>
      <c r="E344" s="1051"/>
      <c r="F344" s="1051"/>
      <c r="G344" s="1051"/>
      <c r="H344" s="1051"/>
      <c r="I344" s="1051"/>
      <c r="J344" s="1051"/>
      <c r="K344" s="1051"/>
      <c r="L344" s="1051"/>
      <c r="M344" s="1051"/>
      <c r="N344" s="1051"/>
      <c r="O344" s="199" t="s">
        <v>104</v>
      </c>
      <c r="P344" s="1686"/>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2698</v>
      </c>
      <c r="C346" s="271" t="s">
        <v>3512</v>
      </c>
      <c r="D346" s="165"/>
      <c r="E346" s="165"/>
      <c r="F346" s="165"/>
      <c r="G346" s="165"/>
      <c r="H346" s="165"/>
      <c r="I346" s="165"/>
      <c r="J346" s="165"/>
      <c r="K346" s="165"/>
      <c r="L346" s="165"/>
      <c r="M346" s="165"/>
      <c r="N346" s="165"/>
      <c r="O346" s="654" t="s">
        <v>2698</v>
      </c>
      <c r="P346" s="607"/>
      <c r="Q346" s="607"/>
    </row>
    <row r="347" spans="2:32" ht="11.25" customHeight="1">
      <c r="B347" s="78" t="s">
        <v>2430</v>
      </c>
      <c r="C347" s="580" t="s">
        <v>3513</v>
      </c>
      <c r="E347" s="580"/>
      <c r="F347" s="580"/>
      <c r="G347" s="580"/>
      <c r="H347" s="580"/>
      <c r="I347" s="580"/>
      <c r="J347" s="580"/>
      <c r="K347" s="580"/>
      <c r="L347" s="580"/>
      <c r="M347" s="580"/>
      <c r="N347" s="609"/>
      <c r="P347" s="78" t="s">
        <v>2430</v>
      </c>
      <c r="Q347" s="210"/>
    </row>
    <row r="348" spans="2:32" ht="11.25" customHeight="1">
      <c r="B348" s="78" t="s">
        <v>2431</v>
      </c>
      <c r="C348" s="166" t="s">
        <v>3514</v>
      </c>
      <c r="E348" s="166"/>
      <c r="F348" s="166"/>
      <c r="G348" s="166"/>
      <c r="H348" s="166"/>
      <c r="I348" s="44"/>
      <c r="J348" s="609"/>
      <c r="K348" s="609"/>
      <c r="L348" s="609"/>
      <c r="M348" s="609"/>
      <c r="N348" s="609"/>
      <c r="P348" s="78" t="s">
        <v>2431</v>
      </c>
      <c r="Q348" s="210"/>
    </row>
    <row r="349" spans="2:32" ht="11.25" customHeight="1">
      <c r="B349" s="78" t="s">
        <v>2432</v>
      </c>
      <c r="C349" s="61" t="s">
        <v>3657</v>
      </c>
      <c r="E349" s="61"/>
      <c r="F349" s="61"/>
      <c r="G349" s="61"/>
      <c r="H349" s="61"/>
      <c r="I349" s="61"/>
      <c r="J349" s="61"/>
      <c r="K349" s="61"/>
      <c r="L349" s="38"/>
      <c r="M349" s="38"/>
      <c r="N349" s="609"/>
      <c r="P349" s="78" t="s">
        <v>2432</v>
      </c>
      <c r="Q349" s="210"/>
    </row>
    <row r="350" spans="2:32" ht="11.25" customHeight="1">
      <c r="B350" s="78" t="s">
        <v>3120</v>
      </c>
      <c r="C350" s="61" t="s">
        <v>3515</v>
      </c>
      <c r="E350" s="61"/>
      <c r="F350" s="61"/>
      <c r="G350" s="61"/>
      <c r="H350" s="61"/>
      <c r="I350" s="61"/>
      <c r="J350" s="61"/>
      <c r="K350" s="61"/>
      <c r="L350" s="61"/>
      <c r="M350" s="61"/>
      <c r="N350" s="61"/>
      <c r="P350" s="78" t="s">
        <v>3120</v>
      </c>
      <c r="Q350" s="210"/>
    </row>
    <row r="351" spans="2:32" ht="11.25" customHeight="1">
      <c r="B351" s="78" t="s">
        <v>2009</v>
      </c>
      <c r="C351" s="61" t="s">
        <v>3516</v>
      </c>
      <c r="E351" s="61"/>
      <c r="F351" s="61"/>
      <c r="G351" s="61"/>
      <c r="H351" s="61"/>
      <c r="I351" s="61"/>
      <c r="J351" s="61"/>
      <c r="K351" s="61"/>
      <c r="L351" s="61"/>
      <c r="M351" s="61"/>
      <c r="N351" s="61"/>
      <c r="P351" s="78" t="s">
        <v>2009</v>
      </c>
      <c r="Q351" s="210"/>
    </row>
    <row r="352" spans="2:32" ht="11.25" customHeight="1">
      <c r="B352" s="654" t="s">
        <v>2010</v>
      </c>
      <c r="C352" s="172" t="s">
        <v>3658</v>
      </c>
      <c r="E352" s="172"/>
      <c r="F352" s="172"/>
      <c r="G352" s="172"/>
      <c r="H352" s="172"/>
      <c r="I352" s="172"/>
      <c r="J352" s="172"/>
      <c r="K352" s="172"/>
      <c r="L352" s="172"/>
      <c r="M352" s="172"/>
      <c r="N352" s="172"/>
      <c r="P352" s="654" t="s">
        <v>2010</v>
      </c>
      <c r="Q352" s="210"/>
    </row>
    <row r="353" spans="1:31" ht="11.25" customHeight="1">
      <c r="B353" s="654" t="s">
        <v>104</v>
      </c>
      <c r="C353" s="61" t="s">
        <v>3517</v>
      </c>
      <c r="E353" s="61"/>
      <c r="F353" s="61"/>
      <c r="G353" s="61"/>
      <c r="H353" s="61"/>
      <c r="I353" s="61"/>
      <c r="J353" s="61"/>
      <c r="K353" s="61"/>
      <c r="L353" s="61"/>
      <c r="M353" s="61"/>
      <c r="N353" s="61"/>
      <c r="P353" s="654" t="s">
        <v>104</v>
      </c>
      <c r="Q353" s="210"/>
    </row>
    <row r="354" spans="1:31" ht="11.25" customHeight="1">
      <c r="B354" s="654" t="s">
        <v>678</v>
      </c>
      <c r="C354" s="580" t="s">
        <v>3518</v>
      </c>
      <c r="E354" s="580"/>
      <c r="F354" s="580"/>
      <c r="G354" s="580"/>
      <c r="H354" s="580"/>
      <c r="I354" s="580"/>
      <c r="J354" s="580"/>
      <c r="K354" s="580"/>
      <c r="L354" s="580"/>
      <c r="M354" s="580"/>
      <c r="N354" s="609"/>
      <c r="P354" s="654" t="s">
        <v>678</v>
      </c>
      <c r="Q354" s="210"/>
    </row>
    <row r="355" spans="1:31" ht="11.25" customHeight="1">
      <c r="B355" s="173" t="s">
        <v>2571</v>
      </c>
      <c r="D355" s="173"/>
      <c r="E355" s="173"/>
      <c r="F355" s="173"/>
      <c r="G355" s="173"/>
      <c r="H355" s="823"/>
      <c r="I355" s="162"/>
      <c r="J355" s="162"/>
      <c r="K355" s="162"/>
      <c r="L355" s="814"/>
      <c r="M355" s="814"/>
      <c r="N355" s="814"/>
      <c r="O355" s="814"/>
      <c r="P355" s="814"/>
      <c r="Q355" s="59"/>
    </row>
    <row r="356" spans="1:31" ht="11.45" customHeight="1">
      <c r="A356" s="1641"/>
      <c r="B356" s="1642"/>
      <c r="C356" s="1642"/>
      <c r="D356" s="1642"/>
      <c r="E356" s="1642"/>
      <c r="F356" s="1642"/>
      <c r="G356" s="1642"/>
      <c r="H356" s="1642"/>
      <c r="I356" s="1642"/>
      <c r="J356" s="1642"/>
      <c r="K356" s="1642"/>
      <c r="L356" s="1642"/>
      <c r="M356" s="1642"/>
      <c r="N356" s="1642"/>
      <c r="O356" s="1642"/>
      <c r="P356" s="1642"/>
      <c r="Q356" s="1643"/>
      <c r="U356" s="168"/>
      <c r="V356" s="168"/>
      <c r="W356" s="168"/>
      <c r="X356" s="168"/>
      <c r="Y356" s="168"/>
      <c r="Z356" s="168"/>
      <c r="AA356" s="168"/>
      <c r="AB356" s="168"/>
      <c r="AC356" s="168"/>
      <c r="AD356" s="168"/>
      <c r="AE356" s="656"/>
    </row>
    <row r="357" spans="1:31" ht="11.25" customHeight="1">
      <c r="B357" s="169" t="s">
        <v>2572</v>
      </c>
      <c r="C357" s="170"/>
      <c r="D357" s="818"/>
      <c r="E357" s="818"/>
      <c r="F357" s="818"/>
      <c r="G357" s="818"/>
      <c r="H357" s="818"/>
      <c r="I357" s="818"/>
      <c r="J357" s="818"/>
      <c r="K357" s="818"/>
      <c r="L357" s="818"/>
      <c r="M357" s="818"/>
      <c r="N357" s="818"/>
      <c r="O357" s="818"/>
      <c r="P357" s="818"/>
      <c r="Q357" s="818"/>
    </row>
    <row r="358" spans="1:31" ht="11.45" customHeight="1">
      <c r="A358" s="1048"/>
      <c r="B358" s="1049"/>
      <c r="C358" s="1049"/>
      <c r="D358" s="1049"/>
      <c r="E358" s="1049"/>
      <c r="F358" s="1049"/>
      <c r="G358" s="1049"/>
      <c r="H358" s="1049"/>
      <c r="I358" s="1049"/>
      <c r="J358" s="1049"/>
      <c r="K358" s="1049"/>
      <c r="L358" s="1049"/>
      <c r="M358" s="1049"/>
      <c r="N358" s="1049"/>
      <c r="O358" s="1049"/>
      <c r="P358" s="1049"/>
      <c r="Q358" s="1050"/>
    </row>
    <row r="359" spans="1:31" ht="3" customHeight="1">
      <c r="A359" s="814"/>
      <c r="B359" s="162"/>
      <c r="C359" s="818"/>
      <c r="D359" s="818"/>
      <c r="E359" s="818"/>
      <c r="F359" s="818"/>
      <c r="G359" s="818"/>
      <c r="H359" s="818"/>
      <c r="I359" s="818"/>
      <c r="J359" s="818"/>
      <c r="K359" s="818"/>
      <c r="L359" s="818"/>
      <c r="M359" s="818"/>
      <c r="Q359" s="59"/>
    </row>
    <row r="360" spans="1:31" ht="13.9" customHeight="1">
      <c r="A360" s="820">
        <v>24</v>
      </c>
      <c r="B360" s="5" t="s">
        <v>3570</v>
      </c>
      <c r="C360" s="5"/>
      <c r="D360" s="5"/>
      <c r="E360" s="5"/>
      <c r="F360" s="5"/>
      <c r="G360" s="5"/>
      <c r="H360" s="818"/>
      <c r="I360" s="818"/>
      <c r="J360" s="818"/>
      <c r="O360" s="163" t="s">
        <v>2573</v>
      </c>
      <c r="P360" s="1053"/>
      <c r="Q360" s="1054"/>
    </row>
    <row r="361" spans="1:31" ht="11.45" customHeight="1">
      <c r="B361" s="54" t="s">
        <v>2695</v>
      </c>
      <c r="C361" s="143" t="s">
        <v>1438</v>
      </c>
      <c r="E361" s="1687"/>
      <c r="F361" s="1688"/>
      <c r="G361" s="1688"/>
      <c r="H361" s="1688"/>
      <c r="I361" s="1689"/>
      <c r="J361" s="1115" t="s">
        <v>3521</v>
      </c>
      <c r="K361" s="1116"/>
      <c r="L361" s="1117"/>
      <c r="M361" s="1687"/>
      <c r="N361" s="1688"/>
      <c r="O361" s="1688"/>
      <c r="P361" s="1688"/>
      <c r="Q361" s="1689"/>
    </row>
    <row r="362" spans="1:31" ht="11.45" customHeight="1">
      <c r="B362" s="54" t="s">
        <v>2698</v>
      </c>
      <c r="C362" s="61" t="s">
        <v>2433</v>
      </c>
      <c r="D362" s="61"/>
      <c r="E362" s="61"/>
      <c r="F362" s="61"/>
      <c r="G362" s="61"/>
      <c r="H362" s="61"/>
      <c r="I362" s="61"/>
      <c r="J362" s="61"/>
      <c r="K362" s="61"/>
      <c r="L362" s="38"/>
      <c r="M362" s="38"/>
      <c r="O362" s="654" t="s">
        <v>2698</v>
      </c>
      <c r="P362" s="1637"/>
      <c r="Q362" s="210"/>
    </row>
    <row r="363" spans="1:31" ht="22.5" customHeight="1">
      <c r="B363" s="174" t="s">
        <v>1054</v>
      </c>
      <c r="C363" s="1036" t="s">
        <v>3684</v>
      </c>
      <c r="D363" s="1036"/>
      <c r="E363" s="1036"/>
      <c r="F363" s="1036"/>
      <c r="G363" s="1036"/>
      <c r="H363" s="1036"/>
      <c r="I363" s="1036"/>
      <c r="J363" s="1036"/>
      <c r="K363" s="1036"/>
      <c r="L363" s="1036"/>
      <c r="M363" s="1036"/>
      <c r="N363" s="1036"/>
      <c r="O363" s="654" t="s">
        <v>1054</v>
      </c>
      <c r="P363" s="1637"/>
      <c r="Q363" s="210"/>
    </row>
    <row r="364" spans="1:31" ht="11.45" customHeight="1">
      <c r="B364" s="54" t="s">
        <v>2831</v>
      </c>
      <c r="C364" s="61" t="s">
        <v>3556</v>
      </c>
      <c r="D364" s="61"/>
      <c r="E364" s="61"/>
      <c r="F364" s="61"/>
      <c r="G364" s="61"/>
      <c r="H364" s="61"/>
      <c r="I364" s="61"/>
      <c r="J364" s="61"/>
      <c r="K364" s="61"/>
      <c r="L364" s="61"/>
      <c r="M364" s="61"/>
      <c r="O364" s="654" t="s">
        <v>2831</v>
      </c>
      <c r="P364" s="1637"/>
      <c r="Q364" s="210"/>
    </row>
    <row r="365" spans="1:31" ht="21.75" customHeight="1">
      <c r="B365" s="174" t="s">
        <v>2428</v>
      </c>
      <c r="C365" s="1055" t="s">
        <v>551</v>
      </c>
      <c r="D365" s="1055"/>
      <c r="E365" s="1055"/>
      <c r="F365" s="1055"/>
      <c r="G365" s="1055"/>
      <c r="H365" s="1055"/>
      <c r="I365" s="1055"/>
      <c r="J365" s="1055"/>
      <c r="K365" s="1055"/>
      <c r="L365" s="1055"/>
      <c r="M365" s="1055"/>
      <c r="N365" s="1055"/>
      <c r="O365" s="199" t="s">
        <v>2428</v>
      </c>
      <c r="P365" s="1637"/>
      <c r="Q365" s="210"/>
    </row>
    <row r="366" spans="1:31" ht="21.75" customHeight="1">
      <c r="B366" s="174" t="s">
        <v>2429</v>
      </c>
      <c r="C366" s="1036" t="s">
        <v>190</v>
      </c>
      <c r="D366" s="1036"/>
      <c r="E366" s="1036"/>
      <c r="F366" s="1036"/>
      <c r="G366" s="1036"/>
      <c r="H366" s="1036"/>
      <c r="I366" s="1036"/>
      <c r="J366" s="1036"/>
      <c r="K366" s="1036"/>
      <c r="L366" s="1036"/>
      <c r="M366" s="1036"/>
      <c r="N366" s="1036"/>
      <c r="O366" s="199" t="s">
        <v>2429</v>
      </c>
      <c r="P366" s="1686"/>
      <c r="Q366" s="210"/>
    </row>
    <row r="367" spans="1:31" ht="11.45" customHeight="1">
      <c r="B367" s="54" t="s">
        <v>2658</v>
      </c>
      <c r="C367" s="38" t="s">
        <v>723</v>
      </c>
      <c r="D367" s="185"/>
      <c r="E367" s="185"/>
      <c r="F367" s="185"/>
      <c r="G367" s="185"/>
      <c r="H367" s="185"/>
      <c r="I367" s="185"/>
      <c r="J367" s="185"/>
      <c r="K367" s="185"/>
      <c r="L367" s="185"/>
      <c r="M367" s="185"/>
      <c r="O367" s="654" t="s">
        <v>2658</v>
      </c>
      <c r="P367" s="1637"/>
      <c r="Q367" s="210"/>
    </row>
    <row r="368" spans="1:31" ht="11.25" customHeight="1">
      <c r="B368" s="173" t="s">
        <v>2571</v>
      </c>
      <c r="D368" s="173"/>
      <c r="E368" s="173"/>
      <c r="F368" s="173"/>
      <c r="G368" s="173"/>
      <c r="H368" s="823"/>
      <c r="I368" s="162"/>
      <c r="J368" s="162"/>
      <c r="K368" s="162"/>
      <c r="L368" s="814"/>
      <c r="M368" s="814"/>
      <c r="N368" s="814"/>
      <c r="O368" s="814"/>
      <c r="P368" s="814"/>
      <c r="Q368" s="59"/>
    </row>
    <row r="369" spans="1:32" ht="11.45" customHeight="1">
      <c r="A369" s="1641"/>
      <c r="B369" s="1642"/>
      <c r="C369" s="1642"/>
      <c r="D369" s="1642"/>
      <c r="E369" s="1642"/>
      <c r="F369" s="1642"/>
      <c r="G369" s="1642"/>
      <c r="H369" s="1642"/>
      <c r="I369" s="1642"/>
      <c r="J369" s="1642"/>
      <c r="K369" s="1642"/>
      <c r="L369" s="1642"/>
      <c r="M369" s="1642"/>
      <c r="N369" s="1642"/>
      <c r="O369" s="1642"/>
      <c r="P369" s="1642"/>
      <c r="Q369" s="1643"/>
      <c r="U369" s="168"/>
      <c r="V369" s="168"/>
      <c r="W369" s="168"/>
      <c r="X369" s="168"/>
      <c r="Y369" s="168"/>
      <c r="Z369" s="168"/>
      <c r="AA369" s="168"/>
      <c r="AB369" s="168"/>
      <c r="AC369" s="168"/>
      <c r="AD369" s="168"/>
      <c r="AE369" s="656"/>
    </row>
    <row r="370" spans="1:32" ht="11.25" customHeight="1">
      <c r="B370" s="169" t="s">
        <v>2572</v>
      </c>
      <c r="C370" s="170"/>
      <c r="D370" s="818"/>
      <c r="E370" s="818"/>
      <c r="F370" s="818"/>
      <c r="G370" s="818"/>
      <c r="H370" s="818"/>
      <c r="I370" s="818"/>
      <c r="J370" s="818"/>
      <c r="K370" s="818"/>
      <c r="L370" s="818"/>
      <c r="M370" s="818"/>
      <c r="N370" s="818"/>
      <c r="O370" s="818"/>
      <c r="P370" s="818"/>
      <c r="Q370" s="818"/>
    </row>
    <row r="371" spans="1:32" ht="11.45" customHeight="1">
      <c r="A371" s="1048"/>
      <c r="B371" s="1049"/>
      <c r="C371" s="1049"/>
      <c r="D371" s="1049"/>
      <c r="E371" s="1049"/>
      <c r="F371" s="1049"/>
      <c r="G371" s="1049"/>
      <c r="H371" s="1049"/>
      <c r="I371" s="1049"/>
      <c r="J371" s="1049"/>
      <c r="K371" s="1049"/>
      <c r="L371" s="1049"/>
      <c r="M371" s="1049"/>
      <c r="N371" s="1049"/>
      <c r="O371" s="1049"/>
      <c r="P371" s="1049"/>
      <c r="Q371" s="1050"/>
    </row>
    <row r="372" spans="1:32" ht="3.6" customHeight="1">
      <c r="A372" s="814"/>
      <c r="B372" s="162"/>
      <c r="C372" s="818"/>
      <c r="D372" s="818"/>
      <c r="E372" s="818"/>
      <c r="F372" s="818"/>
      <c r="G372" s="818"/>
      <c r="H372" s="818"/>
      <c r="I372" s="818"/>
      <c r="J372" s="818"/>
      <c r="K372" s="818"/>
      <c r="L372" s="818"/>
      <c r="M372" s="818"/>
      <c r="Q372" s="59"/>
    </row>
    <row r="373" spans="1:32" ht="13.9" customHeight="1">
      <c r="A373" s="820">
        <v>25</v>
      </c>
      <c r="B373" s="5" t="s">
        <v>3519</v>
      </c>
      <c r="C373" s="5"/>
      <c r="D373" s="104"/>
      <c r="E373" s="818"/>
      <c r="F373" s="818"/>
      <c r="G373" s="818"/>
      <c r="H373" s="818"/>
      <c r="I373" s="818"/>
      <c r="J373" s="818"/>
      <c r="K373" s="818"/>
      <c r="L373" s="818"/>
      <c r="M373" s="818"/>
      <c r="O373" s="163" t="s">
        <v>2573</v>
      </c>
      <c r="P373" s="1053"/>
      <c r="Q373" s="1054"/>
    </row>
    <row r="374" spans="1:32" s="1" customFormat="1" ht="23.45" customHeight="1">
      <c r="B374" s="174" t="s">
        <v>2695</v>
      </c>
      <c r="C374" s="1055" t="s">
        <v>162</v>
      </c>
      <c r="D374" s="1055"/>
      <c r="E374" s="1055"/>
      <c r="F374" s="1055"/>
      <c r="G374" s="1055"/>
      <c r="H374" s="1055"/>
      <c r="I374" s="1055"/>
      <c r="J374" s="1055"/>
      <c r="K374" s="1055"/>
      <c r="L374" s="1055"/>
      <c r="M374" s="199" t="s">
        <v>2695</v>
      </c>
      <c r="N374" s="1728" t="s">
        <v>4163</v>
      </c>
      <c r="O374" s="1729"/>
      <c r="P374" s="1120" t="s">
        <v>2466</v>
      </c>
      <c r="Q374" s="1121"/>
      <c r="AE374" s="6"/>
      <c r="AF374" s="6"/>
    </row>
    <row r="375" spans="1:32" s="1" customFormat="1" ht="12" customHeight="1">
      <c r="B375" s="54" t="s">
        <v>2698</v>
      </c>
      <c r="C375" s="140" t="s">
        <v>1</v>
      </c>
      <c r="D375" s="185"/>
      <c r="E375" s="185"/>
      <c r="G375" s="654" t="s">
        <v>2698</v>
      </c>
      <c r="H375" s="1690" t="s">
        <v>4164</v>
      </c>
      <c r="I375" s="1691"/>
      <c r="J375" s="1691"/>
      <c r="K375" s="1691"/>
      <c r="L375" s="1691"/>
      <c r="M375" s="1691"/>
      <c r="N375" s="1691"/>
      <c r="O375" s="1691"/>
      <c r="P375" s="1692"/>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637" t="s">
        <v>4065</v>
      </c>
      <c r="Q376" s="210"/>
      <c r="AE376" s="6"/>
      <c r="AF376" s="6"/>
    </row>
    <row r="377" spans="1:32" ht="11.25" customHeight="1">
      <c r="B377" s="173" t="s">
        <v>2571</v>
      </c>
      <c r="D377" s="173"/>
      <c r="E377" s="173"/>
      <c r="F377" s="173"/>
      <c r="G377" s="173"/>
      <c r="H377" s="823"/>
      <c r="I377" s="162"/>
      <c r="J377" s="162"/>
      <c r="K377" s="162"/>
      <c r="L377" s="814"/>
      <c r="M377" s="814"/>
      <c r="N377" s="814"/>
      <c r="O377" s="814"/>
      <c r="P377" s="814"/>
      <c r="Q377" s="59"/>
    </row>
    <row r="378" spans="1:32" ht="11.45" customHeight="1">
      <c r="A378" s="1641"/>
      <c r="B378" s="1642"/>
      <c r="C378" s="1642"/>
      <c r="D378" s="1642"/>
      <c r="E378" s="1642"/>
      <c r="F378" s="1642"/>
      <c r="G378" s="1642"/>
      <c r="H378" s="1642"/>
      <c r="I378" s="1642"/>
      <c r="J378" s="1642"/>
      <c r="K378" s="1642"/>
      <c r="L378" s="1642"/>
      <c r="M378" s="1642"/>
      <c r="N378" s="1642"/>
      <c r="O378" s="1642"/>
      <c r="P378" s="1642"/>
      <c r="Q378" s="1643"/>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2572</v>
      </c>
      <c r="C380" s="170"/>
      <c r="D380" s="818"/>
      <c r="E380" s="818"/>
      <c r="F380" s="818"/>
      <c r="G380" s="818"/>
      <c r="H380" s="818"/>
      <c r="I380" s="818"/>
      <c r="J380" s="818"/>
      <c r="K380" s="818"/>
      <c r="L380" s="818"/>
      <c r="M380" s="818"/>
      <c r="N380" s="818"/>
      <c r="O380" s="818"/>
      <c r="P380" s="818"/>
      <c r="Q380" s="818"/>
    </row>
    <row r="381" spans="1:32" ht="11.45" customHeight="1">
      <c r="A381" s="1048"/>
      <c r="B381" s="1049"/>
      <c r="C381" s="1049"/>
      <c r="D381" s="1049"/>
      <c r="E381" s="1049"/>
      <c r="F381" s="1049"/>
      <c r="G381" s="1049"/>
      <c r="H381" s="1049"/>
      <c r="I381" s="1049"/>
      <c r="J381" s="1049"/>
      <c r="K381" s="1049"/>
      <c r="L381" s="1049"/>
      <c r="M381" s="1049"/>
      <c r="N381" s="1049"/>
      <c r="O381" s="1049"/>
      <c r="P381" s="1049"/>
      <c r="Q381" s="1050"/>
    </row>
    <row r="382" spans="1:32" ht="6" customHeight="1">
      <c r="A382" s="814"/>
      <c r="B382" s="162"/>
      <c r="C382" s="818"/>
      <c r="D382" s="818"/>
      <c r="E382" s="818"/>
      <c r="F382" s="818"/>
      <c r="G382" s="818"/>
      <c r="H382" s="818"/>
      <c r="I382" s="818"/>
      <c r="J382" s="818"/>
      <c r="K382" s="818"/>
      <c r="L382" s="818"/>
      <c r="M382" s="818"/>
      <c r="N382" s="818"/>
      <c r="O382" s="818"/>
      <c r="P382" s="818"/>
      <c r="Q382" s="814"/>
    </row>
    <row r="383" spans="1:32" ht="13.9" customHeight="1">
      <c r="A383" s="820">
        <v>26</v>
      </c>
      <c r="B383" s="5" t="s">
        <v>3505</v>
      </c>
      <c r="C383" s="5"/>
      <c r="D383" s="5"/>
      <c r="E383" s="818"/>
      <c r="G383" s="172" t="s">
        <v>890</v>
      </c>
      <c r="H383" s="818"/>
      <c r="I383" s="818"/>
      <c r="J383" s="818"/>
      <c r="K383" s="818"/>
      <c r="L383" s="818"/>
      <c r="M383" s="818"/>
      <c r="O383" s="163" t="s">
        <v>2573</v>
      </c>
      <c r="P383" s="1053"/>
      <c r="Q383" s="1083"/>
    </row>
    <row r="384" spans="1:32" ht="12" customHeight="1">
      <c r="A384" s="176"/>
      <c r="B384" s="54" t="s">
        <v>2695</v>
      </c>
      <c r="C384" s="61" t="s">
        <v>3524</v>
      </c>
      <c r="D384" s="607"/>
      <c r="E384" s="607"/>
      <c r="H384" s="172"/>
      <c r="O384" s="654" t="s">
        <v>2695</v>
      </c>
      <c r="P384" s="1637"/>
      <c r="Q384" s="210"/>
    </row>
    <row r="385" spans="1:31" ht="12" customHeight="1">
      <c r="A385" s="176"/>
      <c r="B385" s="54" t="s">
        <v>2698</v>
      </c>
      <c r="C385" s="61" t="s">
        <v>3525</v>
      </c>
      <c r="D385" s="607"/>
      <c r="E385" s="607"/>
      <c r="O385" s="654" t="s">
        <v>2698</v>
      </c>
      <c r="P385" s="1637"/>
      <c r="Q385" s="210"/>
    </row>
    <row r="386" spans="1:31" ht="12" customHeight="1">
      <c r="A386" s="176"/>
      <c r="B386" s="54" t="s">
        <v>1054</v>
      </c>
      <c r="C386" s="61" t="s">
        <v>3571</v>
      </c>
      <c r="D386" s="607"/>
      <c r="E386" s="607"/>
      <c r="O386" s="654" t="s">
        <v>1054</v>
      </c>
      <c r="P386" s="1637"/>
      <c r="Q386" s="210"/>
    </row>
    <row r="387" spans="1:31" ht="12" customHeight="1">
      <c r="A387" s="176"/>
      <c r="B387" s="54" t="s">
        <v>2831</v>
      </c>
      <c r="C387" s="61" t="s">
        <v>3520</v>
      </c>
      <c r="E387" s="172"/>
      <c r="O387" s="654" t="s">
        <v>2831</v>
      </c>
      <c r="P387" s="1637"/>
      <c r="Q387" s="210"/>
    </row>
    <row r="388" spans="1:31" ht="12" customHeight="1">
      <c r="B388" s="54" t="s">
        <v>2428</v>
      </c>
      <c r="C388" s="61" t="s">
        <v>2795</v>
      </c>
      <c r="E388" s="172"/>
      <c r="G388" s="654" t="s">
        <v>2428</v>
      </c>
      <c r="H388" s="1730"/>
      <c r="I388" s="1731"/>
      <c r="J388" s="1731"/>
      <c r="K388" s="1731"/>
      <c r="L388" s="1731"/>
      <c r="M388" s="1731"/>
      <c r="N388" s="1731"/>
      <c r="O388" s="1732"/>
      <c r="P388" s="1637"/>
      <c r="Q388" s="210"/>
    </row>
    <row r="389" spans="1:31" ht="11.25" customHeight="1">
      <c r="B389" s="173" t="s">
        <v>2571</v>
      </c>
      <c r="D389" s="173"/>
      <c r="E389" s="173"/>
      <c r="F389" s="173"/>
      <c r="G389" s="173"/>
      <c r="H389" s="823"/>
      <c r="I389" s="162"/>
      <c r="J389" s="162"/>
      <c r="K389" s="162"/>
      <c r="L389" s="814"/>
      <c r="M389" s="814"/>
      <c r="N389" s="814"/>
      <c r="O389" s="814"/>
      <c r="P389" s="814"/>
      <c r="Q389" s="59"/>
    </row>
    <row r="390" spans="1:31" ht="11.45" customHeight="1">
      <c r="A390" s="1641"/>
      <c r="B390" s="1642"/>
      <c r="C390" s="1642"/>
      <c r="D390" s="1642"/>
      <c r="E390" s="1642"/>
      <c r="F390" s="1642"/>
      <c r="G390" s="1642"/>
      <c r="H390" s="1642"/>
      <c r="I390" s="1642"/>
      <c r="J390" s="1642"/>
      <c r="K390" s="1642"/>
      <c r="L390" s="1642"/>
      <c r="M390" s="1642"/>
      <c r="N390" s="1642"/>
      <c r="O390" s="1642"/>
      <c r="P390" s="1642"/>
      <c r="Q390" s="1643"/>
      <c r="U390" s="168"/>
      <c r="V390" s="168"/>
      <c r="W390" s="168"/>
      <c r="X390" s="168"/>
      <c r="Y390" s="168"/>
      <c r="Z390" s="168"/>
      <c r="AA390" s="168"/>
      <c r="AB390" s="168"/>
      <c r="AC390" s="168"/>
      <c r="AD390" s="168"/>
      <c r="AE390" s="656"/>
    </row>
    <row r="391" spans="1:31" ht="11.25" customHeight="1">
      <c r="B391" s="169" t="s">
        <v>2572</v>
      </c>
      <c r="C391" s="170"/>
      <c r="D391" s="818"/>
      <c r="E391" s="818"/>
      <c r="F391" s="818"/>
      <c r="G391" s="818"/>
      <c r="H391" s="818"/>
      <c r="I391" s="818"/>
      <c r="J391" s="818"/>
      <c r="K391" s="818"/>
      <c r="L391" s="818"/>
      <c r="M391" s="818"/>
      <c r="N391" s="818"/>
      <c r="O391" s="818"/>
      <c r="P391" s="818"/>
      <c r="Q391" s="818"/>
    </row>
    <row r="392" spans="1:31" ht="11.45" customHeight="1">
      <c r="A392" s="1048"/>
      <c r="B392" s="1049"/>
      <c r="C392" s="1049"/>
      <c r="D392" s="1049"/>
      <c r="E392" s="1049"/>
      <c r="F392" s="1049"/>
      <c r="G392" s="1049"/>
      <c r="H392" s="1049"/>
      <c r="I392" s="1049"/>
      <c r="J392" s="1049"/>
      <c r="K392" s="1049"/>
      <c r="L392" s="1049"/>
      <c r="M392" s="1049"/>
      <c r="N392" s="1049"/>
      <c r="O392" s="1049"/>
      <c r="P392" s="1049"/>
      <c r="Q392" s="1050"/>
    </row>
    <row r="393" spans="1:31" ht="6" customHeight="1">
      <c r="A393" s="814"/>
      <c r="B393" s="162"/>
      <c r="C393" s="818"/>
      <c r="D393" s="818"/>
      <c r="E393" s="818"/>
      <c r="F393" s="818"/>
      <c r="G393" s="818"/>
      <c r="H393" s="818"/>
      <c r="I393" s="818"/>
      <c r="J393" s="818"/>
      <c r="K393" s="818"/>
      <c r="L393" s="818"/>
      <c r="M393" s="818"/>
      <c r="N393" s="818"/>
      <c r="O393" s="818"/>
      <c r="P393" s="818"/>
      <c r="Q393" s="814"/>
    </row>
    <row r="394" spans="1:31" ht="13.9" customHeight="1">
      <c r="A394" s="820">
        <v>27</v>
      </c>
      <c r="B394" s="5" t="s">
        <v>3506</v>
      </c>
      <c r="C394" s="5"/>
      <c r="D394" s="5"/>
      <c r="E394" s="5"/>
      <c r="F394" s="5"/>
      <c r="G394" s="5"/>
      <c r="H394" s="818"/>
      <c r="I394" s="818"/>
      <c r="J394" s="818"/>
      <c r="K394" s="818"/>
      <c r="L394" s="818"/>
      <c r="M394" s="818"/>
      <c r="O394" s="163" t="s">
        <v>2573</v>
      </c>
      <c r="P394" s="1053"/>
      <c r="Q394" s="1083"/>
    </row>
    <row r="395" spans="1:31" ht="12" customHeight="1">
      <c r="A395" s="49"/>
      <c r="B395" s="54" t="s">
        <v>2695</v>
      </c>
      <c r="C395" s="47" t="s">
        <v>1057</v>
      </c>
      <c r="D395" s="49"/>
      <c r="E395" s="49"/>
      <c r="F395" s="49"/>
      <c r="G395" s="49"/>
      <c r="H395" s="49"/>
      <c r="I395" s="49"/>
      <c r="J395" s="49"/>
      <c r="K395" s="49"/>
      <c r="L395" s="49"/>
      <c r="M395" s="49"/>
      <c r="N395" s="49"/>
      <c r="O395" s="654" t="s">
        <v>2695</v>
      </c>
      <c r="P395" s="1637" t="s">
        <v>4065</v>
      </c>
      <c r="Q395" s="210"/>
    </row>
    <row r="396" spans="1:31" ht="12" customHeight="1">
      <c r="A396" s="49"/>
      <c r="B396" s="54" t="s">
        <v>2698</v>
      </c>
      <c r="C396" s="47" t="s">
        <v>2922</v>
      </c>
      <c r="D396" s="49"/>
      <c r="E396" s="49"/>
      <c r="F396" s="49"/>
      <c r="G396" s="49"/>
      <c r="H396" s="49"/>
      <c r="I396" s="49"/>
      <c r="J396" s="49"/>
      <c r="K396" s="49"/>
      <c r="L396" s="49"/>
      <c r="M396" s="49"/>
      <c r="N396" s="49"/>
      <c r="O396" s="654" t="s">
        <v>1891</v>
      </c>
      <c r="P396" s="1637"/>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1637"/>
      <c r="Q398" s="210"/>
    </row>
    <row r="399" spans="1:31" ht="12" customHeight="1">
      <c r="A399" s="49"/>
      <c r="B399" s="54" t="s">
        <v>1054</v>
      </c>
      <c r="C399" s="1036" t="s">
        <v>2921</v>
      </c>
      <c r="D399" s="1036"/>
      <c r="E399" s="1036"/>
      <c r="F399" s="1036"/>
      <c r="G399" s="1036"/>
      <c r="H399" s="1036"/>
      <c r="I399" s="1036"/>
      <c r="J399" s="1036"/>
      <c r="K399" s="1036"/>
      <c r="L399" s="1036"/>
      <c r="M399" s="1036"/>
      <c r="N399" s="1036"/>
      <c r="O399" s="654" t="s">
        <v>1054</v>
      </c>
      <c r="P399" s="1637"/>
      <c r="Q399" s="210"/>
    </row>
    <row r="400" spans="1:31" ht="12" customHeight="1">
      <c r="A400" s="49"/>
      <c r="B400" s="54" t="s">
        <v>2831</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1572"/>
      <c r="H401" s="767" t="s">
        <v>266</v>
      </c>
      <c r="J401" s="166" t="s">
        <v>2927</v>
      </c>
      <c r="K401" s="38"/>
      <c r="N401" s="1572"/>
      <c r="O401" s="767" t="s">
        <v>266</v>
      </c>
    </row>
    <row r="402" spans="1:32" ht="12" customHeight="1">
      <c r="A402" s="49"/>
      <c r="B402" s="54"/>
      <c r="C402" s="166" t="s">
        <v>2925</v>
      </c>
      <c r="D402" s="44"/>
      <c r="E402" s="49"/>
      <c r="F402" s="38"/>
      <c r="G402" s="1578"/>
      <c r="H402" s="768"/>
      <c r="J402" s="166" t="s">
        <v>2928</v>
      </c>
      <c r="K402" s="38"/>
      <c r="N402" s="1584"/>
      <c r="O402" s="769"/>
    </row>
    <row r="403" spans="1:32" ht="12" customHeight="1">
      <c r="A403" s="49"/>
      <c r="B403" s="54"/>
      <c r="C403" s="166" t="s">
        <v>2926</v>
      </c>
      <c r="D403" s="44"/>
      <c r="E403" s="49"/>
      <c r="F403" s="38"/>
      <c r="G403" s="1584"/>
      <c r="H403" s="76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1694"/>
      <c r="H405" s="324"/>
      <c r="J405" s="578" t="s">
        <v>1597</v>
      </c>
      <c r="K405" s="38"/>
      <c r="N405" s="1719"/>
      <c r="O405" s="679"/>
    </row>
    <row r="406" spans="1:32" ht="12" customHeight="1">
      <c r="A406" s="49"/>
      <c r="B406" s="54"/>
      <c r="C406" s="578" t="s">
        <v>1596</v>
      </c>
      <c r="D406" s="38"/>
      <c r="E406" s="38"/>
      <c r="F406" s="38"/>
      <c r="G406" s="1696"/>
      <c r="H406" s="325"/>
      <c r="J406" s="578" t="s">
        <v>2981</v>
      </c>
      <c r="N406" s="1733"/>
      <c r="O406" s="1734"/>
      <c r="P406" s="1734"/>
      <c r="Q406" s="1735"/>
    </row>
    <row r="407" spans="1:32" ht="12" customHeight="1">
      <c r="B407" s="173" t="s">
        <v>2571</v>
      </c>
      <c r="D407" s="173"/>
      <c r="E407" s="173"/>
      <c r="F407" s="173"/>
      <c r="G407" s="173"/>
      <c r="H407" s="823"/>
      <c r="I407" s="162"/>
      <c r="J407" s="162"/>
      <c r="K407" s="162"/>
      <c r="P407" s="814"/>
      <c r="Q407" s="59"/>
    </row>
    <row r="408" spans="1:32" ht="12" customHeight="1">
      <c r="A408" s="1641"/>
      <c r="B408" s="1642"/>
      <c r="C408" s="1642"/>
      <c r="D408" s="1642"/>
      <c r="E408" s="1642"/>
      <c r="F408" s="1642"/>
      <c r="G408" s="1642"/>
      <c r="H408" s="1642"/>
      <c r="I408" s="1642"/>
      <c r="J408" s="1642"/>
      <c r="K408" s="1642"/>
      <c r="L408" s="1642"/>
      <c r="M408" s="1642"/>
      <c r="N408" s="1642"/>
      <c r="O408" s="1642"/>
      <c r="P408" s="1642"/>
      <c r="Q408" s="1643"/>
      <c r="U408" s="168"/>
      <c r="V408" s="168"/>
      <c r="W408" s="168"/>
      <c r="X408" s="168"/>
      <c r="Y408" s="168"/>
      <c r="Z408" s="168"/>
      <c r="AA408" s="168"/>
      <c r="AB408" s="168"/>
      <c r="AC408" s="168"/>
      <c r="AD408" s="168"/>
      <c r="AE408" s="656"/>
    </row>
    <row r="409" spans="1:32" ht="12" customHeight="1">
      <c r="B409" s="169" t="s">
        <v>2572</v>
      </c>
      <c r="C409" s="170"/>
      <c r="D409" s="818"/>
      <c r="E409" s="818"/>
      <c r="F409" s="818"/>
      <c r="G409" s="818"/>
      <c r="H409" s="818"/>
      <c r="I409" s="818"/>
      <c r="J409" s="818"/>
      <c r="K409" s="818"/>
      <c r="L409" s="818"/>
      <c r="M409" s="818"/>
      <c r="N409" s="818"/>
      <c r="O409" s="818"/>
      <c r="P409" s="818"/>
      <c r="Q409" s="818"/>
    </row>
    <row r="410" spans="1:32" ht="12" customHeight="1">
      <c r="A410" s="1048"/>
      <c r="B410" s="1049"/>
      <c r="C410" s="1049"/>
      <c r="D410" s="1049"/>
      <c r="E410" s="1049"/>
      <c r="F410" s="1049"/>
      <c r="G410" s="1049"/>
      <c r="H410" s="1049"/>
      <c r="I410" s="1049"/>
      <c r="J410" s="1049"/>
      <c r="K410" s="1049"/>
      <c r="L410" s="1049"/>
      <c r="M410" s="1049"/>
      <c r="N410" s="1049"/>
      <c r="O410" s="1049"/>
      <c r="P410" s="1049"/>
      <c r="Q410" s="1050"/>
    </row>
    <row r="411" spans="1:32" ht="7.15" customHeight="1">
      <c r="A411" s="814"/>
      <c r="B411" s="162"/>
      <c r="C411" s="818"/>
      <c r="D411" s="818"/>
      <c r="E411" s="818"/>
      <c r="F411" s="818"/>
      <c r="G411" s="818"/>
      <c r="H411" s="818"/>
      <c r="I411" s="818"/>
      <c r="J411" s="818"/>
      <c r="K411" s="818"/>
      <c r="L411" s="818"/>
      <c r="M411" s="818"/>
      <c r="Q411" s="59"/>
    </row>
    <row r="412" spans="1:32" ht="13.9" customHeight="1">
      <c r="A412" s="820">
        <v>28</v>
      </c>
      <c r="B412" s="5" t="s">
        <v>3507</v>
      </c>
      <c r="C412" s="5"/>
      <c r="D412" s="104"/>
      <c r="E412" s="818"/>
      <c r="F412" s="818"/>
      <c r="G412" s="818"/>
      <c r="H412" s="818"/>
      <c r="O412" s="163" t="s">
        <v>2573</v>
      </c>
      <c r="P412" s="1053"/>
      <c r="Q412" s="1054"/>
    </row>
    <row r="413" spans="1:32" s="164" customFormat="1" ht="21.75" customHeight="1">
      <c r="B413" s="174" t="s">
        <v>2695</v>
      </c>
      <c r="C413" s="1101" t="s">
        <v>3560</v>
      </c>
      <c r="D413" s="1101"/>
      <c r="E413" s="1101"/>
      <c r="F413" s="1101"/>
      <c r="G413" s="1101"/>
      <c r="H413" s="1101"/>
      <c r="I413" s="1101"/>
      <c r="J413" s="1101"/>
      <c r="K413" s="1101"/>
      <c r="L413" s="1101"/>
      <c r="M413" s="1101"/>
      <c r="N413" s="1101"/>
      <c r="O413" s="199" t="s">
        <v>2695</v>
      </c>
      <c r="P413" s="1686" t="s">
        <v>4133</v>
      </c>
      <c r="Q413" s="323"/>
      <c r="AE413" s="657"/>
      <c r="AF413" s="657"/>
    </row>
    <row r="414" spans="1:32" s="164" customFormat="1" ht="21.75" customHeight="1">
      <c r="B414" s="174" t="s">
        <v>2698</v>
      </c>
      <c r="C414" s="1101" t="s">
        <v>3561</v>
      </c>
      <c r="D414" s="1101"/>
      <c r="E414" s="1101"/>
      <c r="F414" s="1101"/>
      <c r="G414" s="1101"/>
      <c r="H414" s="1101"/>
      <c r="I414" s="1101"/>
      <c r="J414" s="1101"/>
      <c r="K414" s="1101"/>
      <c r="L414" s="1101"/>
      <c r="M414" s="1101"/>
      <c r="N414" s="1101"/>
      <c r="O414" s="199" t="s">
        <v>2698</v>
      </c>
      <c r="P414" s="1686" t="s">
        <v>4133</v>
      </c>
      <c r="Q414" s="323"/>
      <c r="AE414" s="657"/>
      <c r="AF414" s="657"/>
    </row>
    <row r="415" spans="1:32" s="164" customFormat="1" ht="21.75" customHeight="1">
      <c r="B415" s="174" t="s">
        <v>1054</v>
      </c>
      <c r="C415" s="1101" t="s">
        <v>3562</v>
      </c>
      <c r="D415" s="1101"/>
      <c r="E415" s="1101"/>
      <c r="F415" s="1101"/>
      <c r="G415" s="1101"/>
      <c r="H415" s="1101"/>
      <c r="I415" s="1101"/>
      <c r="J415" s="1101"/>
      <c r="K415" s="1101"/>
      <c r="L415" s="1101"/>
      <c r="M415" s="1101"/>
      <c r="N415" s="1101"/>
      <c r="O415" s="199" t="s">
        <v>1054</v>
      </c>
      <c r="P415" s="1686" t="s">
        <v>4133</v>
      </c>
      <c r="Q415" s="323"/>
      <c r="AE415" s="657"/>
      <c r="AF415" s="657"/>
    </row>
    <row r="416" spans="1:32" s="164" customFormat="1" ht="33.75" customHeight="1">
      <c r="B416" s="174" t="s">
        <v>2831</v>
      </c>
      <c r="C416" s="1101" t="s">
        <v>3563</v>
      </c>
      <c r="D416" s="1101"/>
      <c r="E416" s="1101"/>
      <c r="F416" s="1101"/>
      <c r="G416" s="1101"/>
      <c r="H416" s="1101"/>
      <c r="I416" s="1101"/>
      <c r="J416" s="1101"/>
      <c r="K416" s="1101"/>
      <c r="L416" s="1101"/>
      <c r="M416" s="1101"/>
      <c r="N416" s="1101"/>
      <c r="O416" s="199" t="s">
        <v>2831</v>
      </c>
      <c r="P416" s="1686" t="s">
        <v>4133</v>
      </c>
      <c r="Q416" s="323"/>
      <c r="AE416" s="657"/>
      <c r="AF416" s="657"/>
    </row>
    <row r="417" spans="1:32" s="164" customFormat="1" ht="34.5" customHeight="1">
      <c r="B417" s="174" t="s">
        <v>2428</v>
      </c>
      <c r="C417" s="1101" t="s">
        <v>3564</v>
      </c>
      <c r="D417" s="1101"/>
      <c r="E417" s="1101"/>
      <c r="F417" s="1101"/>
      <c r="G417" s="1101"/>
      <c r="H417" s="1101"/>
      <c r="I417" s="1101"/>
      <c r="J417" s="1101"/>
      <c r="K417" s="1101"/>
      <c r="L417" s="1101"/>
      <c r="M417" s="1101"/>
      <c r="N417" s="1101"/>
      <c r="O417" s="199" t="s">
        <v>2428</v>
      </c>
      <c r="P417" s="1686" t="s">
        <v>4133</v>
      </c>
      <c r="Q417" s="323"/>
      <c r="AE417" s="657"/>
      <c r="AF417" s="657"/>
    </row>
    <row r="418" spans="1:32" s="164" customFormat="1" ht="21.75" customHeight="1">
      <c r="B418" s="174" t="s">
        <v>2429</v>
      </c>
      <c r="C418" s="1101" t="s">
        <v>3565</v>
      </c>
      <c r="D418" s="1101"/>
      <c r="E418" s="1101"/>
      <c r="F418" s="1101"/>
      <c r="G418" s="1101"/>
      <c r="H418" s="1101"/>
      <c r="I418" s="1101"/>
      <c r="J418" s="1101"/>
      <c r="K418" s="1101"/>
      <c r="L418" s="1101"/>
      <c r="M418" s="1101"/>
      <c r="N418" s="1101"/>
      <c r="O418" s="199" t="s">
        <v>2429</v>
      </c>
      <c r="P418" s="1686" t="s">
        <v>4133</v>
      </c>
      <c r="Q418" s="323"/>
      <c r="AE418" s="657"/>
      <c r="AF418" s="657"/>
    </row>
    <row r="419" spans="1:32" ht="11.25" customHeight="1">
      <c r="B419" s="173" t="s">
        <v>2571</v>
      </c>
      <c r="D419" s="173"/>
      <c r="E419" s="173"/>
      <c r="F419" s="173"/>
      <c r="G419" s="173"/>
      <c r="H419" s="823"/>
      <c r="I419" s="162"/>
      <c r="J419" s="162"/>
      <c r="K419" s="162"/>
      <c r="L419" s="814"/>
      <c r="M419" s="814"/>
      <c r="N419" s="814"/>
      <c r="O419" s="814"/>
      <c r="P419" s="814"/>
      <c r="Q419" s="59"/>
    </row>
    <row r="420" spans="1:32" ht="11.45" customHeight="1">
      <c r="A420" s="1641"/>
      <c r="B420" s="1642"/>
      <c r="C420" s="1642"/>
      <c r="D420" s="1642"/>
      <c r="E420" s="1642"/>
      <c r="F420" s="1642"/>
      <c r="G420" s="1642"/>
      <c r="H420" s="1642"/>
      <c r="I420" s="1642"/>
      <c r="J420" s="1642"/>
      <c r="K420" s="1642"/>
      <c r="L420" s="1642"/>
      <c r="M420" s="1642"/>
      <c r="N420" s="1642"/>
      <c r="O420" s="1642"/>
      <c r="P420" s="1642"/>
      <c r="Q420" s="1643"/>
      <c r="R420" s="614" t="s">
        <v>1677</v>
      </c>
      <c r="S420" s="615"/>
      <c r="U420" s="168"/>
      <c r="V420" s="168"/>
      <c r="W420" s="168"/>
      <c r="X420" s="168"/>
      <c r="Y420" s="168"/>
      <c r="Z420" s="168"/>
      <c r="AA420" s="168"/>
      <c r="AB420" s="168"/>
      <c r="AC420" s="168"/>
      <c r="AD420" s="168"/>
      <c r="AE420" s="656"/>
    </row>
    <row r="421" spans="1:32" ht="11.25" customHeight="1">
      <c r="B421" s="169" t="s">
        <v>2572</v>
      </c>
      <c r="C421" s="170"/>
      <c r="D421" s="818"/>
      <c r="E421" s="818"/>
      <c r="F421" s="818"/>
      <c r="G421" s="818"/>
      <c r="H421" s="818"/>
      <c r="I421" s="818"/>
      <c r="J421" s="818"/>
      <c r="K421" s="818"/>
      <c r="L421" s="818"/>
      <c r="M421" s="818"/>
      <c r="N421" s="818"/>
      <c r="O421" s="818"/>
      <c r="P421" s="818"/>
      <c r="Q421" s="818"/>
    </row>
    <row r="422" spans="1:32" ht="11.45" customHeight="1">
      <c r="A422" s="1048"/>
      <c r="B422" s="1049"/>
      <c r="C422" s="1049"/>
      <c r="D422" s="1049"/>
      <c r="E422" s="1049"/>
      <c r="F422" s="1049"/>
      <c r="G422" s="1049"/>
      <c r="H422" s="1049"/>
      <c r="I422" s="1049"/>
      <c r="J422" s="1049"/>
      <c r="K422" s="1049"/>
      <c r="L422" s="1049"/>
      <c r="M422" s="1049"/>
      <c r="N422" s="1049"/>
      <c r="O422" s="1049"/>
      <c r="P422" s="1049"/>
      <c r="Q422" s="1050"/>
    </row>
    <row r="423" spans="1:32" ht="7.15" customHeight="1">
      <c r="A423" s="814"/>
      <c r="B423" s="162"/>
      <c r="C423" s="818"/>
      <c r="D423" s="818"/>
      <c r="E423" s="818"/>
      <c r="F423" s="818"/>
      <c r="G423" s="818"/>
      <c r="H423" s="818"/>
      <c r="I423" s="818"/>
      <c r="J423" s="818"/>
      <c r="K423" s="818"/>
      <c r="L423" s="818"/>
      <c r="M423" s="818"/>
      <c r="Q423" s="59"/>
    </row>
    <row r="424" spans="1:32" ht="13.9" customHeight="1">
      <c r="A424" s="820">
        <v>29</v>
      </c>
      <c r="B424" s="5" t="s">
        <v>3508</v>
      </c>
      <c r="C424" s="5"/>
      <c r="D424" s="104"/>
      <c r="E424" s="818"/>
      <c r="F424" s="818"/>
      <c r="G424" s="818"/>
      <c r="H424" s="818"/>
      <c r="I424" s="818"/>
      <c r="J424" s="818"/>
      <c r="K424" s="818"/>
      <c r="L424" s="818"/>
      <c r="M424" s="818"/>
      <c r="O424" s="163" t="s">
        <v>2573</v>
      </c>
      <c r="P424" s="1053"/>
      <c r="Q424" s="1054"/>
    </row>
    <row r="425" spans="1:32" ht="11.25" customHeight="1">
      <c r="A425" s="820"/>
      <c r="B425" s="173" t="s">
        <v>2571</v>
      </c>
      <c r="D425" s="173"/>
      <c r="E425" s="173"/>
      <c r="F425" s="173"/>
      <c r="G425" s="173"/>
      <c r="H425" s="823"/>
      <c r="I425" s="162"/>
      <c r="J425" s="162"/>
      <c r="K425" s="162"/>
      <c r="L425" s="814"/>
      <c r="M425" s="814"/>
      <c r="N425" s="814"/>
      <c r="O425" s="814"/>
      <c r="P425" s="814"/>
      <c r="Q425" s="59"/>
    </row>
    <row r="426" spans="1:32" ht="11.45" customHeight="1">
      <c r="A426" s="1641" t="s">
        <v>4165</v>
      </c>
      <c r="B426" s="1642"/>
      <c r="C426" s="1642"/>
      <c r="D426" s="1642"/>
      <c r="E426" s="1642"/>
      <c r="F426" s="1642"/>
      <c r="G426" s="1642"/>
      <c r="H426" s="1642"/>
      <c r="I426" s="1642"/>
      <c r="J426" s="1642"/>
      <c r="K426" s="1642"/>
      <c r="L426" s="1642"/>
      <c r="M426" s="1642"/>
      <c r="N426" s="1642"/>
      <c r="O426" s="1642"/>
      <c r="P426" s="1642"/>
      <c r="Q426" s="1643"/>
      <c r="R426" s="614" t="s">
        <v>1677</v>
      </c>
      <c r="S426" s="615"/>
      <c r="U426" s="168"/>
      <c r="V426" s="168"/>
      <c r="W426" s="168"/>
      <c r="X426" s="168"/>
      <c r="Y426" s="168"/>
      <c r="Z426" s="168"/>
      <c r="AA426" s="168"/>
      <c r="AB426" s="168"/>
      <c r="AC426" s="168"/>
      <c r="AD426" s="168"/>
      <c r="AE426" s="656"/>
    </row>
    <row r="427" spans="1:32" ht="11.25" customHeight="1">
      <c r="B427" s="169" t="s">
        <v>2572</v>
      </c>
      <c r="C427" s="170"/>
      <c r="D427" s="818"/>
      <c r="E427" s="818"/>
      <c r="F427" s="818"/>
      <c r="G427" s="818"/>
      <c r="H427" s="818"/>
      <c r="I427" s="818"/>
      <c r="J427" s="818"/>
      <c r="K427" s="818"/>
      <c r="L427" s="818"/>
      <c r="M427" s="818"/>
      <c r="N427" s="818"/>
      <c r="O427" s="818"/>
      <c r="P427" s="818"/>
      <c r="Q427" s="818"/>
    </row>
    <row r="428" spans="1:32" ht="21.75" customHeight="1">
      <c r="A428" s="1048"/>
      <c r="B428" s="1049"/>
      <c r="C428" s="1049"/>
      <c r="D428" s="1049"/>
      <c r="E428" s="1049"/>
      <c r="F428" s="1049"/>
      <c r="G428" s="1049"/>
      <c r="H428" s="1049"/>
      <c r="I428" s="1049"/>
      <c r="J428" s="1049"/>
      <c r="K428" s="1049"/>
      <c r="L428" s="1049"/>
      <c r="M428" s="1049"/>
      <c r="N428" s="1049"/>
      <c r="O428" s="1049"/>
      <c r="P428" s="1049"/>
      <c r="Q428" s="1050"/>
    </row>
    <row r="429" spans="1:32" ht="3" customHeight="1">
      <c r="A429" s="814"/>
      <c r="B429" s="162"/>
      <c r="C429" s="818"/>
      <c r="D429" s="818"/>
      <c r="E429" s="818"/>
      <c r="F429" s="818"/>
      <c r="G429" s="818"/>
      <c r="H429" s="818"/>
      <c r="I429" s="818"/>
      <c r="J429" s="818"/>
      <c r="K429" s="818"/>
      <c r="L429" s="818"/>
      <c r="M429" s="818"/>
      <c r="N429" s="818"/>
      <c r="O429" s="818"/>
      <c r="P429" s="818"/>
      <c r="Q429" s="814"/>
    </row>
    <row r="430" spans="1:32" s="181" customFormat="1" ht="8.4499999999999993" customHeight="1">
      <c r="A430" s="814"/>
      <c r="B430" s="162"/>
      <c r="C430" s="818"/>
      <c r="D430" s="818"/>
      <c r="E430" s="818"/>
      <c r="F430" s="818"/>
      <c r="G430" s="818"/>
      <c r="H430" s="818"/>
      <c r="I430" s="818"/>
      <c r="J430" s="818"/>
      <c r="K430" s="818"/>
      <c r="L430" s="818"/>
      <c r="M430" s="818"/>
      <c r="AE430" s="658"/>
      <c r="AF430" s="658"/>
    </row>
    <row r="431" spans="1:32" s="181" customFormat="1" ht="3" customHeight="1">
      <c r="A431" s="814"/>
      <c r="B431" s="162"/>
      <c r="C431" s="818"/>
      <c r="D431" s="818"/>
      <c r="E431" s="818"/>
      <c r="F431" s="818"/>
      <c r="G431" s="818"/>
      <c r="H431" s="818"/>
      <c r="I431" s="818"/>
      <c r="J431" s="818"/>
      <c r="K431" s="818"/>
      <c r="L431" s="818"/>
      <c r="M431" s="818"/>
      <c r="N431" s="818"/>
      <c r="O431" s="818"/>
      <c r="P431" s="818"/>
      <c r="Q431" s="814"/>
      <c r="AE431" s="658"/>
      <c r="AF431" s="658"/>
    </row>
    <row r="432" spans="1:32" s="181" customFormat="1" ht="12" customHeight="1">
      <c r="A432" s="1736"/>
      <c r="B432" s="1736"/>
      <c r="C432" s="1736"/>
      <c r="D432" s="1736"/>
      <c r="E432" s="1736"/>
      <c r="F432" s="1736"/>
      <c r="G432" s="1736"/>
      <c r="H432" s="1736"/>
      <c r="I432" s="1736"/>
      <c r="J432" s="1736"/>
      <c r="K432" s="1736"/>
      <c r="L432" s="1736"/>
      <c r="M432" s="1736"/>
      <c r="N432" s="1736"/>
      <c r="O432" s="1736"/>
      <c r="P432" s="1736"/>
      <c r="Q432" s="1736"/>
      <c r="AE432" s="658"/>
      <c r="AF432" s="658"/>
    </row>
    <row r="433" spans="1:32" s="181" customFormat="1" ht="12" customHeight="1">
      <c r="A433" s="1736"/>
      <c r="B433" s="1736"/>
      <c r="C433" s="1736"/>
      <c r="D433" s="1736"/>
      <c r="E433" s="1736"/>
      <c r="F433" s="1736"/>
      <c r="G433" s="1736"/>
      <c r="H433" s="1736"/>
      <c r="I433" s="1736"/>
      <c r="J433" s="1736"/>
      <c r="K433" s="1736"/>
      <c r="L433" s="1736"/>
      <c r="M433" s="1736"/>
      <c r="N433" s="1736"/>
      <c r="O433" s="1736"/>
      <c r="P433" s="1736"/>
      <c r="Q433" s="1736"/>
      <c r="AE433" s="658"/>
      <c r="AF433" s="658"/>
    </row>
    <row r="434" spans="1:32" s="181" customFormat="1" ht="12" customHeight="1">
      <c r="A434" s="1736"/>
      <c r="B434" s="1736"/>
      <c r="C434" s="1736"/>
      <c r="D434" s="1736"/>
      <c r="E434" s="1736"/>
      <c r="F434" s="1736"/>
      <c r="G434" s="1736"/>
      <c r="H434" s="1736"/>
      <c r="I434" s="1736"/>
      <c r="J434" s="1736"/>
      <c r="K434" s="1736"/>
      <c r="L434" s="1736"/>
      <c r="M434" s="1736"/>
      <c r="N434" s="1736"/>
      <c r="O434" s="1736"/>
      <c r="P434" s="1736"/>
      <c r="Q434" s="1736"/>
      <c r="AE434" s="658"/>
      <c r="AF434" s="658"/>
    </row>
    <row r="435" spans="1:32" s="181" customFormat="1" ht="12" customHeight="1">
      <c r="A435" s="1736"/>
      <c r="B435" s="1736"/>
      <c r="C435" s="1736"/>
      <c r="D435" s="1736"/>
      <c r="E435" s="1736"/>
      <c r="F435" s="1736"/>
      <c r="G435" s="1736"/>
      <c r="H435" s="1736"/>
      <c r="I435" s="1736"/>
      <c r="J435" s="1736"/>
      <c r="K435" s="1736"/>
      <c r="L435" s="1736"/>
      <c r="M435" s="1736"/>
      <c r="N435" s="1736"/>
      <c r="O435" s="1736"/>
      <c r="P435" s="1736"/>
      <c r="Q435" s="1736"/>
      <c r="AE435" s="658"/>
      <c r="AF435" s="658"/>
    </row>
    <row r="436" spans="1:32" s="181" customFormat="1" ht="12" customHeight="1">
      <c r="A436" s="1736"/>
      <c r="B436" s="1736"/>
      <c r="C436" s="1736"/>
      <c r="D436" s="1736"/>
      <c r="E436" s="1736"/>
      <c r="F436" s="1736"/>
      <c r="G436" s="1736"/>
      <c r="H436" s="1736"/>
      <c r="I436" s="1736"/>
      <c r="J436" s="1736"/>
      <c r="K436" s="1736"/>
      <c r="L436" s="1736"/>
      <c r="M436" s="1736"/>
      <c r="N436" s="1736"/>
      <c r="O436" s="1736"/>
      <c r="P436" s="1736"/>
      <c r="Q436" s="1736"/>
      <c r="AE436" s="658"/>
      <c r="AF436" s="658"/>
    </row>
    <row r="437" spans="1:32" s="181" customFormat="1" ht="12" customHeight="1">
      <c r="A437" s="1736"/>
      <c r="B437" s="1736"/>
      <c r="C437" s="1736"/>
      <c r="D437" s="1736"/>
      <c r="E437" s="1736"/>
      <c r="F437" s="1736"/>
      <c r="G437" s="1736"/>
      <c r="H437" s="1736"/>
      <c r="I437" s="1736"/>
      <c r="J437" s="1736"/>
      <c r="K437" s="1736"/>
      <c r="L437" s="1736"/>
      <c r="M437" s="1736"/>
      <c r="N437" s="1736"/>
      <c r="O437" s="1736"/>
      <c r="P437" s="1736"/>
      <c r="Q437" s="1736"/>
      <c r="AE437" s="658"/>
      <c r="AF437" s="658"/>
    </row>
    <row r="438" spans="1:32" s="181" customFormat="1" ht="12" customHeight="1">
      <c r="A438" s="1736"/>
      <c r="B438" s="1736"/>
      <c r="C438" s="1736"/>
      <c r="D438" s="1736"/>
      <c r="E438" s="1736"/>
      <c r="F438" s="1736"/>
      <c r="G438" s="1736"/>
      <c r="H438" s="1736"/>
      <c r="I438" s="1736"/>
      <c r="J438" s="1736"/>
      <c r="K438" s="1736"/>
      <c r="L438" s="1736"/>
      <c r="M438" s="1736"/>
      <c r="N438" s="1736"/>
      <c r="O438" s="1736"/>
      <c r="P438" s="1736"/>
      <c r="Q438" s="1736"/>
      <c r="AE438" s="658"/>
      <c r="AF438" s="658"/>
    </row>
    <row r="439" spans="1:32" s="181" customFormat="1" ht="12" customHeight="1">
      <c r="A439" s="1736"/>
      <c r="B439" s="1736"/>
      <c r="C439" s="1736"/>
      <c r="D439" s="1736"/>
      <c r="E439" s="1736"/>
      <c r="F439" s="1736"/>
      <c r="G439" s="1736"/>
      <c r="H439" s="1736"/>
      <c r="I439" s="1736"/>
      <c r="J439" s="1736"/>
      <c r="K439" s="1736"/>
      <c r="L439" s="1736"/>
      <c r="M439" s="1736"/>
      <c r="N439" s="1736"/>
      <c r="O439" s="1736"/>
      <c r="P439" s="1736"/>
      <c r="Q439" s="1736"/>
      <c r="AE439" s="658"/>
      <c r="AF439" s="658"/>
    </row>
    <row r="440" spans="1:32" s="181" customFormat="1" ht="12" customHeight="1">
      <c r="A440" s="1736"/>
      <c r="B440" s="1736"/>
      <c r="C440" s="1736"/>
      <c r="D440" s="1736"/>
      <c r="E440" s="1736"/>
      <c r="F440" s="1736"/>
      <c r="G440" s="1736"/>
      <c r="H440" s="1736"/>
      <c r="I440" s="1736"/>
      <c r="J440" s="1736"/>
      <c r="K440" s="1736"/>
      <c r="L440" s="1736"/>
      <c r="M440" s="1736"/>
      <c r="N440" s="1736"/>
      <c r="O440" s="1736"/>
      <c r="P440" s="1736"/>
      <c r="Q440" s="1736"/>
      <c r="AE440" s="658"/>
      <c r="AF440" s="658"/>
    </row>
    <row r="441" spans="1:32" s="181" customFormat="1" ht="12" customHeight="1">
      <c r="A441" s="1736"/>
      <c r="B441" s="1736"/>
      <c r="C441" s="1736"/>
      <c r="D441" s="1736"/>
      <c r="E441" s="1736"/>
      <c r="F441" s="1736"/>
      <c r="G441" s="1736"/>
      <c r="H441" s="1736"/>
      <c r="I441" s="1736"/>
      <c r="J441" s="1736"/>
      <c r="K441" s="1736"/>
      <c r="L441" s="1736"/>
      <c r="M441" s="1736"/>
      <c r="N441" s="1736"/>
      <c r="O441" s="1736"/>
      <c r="P441" s="1736"/>
      <c r="Q441" s="1736"/>
      <c r="AE441" s="658"/>
      <c r="AF441" s="658"/>
    </row>
    <row r="442" spans="1:32" s="181" customFormat="1" ht="12" customHeight="1">
      <c r="A442" s="1736"/>
      <c r="B442" s="1736"/>
      <c r="C442" s="1736"/>
      <c r="D442" s="1736"/>
      <c r="E442" s="1736"/>
      <c r="F442" s="1736"/>
      <c r="G442" s="1736"/>
      <c r="H442" s="1736"/>
      <c r="I442" s="1736"/>
      <c r="J442" s="1736"/>
      <c r="K442" s="1736"/>
      <c r="L442" s="1736"/>
      <c r="M442" s="1736"/>
      <c r="N442" s="1736"/>
      <c r="O442" s="1736"/>
      <c r="P442" s="1736"/>
      <c r="Q442" s="1736"/>
      <c r="AE442" s="658"/>
      <c r="AF442" s="658"/>
    </row>
    <row r="443" spans="1:32" s="181" customFormat="1" ht="12" customHeight="1">
      <c r="A443" s="1736"/>
      <c r="B443" s="1736"/>
      <c r="C443" s="1736"/>
      <c r="D443" s="1736"/>
      <c r="E443" s="1736"/>
      <c r="F443" s="1736"/>
      <c r="G443" s="1736"/>
      <c r="H443" s="1736"/>
      <c r="I443" s="1736"/>
      <c r="J443" s="1736"/>
      <c r="K443" s="1736"/>
      <c r="L443" s="1736"/>
      <c r="M443" s="1736"/>
      <c r="N443" s="1736"/>
      <c r="O443" s="1736"/>
      <c r="P443" s="1736"/>
      <c r="Q443" s="1736"/>
      <c r="AE443" s="658"/>
      <c r="AF443" s="658"/>
    </row>
    <row r="444" spans="1:32" s="181" customFormat="1" ht="12" customHeight="1">
      <c r="A444" s="1736"/>
      <c r="B444" s="1736"/>
      <c r="C444" s="1736"/>
      <c r="D444" s="1736"/>
      <c r="E444" s="1736"/>
      <c r="F444" s="1736"/>
      <c r="G444" s="1736"/>
      <c r="H444" s="1736"/>
      <c r="I444" s="1736"/>
      <c r="J444" s="1736"/>
      <c r="K444" s="1736"/>
      <c r="L444" s="1736"/>
      <c r="M444" s="1736"/>
      <c r="N444" s="1736"/>
      <c r="O444" s="1736"/>
      <c r="P444" s="1736"/>
      <c r="Q444" s="1736"/>
      <c r="AE444" s="658"/>
      <c r="AF444" s="658"/>
    </row>
    <row r="445" spans="1:32" s="181" customFormat="1" ht="12" customHeight="1">
      <c r="A445" s="1737"/>
      <c r="B445" s="1737"/>
      <c r="C445" s="1737"/>
      <c r="D445" s="1737"/>
      <c r="E445" s="1737"/>
      <c r="F445" s="1737"/>
      <c r="G445" s="1737"/>
      <c r="H445" s="1737"/>
      <c r="I445" s="1737"/>
      <c r="J445" s="1737"/>
      <c r="K445" s="1737"/>
      <c r="L445" s="1737"/>
      <c r="M445" s="1737"/>
      <c r="N445" s="1736"/>
      <c r="O445" s="1736"/>
      <c r="P445" s="1736"/>
      <c r="Q445" s="1736"/>
      <c r="AE445" s="658"/>
      <c r="AF445" s="658"/>
    </row>
    <row r="446" spans="1:32" s="181" customFormat="1" ht="12" customHeight="1">
      <c r="A446" s="1737"/>
      <c r="B446" s="1737"/>
      <c r="C446" s="1737"/>
      <c r="D446" s="1737"/>
      <c r="E446" s="1737"/>
      <c r="F446" s="1737"/>
      <c r="G446" s="1737"/>
      <c r="H446" s="1737"/>
      <c r="I446" s="1737"/>
      <c r="J446" s="1737"/>
      <c r="K446" s="1737"/>
      <c r="L446" s="1737"/>
      <c r="M446" s="1737"/>
      <c r="N446" s="1736"/>
      <c r="O446" s="1736"/>
      <c r="P446" s="1736"/>
      <c r="Q446" s="1736"/>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10"/>
      <c r="P448" s="81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2805</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2806</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2807</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2808</v>
      </c>
      <c r="D454" s="710"/>
      <c r="E454" s="710"/>
      <c r="F454" s="710"/>
      <c r="G454" s="710"/>
      <c r="H454" s="710"/>
      <c r="I454" s="710"/>
      <c r="J454" s="713" t="s">
        <v>2820</v>
      </c>
      <c r="K454" s="710"/>
      <c r="L454" s="709"/>
      <c r="M454" s="709"/>
      <c r="N454" s="585"/>
      <c r="O454" s="610"/>
      <c r="P454" s="610"/>
      <c r="AE454" s="601"/>
      <c r="AF454" s="601"/>
    </row>
    <row r="455" spans="1:32" s="578" customFormat="1" ht="11.25">
      <c r="A455" s="709"/>
      <c r="B455" s="709"/>
      <c r="C455" s="712" t="s">
        <v>2809</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2821</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2849</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2844</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2845</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2846</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2847</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2848</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2819</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2805</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2806</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2724</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2584</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2873</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2589</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3526</v>
      </c>
      <c r="D506" s="710"/>
      <c r="E506" s="710"/>
      <c r="F506" s="710"/>
      <c r="G506" s="710"/>
      <c r="H506" s="710"/>
      <c r="I506" s="710"/>
      <c r="J506" s="710"/>
      <c r="K506" s="710"/>
      <c r="L506" s="710"/>
      <c r="M506" s="710"/>
      <c r="AE506" s="551"/>
      <c r="AF506" s="551"/>
    </row>
    <row r="507" spans="1:32" s="64" customFormat="1" ht="11.25">
      <c r="A507" s="710"/>
      <c r="B507" s="710"/>
      <c r="C507" s="714" t="s">
        <v>2723</v>
      </c>
      <c r="D507" s="710"/>
      <c r="E507" s="710"/>
      <c r="F507" s="710"/>
      <c r="G507" s="710"/>
      <c r="H507" s="710"/>
      <c r="I507" s="710"/>
      <c r="J507" s="710"/>
      <c r="K507" s="710"/>
      <c r="L507" s="714"/>
      <c r="M507" s="710"/>
      <c r="AE507" s="551"/>
      <c r="AF507" s="551"/>
    </row>
    <row r="508" spans="1:32" s="64" customFormat="1" ht="11.25">
      <c r="A508" s="710"/>
      <c r="B508" s="710"/>
      <c r="C508" s="623" t="s">
        <v>3527</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3528</v>
      </c>
      <c r="D511" s="710"/>
      <c r="E511" s="710"/>
      <c r="F511" s="710"/>
      <c r="G511" s="710"/>
      <c r="H511" s="710"/>
      <c r="I511" s="710"/>
      <c r="J511" s="710"/>
      <c r="K511" s="710" t="s">
        <v>1491</v>
      </c>
      <c r="L511" s="714"/>
      <c r="M511" s="710"/>
      <c r="AE511" s="551"/>
      <c r="AF511" s="551"/>
    </row>
    <row r="512" spans="1:32" s="64" customFormat="1" ht="11.25">
      <c r="A512" s="710"/>
      <c r="B512" s="710"/>
      <c r="C512" s="623" t="s">
        <v>3529</v>
      </c>
      <c r="D512" s="710"/>
      <c r="E512" s="710"/>
      <c r="F512" s="710"/>
      <c r="G512" s="710"/>
      <c r="H512" s="710"/>
      <c r="I512" s="710"/>
      <c r="J512" s="710"/>
      <c r="K512" s="710" t="s">
        <v>3484</v>
      </c>
      <c r="L512" s="710"/>
      <c r="M512" s="710"/>
      <c r="AE512" s="551"/>
      <c r="AF512" s="551"/>
    </row>
    <row r="513" spans="1:32" s="64" customFormat="1" ht="11.25">
      <c r="A513" s="710"/>
      <c r="B513" s="710"/>
      <c r="C513" s="714" t="s">
        <v>1625</v>
      </c>
      <c r="D513" s="710"/>
      <c r="E513" s="710"/>
      <c r="F513" s="710"/>
      <c r="G513" s="710"/>
      <c r="H513" s="710"/>
      <c r="I513" s="710"/>
      <c r="J513" s="710"/>
      <c r="K513" s="710" t="s">
        <v>3485</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2834</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3683</v>
      </c>
      <c r="L520" s="710"/>
      <c r="M520" s="710"/>
      <c r="AE520" s="551"/>
      <c r="AF520" s="551"/>
    </row>
    <row r="521" spans="1:32" s="64" customFormat="1" ht="11.25">
      <c r="A521" s="710"/>
      <c r="B521" s="710"/>
      <c r="C521" s="710"/>
      <c r="D521" s="710"/>
      <c r="E521" s="710"/>
      <c r="F521" s="710"/>
      <c r="G521" s="710"/>
      <c r="H521" s="710"/>
      <c r="I521" s="710"/>
      <c r="J521" s="710"/>
      <c r="K521" s="717" t="s">
        <v>2659</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2805</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2806</v>
      </c>
      <c r="D532" s="710"/>
      <c r="E532" s="710"/>
      <c r="F532" s="710"/>
      <c r="G532" s="710"/>
      <c r="H532" s="710"/>
      <c r="I532" s="710"/>
      <c r="J532" s="710"/>
      <c r="K532" s="710" t="s">
        <v>3287</v>
      </c>
      <c r="L532" s="710"/>
      <c r="M532" s="710"/>
      <c r="AE532" s="551"/>
      <c r="AF532" s="551"/>
    </row>
    <row r="533" spans="1:32" s="64" customFormat="1" ht="11.25">
      <c r="A533" s="710"/>
      <c r="B533" s="710"/>
      <c r="C533" s="710" t="s">
        <v>2660</v>
      </c>
      <c r="D533" s="710"/>
      <c r="E533" s="710"/>
      <c r="F533" s="710"/>
      <c r="G533" s="710"/>
      <c r="H533" s="710"/>
      <c r="I533" s="710"/>
      <c r="J533" s="710"/>
      <c r="K533" s="710" t="s">
        <v>2669</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2583</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2584</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2751</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23"/>
      <c r="H708" s="823"/>
      <c r="I708" s="823"/>
      <c r="J708" s="823"/>
      <c r="K708" s="82"/>
      <c r="L708" s="82"/>
      <c r="M708" s="82"/>
      <c r="N708" s="43"/>
      <c r="O708" s="823"/>
      <c r="P708" s="823"/>
      <c r="Q708" s="82"/>
      <c r="AE708" s="57"/>
      <c r="AF708" s="57"/>
    </row>
    <row r="709" spans="1:32" s="49" customFormat="1" ht="11.25" customHeight="1">
      <c r="A709" s="823"/>
      <c r="B709" s="823"/>
      <c r="C709" s="823"/>
      <c r="D709" s="43"/>
      <c r="E709" s="43"/>
      <c r="F709" s="43"/>
      <c r="G709" s="823"/>
      <c r="H709" s="823"/>
      <c r="I709" s="823"/>
      <c r="J709" s="823"/>
      <c r="K709" s="823"/>
      <c r="L709" s="823"/>
      <c r="M709" s="823"/>
      <c r="N709" s="43"/>
      <c r="O709" s="823"/>
      <c r="P709" s="823"/>
      <c r="Q709" s="823"/>
      <c r="AE709" s="57"/>
      <c r="AF709" s="57"/>
    </row>
    <row r="710" spans="1:32" s="49" customFormat="1" ht="11.25" customHeight="1">
      <c r="A710" s="823"/>
      <c r="B710" s="823"/>
      <c r="C710" s="823"/>
      <c r="D710" s="43"/>
      <c r="E710" s="43"/>
      <c r="F710" s="43"/>
      <c r="G710" s="823"/>
      <c r="H710" s="823"/>
      <c r="I710" s="823"/>
      <c r="J710" s="823"/>
      <c r="K710" s="823"/>
      <c r="L710" s="823"/>
      <c r="M710" s="823"/>
      <c r="N710" s="43"/>
      <c r="O710" s="823"/>
      <c r="P710" s="823"/>
      <c r="Q710" s="823"/>
      <c r="AE710" s="57"/>
      <c r="AF710" s="57"/>
    </row>
    <row r="711" spans="1:32" s="49" customFormat="1" ht="11.25" customHeight="1">
      <c r="A711" s="823"/>
      <c r="B711" s="823"/>
      <c r="C711" s="823"/>
      <c r="D711" s="43"/>
      <c r="E711" s="43"/>
      <c r="F711" s="43"/>
      <c r="G711" s="823"/>
      <c r="H711" s="823"/>
      <c r="I711" s="823"/>
      <c r="J711" s="823"/>
      <c r="K711" s="823"/>
      <c r="L711" s="823"/>
      <c r="M711" s="823"/>
      <c r="N711" s="43"/>
      <c r="O711" s="823"/>
      <c r="P711" s="823"/>
      <c r="Q711" s="823"/>
      <c r="AE711" s="57"/>
      <c r="AF711" s="57"/>
    </row>
    <row r="712" spans="1:32" s="49" customFormat="1" ht="11.25" customHeight="1">
      <c r="A712" s="823"/>
      <c r="B712" s="823"/>
      <c r="C712" s="823"/>
      <c r="D712" s="43"/>
      <c r="E712" s="43"/>
      <c r="F712" s="43"/>
      <c r="G712" s="43"/>
      <c r="H712" s="43"/>
      <c r="I712" s="823"/>
      <c r="J712" s="823"/>
      <c r="K712" s="823"/>
      <c r="L712" s="823"/>
      <c r="M712" s="823"/>
      <c r="N712" s="43"/>
      <c r="O712" s="823"/>
      <c r="P712" s="43"/>
      <c r="Q712" s="823"/>
      <c r="AE712" s="57"/>
      <c r="AF712" s="57"/>
    </row>
    <row r="713" spans="1:32">
      <c r="A713" s="823"/>
      <c r="B713" s="823"/>
      <c r="C713" s="823"/>
      <c r="K713" s="823"/>
      <c r="L713" s="823"/>
      <c r="M713" s="823"/>
      <c r="Q713" s="82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1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36" t="str">
        <f>CONCATENATE("PART NINE - SCORING CRITERIA","  -  ",'Part I-Project Information'!$O$4," ",'Part I-Project Information'!$F$23,", ",'Part I-Project Information'!F26,", ",'Part I-Project Information'!J27," County")</f>
        <v>PART NINE - SCORING CRITERIA  -  2013-019 BTW-Chapman Phase I, Columbus, Muscogee County</v>
      </c>
      <c r="B1" s="937"/>
      <c r="C1" s="937"/>
      <c r="D1" s="937"/>
      <c r="E1" s="937"/>
      <c r="F1" s="937"/>
      <c r="G1" s="937"/>
      <c r="H1" s="937"/>
      <c r="I1" s="937"/>
      <c r="J1" s="937"/>
      <c r="K1" s="937"/>
      <c r="L1" s="937"/>
      <c r="M1" s="937"/>
      <c r="N1" s="937"/>
      <c r="O1" s="937"/>
      <c r="P1" s="93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65</v>
      </c>
      <c r="P6" s="76">
        <f>P288</f>
        <v>14</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2699</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2695</v>
      </c>
      <c r="B10" s="213" t="s">
        <v>2574</v>
      </c>
      <c r="D10" s="55"/>
      <c r="E10" s="55"/>
      <c r="F10" s="669" t="s">
        <v>3381</v>
      </c>
      <c r="G10" s="38">
        <f>F16</f>
        <v>0</v>
      </c>
      <c r="H10" s="221" t="s">
        <v>274</v>
      </c>
      <c r="M10" s="7"/>
      <c r="N10" s="77" t="s">
        <v>2695</v>
      </c>
      <c r="O10" s="1738"/>
      <c r="P10" s="65"/>
    </row>
    <row r="11" spans="1:19" s="50" customFormat="1" ht="11.25" customHeight="1">
      <c r="A11" s="230"/>
      <c r="B11" s="131" t="s">
        <v>2829</v>
      </c>
      <c r="D11" s="55"/>
      <c r="E11" s="55"/>
      <c r="F11" s="669" t="s">
        <v>3381</v>
      </c>
      <c r="G11" s="38">
        <f>P16</f>
        <v>0</v>
      </c>
      <c r="H11" s="221" t="s">
        <v>3965</v>
      </c>
      <c r="J11" s="56"/>
      <c r="M11" s="7">
        <v>1</v>
      </c>
      <c r="N11" s="77"/>
      <c r="O11" s="1738"/>
      <c r="P11" s="65"/>
    </row>
    <row r="12" spans="1:19" s="49" customFormat="1" ht="11.25" customHeight="1">
      <c r="A12" s="230" t="s">
        <v>2698</v>
      </c>
      <c r="B12" s="213" t="s">
        <v>1031</v>
      </c>
      <c r="D12" s="55"/>
      <c r="E12" s="55"/>
      <c r="F12" s="669" t="s">
        <v>3381</v>
      </c>
      <c r="G12" s="38">
        <f>K16</f>
        <v>0</v>
      </c>
      <c r="H12" s="221" t="s">
        <v>3685</v>
      </c>
      <c r="J12" s="56"/>
      <c r="M12" s="7"/>
      <c r="N12" s="77" t="s">
        <v>2698</v>
      </c>
      <c r="O12" s="1738"/>
      <c r="P12" s="65"/>
      <c r="Q12" s="130"/>
    </row>
    <row r="13" spans="1:19" s="49" customFormat="1" ht="11.25" customHeight="1">
      <c r="A13" s="56" t="s">
        <v>281</v>
      </c>
      <c r="D13" s="55"/>
      <c r="E13" s="55"/>
      <c r="F13" s="55"/>
      <c r="G13" s="55"/>
      <c r="H13" s="44"/>
      <c r="I13" s="44"/>
      <c r="J13" s="44"/>
      <c r="K13" s="44"/>
      <c r="L13" s="50"/>
      <c r="M13" s="53"/>
      <c r="N13" s="73"/>
      <c r="O13" s="4"/>
      <c r="P13" s="817"/>
    </row>
    <row r="14" spans="1:19" s="49" customFormat="1" ht="12.6" customHeight="1">
      <c r="A14" s="1641"/>
      <c r="B14" s="1642"/>
      <c r="C14" s="1642"/>
      <c r="D14" s="1642"/>
      <c r="E14" s="1642"/>
      <c r="F14" s="1642"/>
      <c r="G14" s="1642"/>
      <c r="H14" s="1642"/>
      <c r="I14" s="1642"/>
      <c r="J14" s="1642"/>
      <c r="K14" s="1642"/>
      <c r="L14" s="1642"/>
      <c r="M14" s="1642"/>
      <c r="N14" s="1642"/>
      <c r="O14" s="1642"/>
      <c r="P14" s="1643"/>
      <c r="Q14" s="614" t="s">
        <v>1677</v>
      </c>
      <c r="R14" s="615"/>
    </row>
    <row r="15" spans="1:19" s="49" customFormat="1" ht="10.9" customHeight="1">
      <c r="A15" s="79" t="s">
        <v>2572</v>
      </c>
      <c r="C15" s="115"/>
      <c r="D15" s="115"/>
      <c r="F15" s="162" t="s">
        <v>2406</v>
      </c>
      <c r="K15" s="162" t="s">
        <v>2406</v>
      </c>
      <c r="P15" s="654" t="s">
        <v>2406</v>
      </c>
      <c r="R15" s="616"/>
      <c r="S15" s="195"/>
    </row>
    <row r="16" spans="1:19" s="49" customFormat="1" ht="12" customHeight="1">
      <c r="A16" s="1154" t="s">
        <v>3164</v>
      </c>
      <c r="B16" s="1154"/>
      <c r="C16" s="1154"/>
      <c r="D16" s="1154"/>
      <c r="E16" s="78" t="s">
        <v>675</v>
      </c>
      <c r="F16" s="92">
        <f>SUM(F17:F28)</f>
        <v>0</v>
      </c>
      <c r="G16" s="1155" t="s">
        <v>3165</v>
      </c>
      <c r="H16" s="1154"/>
      <c r="I16" s="1154"/>
      <c r="J16" s="78" t="s">
        <v>675</v>
      </c>
      <c r="K16" s="92">
        <f>SUM(K17:K28)</f>
        <v>0</v>
      </c>
      <c r="L16" s="822" t="s">
        <v>3964</v>
      </c>
      <c r="M16" s="115"/>
      <c r="N16" s="113"/>
      <c r="O16" s="78"/>
      <c r="P16" s="92">
        <f>SUM(P17:P28)</f>
        <v>0</v>
      </c>
      <c r="R16" s="616"/>
      <c r="S16" s="195"/>
    </row>
    <row r="17" spans="1:19" s="49" customFormat="1" ht="23.25" customHeight="1">
      <c r="A17" s="1151">
        <v>1</v>
      </c>
      <c r="B17" s="1152"/>
      <c r="C17" s="1152"/>
      <c r="D17" s="1152"/>
      <c r="E17" s="1153"/>
      <c r="F17" s="281"/>
      <c r="G17" s="1142">
        <v>1</v>
      </c>
      <c r="H17" s="1143"/>
      <c r="I17" s="1143"/>
      <c r="J17" s="1143"/>
      <c r="K17" s="281"/>
      <c r="L17" s="1142">
        <v>1</v>
      </c>
      <c r="M17" s="1143"/>
      <c r="N17" s="1143"/>
      <c r="O17" s="1143"/>
      <c r="P17" s="281"/>
      <c r="Q17" s="614" t="s">
        <v>1677</v>
      </c>
      <c r="R17" s="615"/>
      <c r="S17" s="195"/>
    </row>
    <row r="18" spans="1:19" s="49" customFormat="1" ht="23.25" customHeight="1">
      <c r="A18" s="1137">
        <v>2</v>
      </c>
      <c r="B18" s="1138"/>
      <c r="C18" s="1138"/>
      <c r="D18" s="1138"/>
      <c r="E18" s="1139"/>
      <c r="F18" s="282"/>
      <c r="G18" s="1140">
        <v>2</v>
      </c>
      <c r="H18" s="1141"/>
      <c r="I18" s="1141"/>
      <c r="J18" s="1141"/>
      <c r="K18" s="282"/>
      <c r="L18" s="1140">
        <v>2</v>
      </c>
      <c r="M18" s="1141"/>
      <c r="N18" s="1141"/>
      <c r="O18" s="1141"/>
      <c r="P18" s="282"/>
      <c r="Q18" s="614"/>
      <c r="R18" s="615"/>
      <c r="S18" s="195"/>
    </row>
    <row r="19" spans="1:19" s="49" customFormat="1" ht="23.25" customHeight="1">
      <c r="A19" s="1137">
        <v>3</v>
      </c>
      <c r="B19" s="1138"/>
      <c r="C19" s="1138"/>
      <c r="D19" s="1138"/>
      <c r="E19" s="1139"/>
      <c r="F19" s="282"/>
      <c r="G19" s="1140">
        <v>3</v>
      </c>
      <c r="H19" s="1141"/>
      <c r="I19" s="1141"/>
      <c r="J19" s="1141"/>
      <c r="K19" s="282"/>
      <c r="L19" s="1140">
        <v>3</v>
      </c>
      <c r="M19" s="1141"/>
      <c r="N19" s="1141"/>
      <c r="O19" s="1141"/>
      <c r="P19" s="282"/>
      <c r="Q19" s="614"/>
      <c r="R19" s="615"/>
      <c r="S19" s="195"/>
    </row>
    <row r="20" spans="1:19" s="49" customFormat="1" ht="23.25" customHeight="1">
      <c r="A20" s="1137">
        <v>4</v>
      </c>
      <c r="B20" s="1138"/>
      <c r="C20" s="1138"/>
      <c r="D20" s="1138"/>
      <c r="E20" s="1139"/>
      <c r="F20" s="282"/>
      <c r="G20" s="1140">
        <v>4</v>
      </c>
      <c r="H20" s="1141"/>
      <c r="I20" s="1141"/>
      <c r="J20" s="1141"/>
      <c r="K20" s="282"/>
      <c r="L20" s="1140">
        <v>4</v>
      </c>
      <c r="M20" s="1141"/>
      <c r="N20" s="1141"/>
      <c r="O20" s="1141"/>
      <c r="P20" s="282"/>
      <c r="Q20" s="614"/>
      <c r="R20" s="615"/>
      <c r="S20" s="195"/>
    </row>
    <row r="21" spans="1:19" s="49" customFormat="1" ht="23.25" customHeight="1">
      <c r="A21" s="1137">
        <v>5</v>
      </c>
      <c r="B21" s="1138"/>
      <c r="C21" s="1138"/>
      <c r="D21" s="1138"/>
      <c r="E21" s="1139"/>
      <c r="F21" s="282"/>
      <c r="G21" s="1140">
        <v>5</v>
      </c>
      <c r="H21" s="1141"/>
      <c r="I21" s="1141"/>
      <c r="J21" s="1141"/>
      <c r="K21" s="282"/>
      <c r="L21" s="1140">
        <v>5</v>
      </c>
      <c r="M21" s="1141"/>
      <c r="N21" s="1141"/>
      <c r="O21" s="1141"/>
      <c r="P21" s="282"/>
      <c r="R21" s="195"/>
      <c r="S21" s="195"/>
    </row>
    <row r="22" spans="1:19" s="49" customFormat="1" ht="23.25" customHeight="1">
      <c r="A22" s="1137">
        <v>6</v>
      </c>
      <c r="B22" s="1138"/>
      <c r="C22" s="1138"/>
      <c r="D22" s="1138"/>
      <c r="E22" s="1139"/>
      <c r="F22" s="282"/>
      <c r="G22" s="1140">
        <v>6</v>
      </c>
      <c r="H22" s="1141"/>
      <c r="I22" s="1141"/>
      <c r="J22" s="1141"/>
      <c r="K22" s="282"/>
      <c r="L22" s="1140">
        <v>6</v>
      </c>
      <c r="M22" s="1141"/>
      <c r="N22" s="1141"/>
      <c r="O22" s="1141"/>
      <c r="P22" s="282"/>
      <c r="R22" s="195"/>
      <c r="S22" s="195"/>
    </row>
    <row r="23" spans="1:19" s="49" customFormat="1" ht="23.25" customHeight="1">
      <c r="A23" s="1137">
        <v>7</v>
      </c>
      <c r="B23" s="1138"/>
      <c r="C23" s="1138"/>
      <c r="D23" s="1138"/>
      <c r="E23" s="1139"/>
      <c r="F23" s="282"/>
      <c r="G23" s="1140">
        <v>7</v>
      </c>
      <c r="H23" s="1141"/>
      <c r="I23" s="1141"/>
      <c r="J23" s="1141"/>
      <c r="K23" s="282"/>
      <c r="L23" s="1140">
        <v>7</v>
      </c>
      <c r="M23" s="1141"/>
      <c r="N23" s="1141"/>
      <c r="O23" s="1141"/>
      <c r="P23" s="282"/>
      <c r="R23" s="195"/>
      <c r="S23" s="195"/>
    </row>
    <row r="24" spans="1:19" s="49" customFormat="1" ht="23.25" customHeight="1">
      <c r="A24" s="1137">
        <v>8</v>
      </c>
      <c r="B24" s="1138"/>
      <c r="C24" s="1138"/>
      <c r="D24" s="1138"/>
      <c r="E24" s="1139"/>
      <c r="F24" s="282"/>
      <c r="G24" s="1140">
        <v>8</v>
      </c>
      <c r="H24" s="1141"/>
      <c r="I24" s="1141"/>
      <c r="J24" s="1141"/>
      <c r="K24" s="282"/>
      <c r="L24" s="1140">
        <v>8</v>
      </c>
      <c r="M24" s="1141"/>
      <c r="N24" s="1141"/>
      <c r="O24" s="1141"/>
      <c r="P24" s="282"/>
      <c r="R24" s="195"/>
      <c r="S24" s="195"/>
    </row>
    <row r="25" spans="1:19" s="49" customFormat="1" ht="23.25" customHeight="1">
      <c r="A25" s="1137">
        <v>9</v>
      </c>
      <c r="B25" s="1138"/>
      <c r="C25" s="1138"/>
      <c r="D25" s="1138"/>
      <c r="E25" s="1139"/>
      <c r="F25" s="282"/>
      <c r="G25" s="1140">
        <v>9</v>
      </c>
      <c r="H25" s="1141"/>
      <c r="I25" s="1141"/>
      <c r="J25" s="1141"/>
      <c r="K25" s="282"/>
      <c r="L25" s="1140">
        <v>9</v>
      </c>
      <c r="M25" s="1141"/>
      <c r="N25" s="1141"/>
      <c r="O25" s="1141"/>
      <c r="P25" s="282"/>
      <c r="R25" s="195"/>
      <c r="S25" s="195"/>
    </row>
    <row r="26" spans="1:19" s="49" customFormat="1" ht="23.25" customHeight="1">
      <c r="A26" s="1137">
        <v>10</v>
      </c>
      <c r="B26" s="1138"/>
      <c r="C26" s="1138"/>
      <c r="D26" s="1138"/>
      <c r="E26" s="1139"/>
      <c r="F26" s="282"/>
      <c r="G26" s="1140">
        <v>10</v>
      </c>
      <c r="H26" s="1141"/>
      <c r="I26" s="1141"/>
      <c r="J26" s="1141"/>
      <c r="K26" s="282"/>
      <c r="L26" s="1140">
        <v>10</v>
      </c>
      <c r="M26" s="1141"/>
      <c r="N26" s="1141"/>
      <c r="O26" s="1141"/>
      <c r="P26" s="282"/>
      <c r="R26" s="195"/>
      <c r="S26" s="195"/>
    </row>
    <row r="27" spans="1:19" s="49" customFormat="1" ht="23.25" customHeight="1">
      <c r="A27" s="1137">
        <v>11</v>
      </c>
      <c r="B27" s="1138"/>
      <c r="C27" s="1138"/>
      <c r="D27" s="1138"/>
      <c r="E27" s="1139"/>
      <c r="F27" s="282"/>
      <c r="G27" s="1140">
        <v>11</v>
      </c>
      <c r="H27" s="1141"/>
      <c r="I27" s="1141"/>
      <c r="J27" s="1141"/>
      <c r="K27" s="282"/>
      <c r="L27" s="1140">
        <v>11</v>
      </c>
      <c r="M27" s="1141"/>
      <c r="N27" s="1141"/>
      <c r="O27" s="1141"/>
      <c r="P27" s="282"/>
      <c r="R27" s="195"/>
      <c r="S27" s="195"/>
    </row>
    <row r="28" spans="1:19" s="49" customFormat="1" ht="23.25" customHeight="1">
      <c r="A28" s="1147">
        <v>12</v>
      </c>
      <c r="B28" s="1148"/>
      <c r="C28" s="1148"/>
      <c r="D28" s="1148"/>
      <c r="E28" s="1149"/>
      <c r="F28" s="283"/>
      <c r="G28" s="1145">
        <v>12</v>
      </c>
      <c r="H28" s="1146"/>
      <c r="I28" s="1146"/>
      <c r="J28" s="1146"/>
      <c r="K28" s="283"/>
      <c r="L28" s="1145">
        <v>12</v>
      </c>
      <c r="M28" s="1146"/>
      <c r="N28" s="1146"/>
      <c r="O28" s="1146"/>
      <c r="P28" s="283"/>
    </row>
    <row r="29" spans="1:19" s="50" customFormat="1" ht="4.9000000000000004" customHeight="1">
      <c r="D29" s="47"/>
      <c r="E29" s="44"/>
      <c r="F29" s="674"/>
      <c r="G29" s="674"/>
      <c r="H29" s="674"/>
      <c r="I29" s="674"/>
      <c r="J29" s="38"/>
      <c r="K29" s="38"/>
      <c r="L29" s="38"/>
      <c r="M29" s="71"/>
      <c r="N29" s="674"/>
      <c r="O29" s="817"/>
      <c r="P29" s="4"/>
    </row>
    <row r="30" spans="1:19" s="50" customFormat="1" ht="12.6" customHeight="1">
      <c r="A30" s="605" t="s">
        <v>2701</v>
      </c>
      <c r="B30" s="134" t="s">
        <v>1417</v>
      </c>
      <c r="E30" s="68"/>
      <c r="G30" s="105"/>
      <c r="H30" s="61"/>
      <c r="K30" s="132"/>
      <c r="L30" s="490" t="str">
        <f>IF($O30&gt;$M30,"* * Check Score! * *","")</f>
        <v/>
      </c>
      <c r="M30" s="674">
        <v>4</v>
      </c>
      <c r="N30" s="8"/>
      <c r="O30" s="186">
        <f>IF($L32 &gt;= $P32,$M32,IF($L31&gt;=$P31,$M31,0))</f>
        <v>4</v>
      </c>
      <c r="P30" s="186">
        <f>IF($L32 &gt;= $P32,$M32,IF($L31&gt;=$P31,$M31,0))</f>
        <v>4</v>
      </c>
      <c r="Q30" s="130" t="s">
        <v>566</v>
      </c>
      <c r="R30" s="490" t="str">
        <f>IF(OR($O30=$M30,$O30=0,$O30=""),"","* * Check Score! * *")</f>
        <v/>
      </c>
    </row>
    <row r="31" spans="1:19" s="570" customFormat="1" ht="11.25" customHeight="1">
      <c r="A31" s="569" t="s">
        <v>2695</v>
      </c>
      <c r="B31" s="137" t="s">
        <v>3425</v>
      </c>
      <c r="E31" s="571"/>
      <c r="H31" s="549" t="s">
        <v>3541</v>
      </c>
      <c r="I31" s="1739"/>
      <c r="K31" s="549" t="s">
        <v>3543</v>
      </c>
      <c r="L31" s="573">
        <f>IF(OR('Part VI-Revenues &amp; Expenses'!$M$60="", 'Part VI-Revenues &amp; Expenses'!$M$60=0),0,I31/'Part VI-Revenues &amp; Expenses'!$M$60)</f>
        <v>0</v>
      </c>
      <c r="M31" s="577">
        <v>3</v>
      </c>
      <c r="N31" s="572"/>
      <c r="O31" s="1160" t="s">
        <v>3576</v>
      </c>
      <c r="P31" s="613">
        <v>0.15</v>
      </c>
    </row>
    <row r="32" spans="1:19" s="570" customFormat="1" ht="11.25" customHeight="1">
      <c r="A32" s="569" t="s">
        <v>2698</v>
      </c>
      <c r="B32" s="137" t="s">
        <v>3426</v>
      </c>
      <c r="E32" s="571"/>
      <c r="H32" s="549" t="s">
        <v>3427</v>
      </c>
      <c r="I32" s="1739">
        <v>80</v>
      </c>
      <c r="K32" s="549" t="s">
        <v>3543</v>
      </c>
      <c r="L32" s="573">
        <f>IF(OR('Part VI-Revenues &amp; Expenses'!$M$60="", 'Part VI-Revenues &amp; Expenses'!$M$60=0),0,I32/'Part VI-Revenues &amp; Expenses'!$M$60)</f>
        <v>0.8</v>
      </c>
      <c r="M32" s="577">
        <v>4</v>
      </c>
      <c r="N32" s="572"/>
      <c r="O32" s="1161"/>
      <c r="P32" s="613">
        <v>0.3</v>
      </c>
    </row>
    <row r="33" spans="1:18" s="50" customFormat="1" ht="11.25" customHeight="1">
      <c r="A33" s="49"/>
      <c r="B33" s="56" t="s">
        <v>281</v>
      </c>
      <c r="C33" s="49"/>
      <c r="D33" s="55"/>
      <c r="E33" s="55"/>
      <c r="F33" s="55"/>
      <c r="G33" s="55"/>
      <c r="H33" s="44"/>
      <c r="I33" s="44"/>
      <c r="J33" s="44"/>
      <c r="K33" s="44"/>
      <c r="M33" s="53"/>
      <c r="N33" s="73"/>
      <c r="O33" s="4"/>
      <c r="P33" s="817"/>
    </row>
    <row r="34" spans="1:18" s="50" customFormat="1" ht="12.6" customHeight="1">
      <c r="A34" s="1641"/>
      <c r="B34" s="1642"/>
      <c r="C34" s="1642"/>
      <c r="D34" s="1642"/>
      <c r="E34" s="1642"/>
      <c r="F34" s="1642"/>
      <c r="G34" s="1642"/>
      <c r="H34" s="1642"/>
      <c r="I34" s="1642"/>
      <c r="J34" s="1642"/>
      <c r="K34" s="1642"/>
      <c r="L34" s="1642"/>
      <c r="M34" s="1642"/>
      <c r="N34" s="1642"/>
      <c r="O34" s="1642"/>
      <c r="P34" s="1643"/>
      <c r="Q34" s="614" t="s">
        <v>1677</v>
      </c>
    </row>
    <row r="35" spans="1:18" s="50" customFormat="1" ht="11.45" customHeight="1">
      <c r="A35" s="49"/>
      <c r="B35" s="118" t="s">
        <v>2572</v>
      </c>
      <c r="C35" s="49"/>
      <c r="D35" s="103"/>
      <c r="E35" s="818"/>
      <c r="F35" s="818"/>
      <c r="G35" s="818"/>
      <c r="H35" s="818"/>
      <c r="I35" s="818"/>
      <c r="J35" s="818"/>
      <c r="K35" s="818"/>
      <c r="L35" s="818"/>
      <c r="M35" s="818"/>
      <c r="N35" s="90"/>
      <c r="O35" s="85"/>
      <c r="P35" s="2"/>
      <c r="Q35" s="570"/>
    </row>
    <row r="36" spans="1:18" s="50" customFormat="1" ht="12.6" customHeight="1">
      <c r="A36" s="1048"/>
      <c r="B36" s="1049"/>
      <c r="C36" s="1049"/>
      <c r="D36" s="1049"/>
      <c r="E36" s="1049"/>
      <c r="F36" s="1049"/>
      <c r="G36" s="1049"/>
      <c r="H36" s="1049"/>
      <c r="I36" s="1049"/>
      <c r="J36" s="1049"/>
      <c r="K36" s="1049"/>
      <c r="L36" s="1049"/>
      <c r="M36" s="1049"/>
      <c r="N36" s="1049"/>
      <c r="O36" s="1049"/>
      <c r="P36" s="1050"/>
      <c r="Q36" s="614" t="s">
        <v>1677</v>
      </c>
    </row>
    <row r="37" spans="1:18" ht="3" customHeight="1"/>
    <row r="38" spans="1:18" s="50" customFormat="1" ht="12.6" customHeight="1">
      <c r="A38" s="189" t="s">
        <v>3323</v>
      </c>
      <c r="B38" s="126" t="s">
        <v>2580</v>
      </c>
      <c r="D38" s="48"/>
      <c r="H38" s="1150" t="s">
        <v>775</v>
      </c>
      <c r="I38" s="1150"/>
      <c r="J38" s="1150"/>
      <c r="K38" s="1150"/>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50"/>
      <c r="I39" s="1150"/>
      <c r="J39" s="1150"/>
      <c r="K39" s="1150"/>
      <c r="L39" s="38"/>
      <c r="M39" s="71"/>
      <c r="N39" s="674"/>
      <c r="O39" s="817"/>
      <c r="P39" s="4"/>
    </row>
    <row r="40" spans="1:18" s="50" customFormat="1" ht="12" customHeight="1">
      <c r="A40" s="171" t="s">
        <v>2695</v>
      </c>
      <c r="B40" s="213" t="s">
        <v>2581</v>
      </c>
      <c r="C40" s="5"/>
      <c r="D40" s="5"/>
      <c r="E40" s="221" t="s">
        <v>3659</v>
      </c>
      <c r="F40" s="389"/>
      <c r="G40" s="389"/>
      <c r="H40" s="1150"/>
      <c r="I40" s="1150"/>
      <c r="J40" s="1150"/>
      <c r="K40" s="1150"/>
      <c r="M40" s="88">
        <v>12</v>
      </c>
      <c r="N40" s="225" t="s">
        <v>2695</v>
      </c>
      <c r="O40" s="1740">
        <v>12</v>
      </c>
      <c r="P40" s="84"/>
      <c r="Q40" s="507" t="s">
        <v>3631</v>
      </c>
      <c r="R40" s="490"/>
    </row>
    <row r="41" spans="1:18" s="50" customFormat="1" ht="12.6" customHeight="1">
      <c r="A41" s="171" t="s">
        <v>2698</v>
      </c>
      <c r="B41" s="213" t="s">
        <v>2582</v>
      </c>
      <c r="D41" s="48"/>
      <c r="E41" s="221" t="s">
        <v>546</v>
      </c>
      <c r="F41" s="512"/>
      <c r="G41" s="512"/>
      <c r="H41" s="512"/>
      <c r="M41" s="162" t="s">
        <v>1660</v>
      </c>
      <c r="N41" s="654" t="s">
        <v>2698</v>
      </c>
      <c r="O41" s="1738"/>
      <c r="P41" s="84"/>
      <c r="Q41" s="507" t="s">
        <v>3631</v>
      </c>
      <c r="R41" s="490"/>
    </row>
    <row r="42" spans="1:18" s="50" customFormat="1" ht="11.25" customHeight="1">
      <c r="A42" s="49"/>
      <c r="B42" s="56" t="s">
        <v>281</v>
      </c>
      <c r="C42" s="49"/>
      <c r="D42" s="55"/>
      <c r="E42" s="55"/>
      <c r="F42" s="55"/>
      <c r="G42" s="55"/>
      <c r="H42" s="44"/>
      <c r="I42" s="44"/>
      <c r="J42" s="44"/>
      <c r="K42" s="44"/>
      <c r="M42" s="53"/>
      <c r="N42" s="73"/>
      <c r="O42" s="4"/>
      <c r="P42" s="817"/>
    </row>
    <row r="43" spans="1:18" s="50" customFormat="1" ht="23.45" customHeight="1">
      <c r="A43" s="1641"/>
      <c r="B43" s="1642"/>
      <c r="C43" s="1642"/>
      <c r="D43" s="1642"/>
      <c r="E43" s="1642"/>
      <c r="F43" s="1642"/>
      <c r="G43" s="1642"/>
      <c r="H43" s="1642"/>
      <c r="I43" s="1642"/>
      <c r="J43" s="1642"/>
      <c r="K43" s="1642"/>
      <c r="L43" s="1642"/>
      <c r="M43" s="1642"/>
      <c r="N43" s="1642"/>
      <c r="O43" s="1642"/>
      <c r="P43" s="1643"/>
      <c r="Q43" s="614" t="s">
        <v>1677</v>
      </c>
      <c r="R43" s="615"/>
    </row>
    <row r="44" spans="1:18" s="50" customFormat="1" ht="11.45" customHeight="1">
      <c r="A44" s="49"/>
      <c r="B44" s="79" t="s">
        <v>2572</v>
      </c>
      <c r="C44" s="49"/>
      <c r="D44" s="169"/>
      <c r="E44" s="818"/>
      <c r="F44" s="818"/>
      <c r="G44" s="818"/>
      <c r="H44" s="818"/>
      <c r="I44" s="818"/>
      <c r="J44" s="818"/>
      <c r="K44" s="818"/>
      <c r="L44" s="818"/>
      <c r="M44" s="818"/>
      <c r="N44" s="90"/>
      <c r="O44" s="85"/>
      <c r="P44" s="2"/>
      <c r="Q44" s="570"/>
      <c r="R44" s="570"/>
    </row>
    <row r="45" spans="1:18" s="50" customFormat="1" ht="23.45" customHeight="1">
      <c r="A45" s="1048"/>
      <c r="B45" s="1049"/>
      <c r="C45" s="1049"/>
      <c r="D45" s="1049"/>
      <c r="E45" s="1049"/>
      <c r="F45" s="1049"/>
      <c r="G45" s="1049"/>
      <c r="H45" s="1049"/>
      <c r="I45" s="1049"/>
      <c r="J45" s="1049"/>
      <c r="K45" s="1049"/>
      <c r="L45" s="1049"/>
      <c r="M45" s="1049"/>
      <c r="N45" s="1049"/>
      <c r="O45" s="1049"/>
      <c r="P45" s="1050"/>
      <c r="Q45" s="614" t="s">
        <v>1677</v>
      </c>
      <c r="R45" s="615"/>
    </row>
    <row r="46" spans="1:18" ht="3.6" customHeight="1">
      <c r="M46" s="40"/>
      <c r="N46" s="139"/>
      <c r="O46" s="187"/>
      <c r="P46" s="187"/>
    </row>
    <row r="47" spans="1:18" s="50" customFormat="1" ht="12.6" customHeight="1">
      <c r="A47" s="189" t="s">
        <v>1645</v>
      </c>
      <c r="B47" s="126" t="s">
        <v>3460</v>
      </c>
      <c r="D47" s="48"/>
      <c r="H47" s="52" t="s">
        <v>3544</v>
      </c>
      <c r="I47" s="56" t="s">
        <v>2588</v>
      </c>
      <c r="J47" s="55"/>
      <c r="K47" s="55"/>
      <c r="M47" s="2">
        <v>3</v>
      </c>
      <c r="N47" s="654"/>
      <c r="O47" s="186">
        <f>MIN($M47,(O48+O49+O50))</f>
        <v>3</v>
      </c>
      <c r="P47" s="186">
        <f>MIN($M47,(P48+P49+P50))</f>
        <v>0</v>
      </c>
      <c r="Q47" s="130" t="s">
        <v>566</v>
      </c>
    </row>
    <row r="48" spans="1:18" s="50" customFormat="1" ht="12" customHeight="1">
      <c r="A48" s="171" t="s">
        <v>2695</v>
      </c>
      <c r="B48" s="213" t="s">
        <v>3436</v>
      </c>
      <c r="C48" s="5"/>
      <c r="D48" s="5"/>
      <c r="E48" s="44"/>
      <c r="F48" s="5"/>
      <c r="G48" s="47"/>
      <c r="I48" s="47"/>
      <c r="K48" s="55"/>
      <c r="L48" s="490" t="str">
        <f>IF(OR($O48=$M48,$O48=0,$O48=""),"","* * Check Score! * *")</f>
        <v/>
      </c>
      <c r="M48" s="88">
        <v>3</v>
      </c>
      <c r="N48" s="225" t="s">
        <v>2695</v>
      </c>
      <c r="O48" s="1740">
        <v>3</v>
      </c>
      <c r="P48" s="84"/>
      <c r="R48" s="490"/>
    </row>
    <row r="49" spans="1:18" s="50" customFormat="1" ht="12.6" customHeight="1">
      <c r="A49" s="171" t="s">
        <v>2698</v>
      </c>
      <c r="B49" s="213" t="s">
        <v>3437</v>
      </c>
      <c r="E49" s="48"/>
      <c r="K49" s="55"/>
      <c r="L49" s="490" t="str">
        <f>IF(OR($O49=$M49,$O49=0,$O49=""),"","* * Check Score! * *")</f>
        <v/>
      </c>
      <c r="M49" s="88">
        <v>2</v>
      </c>
      <c r="N49" s="654" t="s">
        <v>2698</v>
      </c>
      <c r="O49" s="1740"/>
      <c r="P49" s="84"/>
      <c r="R49" s="490"/>
    </row>
    <row r="50" spans="1:18" s="50" customFormat="1" ht="12.6" customHeight="1">
      <c r="A50" s="171" t="s">
        <v>1054</v>
      </c>
      <c r="B50" s="213" t="s">
        <v>3462</v>
      </c>
      <c r="E50" s="48"/>
      <c r="K50" s="55"/>
      <c r="L50" s="490" t="str">
        <f>IF(OR($O50=$M50,$O50=0,$O50=""),"","* * Check Score! * *")</f>
        <v/>
      </c>
      <c r="M50" s="88">
        <v>1</v>
      </c>
      <c r="N50" s="225" t="s">
        <v>1054</v>
      </c>
      <c r="O50" s="1740"/>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41"/>
      <c r="B52" s="1642"/>
      <c r="C52" s="1642"/>
      <c r="D52" s="1642"/>
      <c r="E52" s="1642"/>
      <c r="F52" s="1642"/>
      <c r="G52" s="1642"/>
      <c r="H52" s="1642"/>
      <c r="I52" s="1642"/>
      <c r="J52" s="1642"/>
      <c r="K52" s="1642"/>
      <c r="L52" s="1642"/>
      <c r="M52" s="1642"/>
      <c r="N52" s="1642"/>
      <c r="O52" s="1642"/>
      <c r="P52" s="1643"/>
      <c r="Q52" s="614" t="s">
        <v>1677</v>
      </c>
    </row>
    <row r="53" spans="1:18" s="123" customFormat="1" ht="11.45" customHeight="1">
      <c r="A53" s="49"/>
      <c r="B53" s="118" t="s">
        <v>2572</v>
      </c>
      <c r="C53" s="49"/>
      <c r="D53" s="118"/>
      <c r="E53" s="813"/>
      <c r="F53" s="813"/>
      <c r="G53" s="813"/>
      <c r="H53" s="813"/>
      <c r="I53" s="813"/>
      <c r="J53" s="813"/>
      <c r="K53" s="813"/>
      <c r="L53" s="813"/>
      <c r="M53" s="813"/>
      <c r="N53" s="113"/>
      <c r="O53" s="232"/>
      <c r="P53" s="2"/>
      <c r="Q53" s="570"/>
    </row>
    <row r="54" spans="1:18" s="50" customFormat="1" ht="12.75" customHeight="1">
      <c r="A54" s="1048"/>
      <c r="B54" s="1049"/>
      <c r="C54" s="1049"/>
      <c r="D54" s="1049"/>
      <c r="E54" s="1049"/>
      <c r="F54" s="1049"/>
      <c r="G54" s="1049"/>
      <c r="H54" s="1049"/>
      <c r="I54" s="1049"/>
      <c r="J54" s="1049"/>
      <c r="K54" s="1049"/>
      <c r="L54" s="1049"/>
      <c r="M54" s="1049"/>
      <c r="N54" s="1049"/>
      <c r="O54" s="1049"/>
      <c r="P54" s="1050"/>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3461</v>
      </c>
      <c r="D56" s="48"/>
      <c r="E56" s="44" t="s">
        <v>1820</v>
      </c>
      <c r="I56" s="56" t="s">
        <v>2588</v>
      </c>
      <c r="M56" s="2">
        <v>2</v>
      </c>
      <c r="N56" s="517" t="str">
        <f>IF(OR($O56=$M56,$O56=0,$O56=""),"","***")</f>
        <v/>
      </c>
      <c r="O56" s="1740"/>
      <c r="P56" s="84"/>
      <c r="Q56" s="130" t="s">
        <v>566</v>
      </c>
    </row>
    <row r="57" spans="1:18" s="50" customFormat="1" ht="12.6" customHeight="1">
      <c r="A57" s="189"/>
      <c r="B57" s="513" t="s">
        <v>3428</v>
      </c>
      <c r="D57" s="48"/>
      <c r="E57" s="44"/>
      <c r="I57" s="1741"/>
      <c r="J57" s="1742"/>
      <c r="K57" s="1742"/>
      <c r="L57" s="1743"/>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41"/>
      <c r="B59" s="1642"/>
      <c r="C59" s="1642"/>
      <c r="D59" s="1642"/>
      <c r="E59" s="1642"/>
      <c r="F59" s="1642"/>
      <c r="G59" s="1642"/>
      <c r="H59" s="1642"/>
      <c r="I59" s="1642"/>
      <c r="J59" s="1642"/>
      <c r="K59" s="1642"/>
      <c r="L59" s="1642"/>
      <c r="M59" s="1642"/>
      <c r="N59" s="1642"/>
      <c r="O59" s="1642"/>
      <c r="P59" s="1643"/>
      <c r="Q59" s="614" t="s">
        <v>1677</v>
      </c>
    </row>
    <row r="60" spans="1:18" s="123" customFormat="1" ht="11.45" customHeight="1">
      <c r="A60" s="49"/>
      <c r="B60" s="118" t="s">
        <v>2572</v>
      </c>
      <c r="C60" s="49"/>
      <c r="D60" s="118"/>
      <c r="E60" s="813"/>
      <c r="F60" s="813"/>
      <c r="G60" s="813"/>
      <c r="H60" s="813"/>
      <c r="I60" s="813"/>
      <c r="J60" s="813"/>
      <c r="K60" s="813"/>
      <c r="L60" s="813"/>
      <c r="M60" s="813"/>
      <c r="N60" s="113"/>
      <c r="O60" s="232"/>
      <c r="P60" s="2"/>
      <c r="Q60" s="570"/>
    </row>
    <row r="61" spans="1:18" s="50" customFormat="1" ht="12.75" customHeight="1">
      <c r="A61" s="1048"/>
      <c r="B61" s="1049"/>
      <c r="C61" s="1049"/>
      <c r="D61" s="1049"/>
      <c r="E61" s="1049"/>
      <c r="F61" s="1049"/>
      <c r="G61" s="1049"/>
      <c r="H61" s="1049"/>
      <c r="I61" s="1049"/>
      <c r="J61" s="1049"/>
      <c r="K61" s="1049"/>
      <c r="L61" s="1049"/>
      <c r="M61" s="1049"/>
      <c r="N61" s="1049"/>
      <c r="O61" s="1049"/>
      <c r="P61" s="1050"/>
      <c r="Q61" s="614" t="s">
        <v>1677</v>
      </c>
    </row>
    <row r="62" spans="1:18" ht="3" customHeight="1">
      <c r="B62" s="142"/>
      <c r="C62" s="142"/>
      <c r="D62" s="142"/>
      <c r="E62" s="142"/>
      <c r="R62" s="50"/>
    </row>
    <row r="63" spans="1:18" s="50" customFormat="1" ht="12.6" customHeight="1">
      <c r="A63" s="189" t="s">
        <v>2590</v>
      </c>
      <c r="B63" s="127" t="s">
        <v>235</v>
      </c>
      <c r="D63" s="47"/>
      <c r="E63" s="44"/>
      <c r="I63" s="611" t="s">
        <v>3530</v>
      </c>
      <c r="J63" s="1308" t="s">
        <v>4130</v>
      </c>
      <c r="K63" s="1744"/>
      <c r="L63" s="1309"/>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2695</v>
      </c>
      <c r="B64" s="229" t="s">
        <v>3059</v>
      </c>
      <c r="D64" s="40"/>
      <c r="H64" s="72"/>
      <c r="I64" s="40"/>
      <c r="J64" s="40"/>
      <c r="M64" s="139">
        <v>3</v>
      </c>
      <c r="N64" s="31"/>
      <c r="O64" s="144" t="s">
        <v>3297</v>
      </c>
      <c r="P64" s="144" t="s">
        <v>3297</v>
      </c>
    </row>
    <row r="65" spans="1:17" s="50" customFormat="1" ht="12.6" customHeight="1">
      <c r="B65" s="575" t="s">
        <v>3585</v>
      </c>
      <c r="D65" s="48"/>
      <c r="M65" s="2"/>
      <c r="N65" s="225" t="s">
        <v>2695</v>
      </c>
      <c r="O65" s="1637"/>
      <c r="P65" s="210"/>
      <c r="Q65" s="130"/>
    </row>
    <row r="66" spans="1:17" ht="11.45" customHeight="1">
      <c r="A66" s="482" t="str">
        <f>IF($I$86="Stable Communities &lt; 10%", "X","")</f>
        <v/>
      </c>
      <c r="B66" s="483" t="s">
        <v>2699</v>
      </c>
      <c r="C66" s="499" t="s">
        <v>3429</v>
      </c>
      <c r="E66" s="142"/>
      <c r="N66" s="31"/>
      <c r="O66" s="31"/>
      <c r="P66" s="31"/>
    </row>
    <row r="67" spans="1:17" ht="23.25" customHeight="1">
      <c r="B67" s="506" t="s">
        <v>3202</v>
      </c>
      <c r="C67" s="1144" t="s">
        <v>3431</v>
      </c>
      <c r="D67" s="1144"/>
      <c r="E67" s="1144"/>
      <c r="F67" s="1144"/>
      <c r="G67" s="1144"/>
      <c r="H67" s="1144"/>
      <c r="I67" s="1144"/>
      <c r="J67" s="1144"/>
      <c r="K67" s="1144"/>
      <c r="L67" s="1144"/>
      <c r="M67" s="503" t="str">
        <f>IF(AND($I$86="Stable Communities &lt; 10%",O67=""), "X","")</f>
        <v/>
      </c>
      <c r="N67" s="505" t="s">
        <v>3432</v>
      </c>
      <c r="O67" s="1694"/>
      <c r="P67" s="324"/>
    </row>
    <row r="68" spans="1:17" ht="12" customHeight="1">
      <c r="B68" s="506" t="s">
        <v>3203</v>
      </c>
      <c r="C68" s="172" t="s">
        <v>3686</v>
      </c>
      <c r="D68" s="172"/>
      <c r="E68" s="172"/>
      <c r="F68" s="172"/>
      <c r="G68" s="172"/>
      <c r="I68" s="172"/>
      <c r="L68" s="172"/>
      <c r="M68" s="503" t="str">
        <f>IF(AND($I$86="Stable Communities &lt; 10%",O68=""), "X","")</f>
        <v/>
      </c>
      <c r="N68" s="505" t="s">
        <v>3433</v>
      </c>
      <c r="O68" s="1695"/>
      <c r="P68" s="473"/>
    </row>
    <row r="69" spans="1:17" ht="12" customHeight="1">
      <c r="B69" s="680" t="s">
        <v>3204</v>
      </c>
      <c r="C69" s="172" t="s">
        <v>3613</v>
      </c>
      <c r="D69" s="172"/>
      <c r="E69" s="172"/>
      <c r="F69" s="172"/>
      <c r="G69" s="172"/>
      <c r="I69" s="172"/>
      <c r="L69" s="172"/>
      <c r="M69" s="503" t="str">
        <f>IF(AND($I$86="Stable Communities &lt; 10%",O69=""), "X","")</f>
        <v/>
      </c>
      <c r="N69" s="505" t="s">
        <v>3687</v>
      </c>
      <c r="O69" s="1696"/>
      <c r="P69" s="325"/>
    </row>
    <row r="70" spans="1:17" ht="12" customHeight="1">
      <c r="B70" s="506"/>
      <c r="C70" s="1637"/>
      <c r="D70" s="172" t="s">
        <v>3617</v>
      </c>
      <c r="E70" s="172"/>
      <c r="F70" s="172"/>
      <c r="G70" s="1637"/>
      <c r="H70" s="172" t="s">
        <v>3614</v>
      </c>
      <c r="I70" s="172"/>
      <c r="J70" s="1637"/>
      <c r="K70" s="172" t="s">
        <v>3615</v>
      </c>
      <c r="M70" s="503"/>
      <c r="N70" s="503"/>
      <c r="O70" s="503"/>
      <c r="P70" s="503"/>
    </row>
    <row r="71" spans="1:17" ht="11.45" customHeight="1">
      <c r="A71" s="482" t="str">
        <f>IF($I$86="Stable Communities &lt; 20%", "X","")</f>
        <v/>
      </c>
      <c r="B71" s="483" t="s">
        <v>2701</v>
      </c>
      <c r="C71" s="499" t="s">
        <v>3430</v>
      </c>
      <c r="E71" s="142"/>
      <c r="M71" s="504"/>
      <c r="N71" s="31"/>
      <c r="O71" s="144" t="s">
        <v>3297</v>
      </c>
      <c r="P71" s="144" t="s">
        <v>3297</v>
      </c>
    </row>
    <row r="72" spans="1:17" ht="23.25" customHeight="1">
      <c r="B72" s="506" t="s">
        <v>3202</v>
      </c>
      <c r="C72" s="1144" t="s">
        <v>3688</v>
      </c>
      <c r="D72" s="1144"/>
      <c r="E72" s="1144"/>
      <c r="F72" s="1144"/>
      <c r="G72" s="1144"/>
      <c r="H72" s="1144"/>
      <c r="I72" s="1144"/>
      <c r="J72" s="1144"/>
      <c r="K72" s="1144"/>
      <c r="L72" s="1144"/>
      <c r="M72" s="503" t="str">
        <f>IF(AND($I$86="Stable Communities &lt; 10%",O72=""), "X","")</f>
        <v/>
      </c>
      <c r="N72" s="680" t="s">
        <v>3434</v>
      </c>
      <c r="O72" s="1745"/>
      <c r="P72" s="326"/>
    </row>
    <row r="73" spans="1:17" ht="12.75" customHeight="1">
      <c r="B73" s="506" t="s">
        <v>3203</v>
      </c>
      <c r="C73" s="172" t="s">
        <v>3613</v>
      </c>
      <c r="D73" s="172"/>
      <c r="E73" s="172"/>
      <c r="F73" s="172"/>
      <c r="G73" s="172"/>
      <c r="H73" s="1637"/>
      <c r="I73" s="172" t="s">
        <v>3616</v>
      </c>
      <c r="J73" s="172"/>
      <c r="K73" s="172"/>
      <c r="L73" s="172"/>
      <c r="M73" s="503" t="str">
        <f>IF(AND($I$86="Stable Communities &lt; 10%",O73=""), "X","")</f>
        <v/>
      </c>
      <c r="N73" s="574" t="s">
        <v>3435</v>
      </c>
      <c r="O73" s="1696"/>
      <c r="P73" s="325"/>
    </row>
    <row r="74" spans="1:17" ht="12" customHeight="1">
      <c r="B74" s="506"/>
      <c r="E74" s="172"/>
      <c r="F74" s="172"/>
      <c r="H74" s="1637"/>
      <c r="I74" s="172" t="s">
        <v>3617</v>
      </c>
      <c r="J74" s="172"/>
      <c r="K74" s="172"/>
      <c r="M74" s="503"/>
      <c r="N74" s="503"/>
      <c r="O74" s="503"/>
      <c r="P74" s="503"/>
    </row>
    <row r="75" spans="1:17" ht="2.25" customHeight="1">
      <c r="N75" s="31"/>
      <c r="O75" s="31"/>
      <c r="P75" s="31"/>
    </row>
    <row r="76" spans="1:17" ht="11.45" customHeight="1">
      <c r="A76" s="171" t="s">
        <v>2698</v>
      </c>
      <c r="B76" s="229" t="s">
        <v>342</v>
      </c>
      <c r="D76" s="40"/>
      <c r="E76" s="40"/>
      <c r="F76" s="40"/>
      <c r="M76" s="66">
        <v>2</v>
      </c>
      <c r="N76" s="31"/>
      <c r="O76" s="144" t="s">
        <v>3297</v>
      </c>
      <c r="P76" s="144" t="s">
        <v>3297</v>
      </c>
    </row>
    <row r="77" spans="1:17" s="50" customFormat="1" ht="11.25" customHeight="1">
      <c r="A77" s="189"/>
      <c r="B77" s="681" t="s">
        <v>2699</v>
      </c>
      <c r="C77" s="676" t="s">
        <v>3692</v>
      </c>
      <c r="D77" s="48"/>
      <c r="M77" s="2"/>
      <c r="N77" s="681" t="s">
        <v>2699</v>
      </c>
      <c r="O77" s="1637" t="s">
        <v>4064</v>
      </c>
      <c r="P77" s="210"/>
      <c r="Q77" s="130"/>
    </row>
    <row r="78" spans="1:17" s="50" customFormat="1" ht="11.25" customHeight="1">
      <c r="A78" s="189"/>
      <c r="B78" s="681" t="s">
        <v>2701</v>
      </c>
      <c r="C78" s="676" t="s">
        <v>3689</v>
      </c>
      <c r="D78" s="48"/>
      <c r="M78" s="2"/>
      <c r="N78" s="681" t="s">
        <v>2701</v>
      </c>
      <c r="O78" s="1637" t="s">
        <v>4064</v>
      </c>
      <c r="P78" s="210"/>
      <c r="Q78" s="130"/>
    </row>
    <row r="79" spans="1:17" s="50" customFormat="1" ht="11.25" customHeight="1">
      <c r="A79" s="189"/>
      <c r="B79" s="681" t="s">
        <v>3323</v>
      </c>
      <c r="C79" s="676" t="s">
        <v>3690</v>
      </c>
      <c r="D79" s="48"/>
      <c r="M79" s="2"/>
      <c r="N79" s="681" t="s">
        <v>3323</v>
      </c>
      <c r="O79" s="1637" t="s">
        <v>4064</v>
      </c>
      <c r="P79" s="210"/>
      <c r="Q79" s="130"/>
    </row>
    <row r="80" spans="1:17" s="50" customFormat="1" ht="11.25" customHeight="1">
      <c r="A80" s="189"/>
      <c r="B80" s="681" t="s">
        <v>1645</v>
      </c>
      <c r="C80" s="676" t="s">
        <v>3691</v>
      </c>
      <c r="D80" s="48"/>
      <c r="M80" s="2"/>
      <c r="N80" s="681" t="s">
        <v>1645</v>
      </c>
      <c r="O80" s="1637" t="s">
        <v>4064</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46"/>
      <c r="B82" s="1747"/>
      <c r="C82" s="1747"/>
      <c r="D82" s="1747"/>
      <c r="E82" s="1747"/>
      <c r="F82" s="1747"/>
      <c r="G82" s="1747"/>
      <c r="H82" s="1747"/>
      <c r="I82" s="1747"/>
      <c r="J82" s="1747"/>
      <c r="K82" s="1747"/>
      <c r="L82" s="1747"/>
      <c r="M82" s="1747"/>
      <c r="N82" s="1747"/>
      <c r="O82" s="1747"/>
      <c r="P82" s="1748"/>
      <c r="Q82" s="614" t="s">
        <v>1677</v>
      </c>
    </row>
    <row r="83" spans="1:18" s="50" customFormat="1" ht="11.25" customHeight="1">
      <c r="B83" s="118" t="s">
        <v>2572</v>
      </c>
      <c r="C83" s="49"/>
      <c r="D83" s="103"/>
      <c r="E83" s="818"/>
      <c r="F83" s="818"/>
      <c r="G83" s="818"/>
      <c r="H83" s="818"/>
      <c r="I83" s="818"/>
      <c r="J83" s="818"/>
      <c r="K83" s="818"/>
      <c r="L83" s="818"/>
      <c r="M83" s="818"/>
      <c r="N83" s="90"/>
      <c r="O83" s="85"/>
      <c r="P83" s="2"/>
      <c r="Q83" s="570"/>
    </row>
    <row r="84" spans="1:18" s="50" customFormat="1" ht="12.75" customHeight="1">
      <c r="A84" s="1157"/>
      <c r="B84" s="1158"/>
      <c r="C84" s="1158"/>
      <c r="D84" s="1158"/>
      <c r="E84" s="1158"/>
      <c r="F84" s="1158"/>
      <c r="G84" s="1158"/>
      <c r="H84" s="1158"/>
      <c r="I84" s="1158"/>
      <c r="J84" s="1158"/>
      <c r="K84" s="1158"/>
      <c r="L84" s="1158"/>
      <c r="M84" s="1158"/>
      <c r="N84" s="1158"/>
      <c r="O84" s="1158"/>
      <c r="P84" s="1159"/>
      <c r="Q84" s="614" t="s">
        <v>1677</v>
      </c>
    </row>
    <row r="85" spans="1:18" s="50" customFormat="1" ht="3" customHeight="1">
      <c r="A85" s="49"/>
      <c r="D85" s="47"/>
      <c r="E85" s="44"/>
      <c r="F85" s="674"/>
      <c r="G85" s="674"/>
      <c r="H85" s="674"/>
      <c r="I85" s="674"/>
      <c r="J85" s="38"/>
      <c r="K85" s="38"/>
      <c r="L85" s="38"/>
      <c r="M85" s="71"/>
      <c r="N85" s="674"/>
      <c r="O85" s="817"/>
      <c r="P85" s="4"/>
    </row>
    <row r="86" spans="1:18" s="123" customFormat="1" ht="12.6" customHeight="1">
      <c r="A86" s="189" t="s">
        <v>638</v>
      </c>
      <c r="B86" s="127" t="s">
        <v>3166</v>
      </c>
      <c r="C86" s="112"/>
      <c r="D86" s="70"/>
      <c r="E86" s="70"/>
      <c r="I86" s="1303" t="s">
        <v>3630</v>
      </c>
      <c r="J86" s="1304"/>
      <c r="K86" s="1304"/>
      <c r="L86" s="1305"/>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56" t="s">
        <v>3622</v>
      </c>
      <c r="B87" s="1156"/>
      <c r="C87" s="1156"/>
      <c r="D87" s="1156"/>
      <c r="E87" s="1156"/>
      <c r="F87" s="1156"/>
      <c r="G87" s="1156"/>
      <c r="H87" s="1156"/>
      <c r="I87" s="1156"/>
      <c r="J87" s="1156"/>
      <c r="K87" s="1156"/>
      <c r="L87" s="1156"/>
      <c r="M87" s="1156"/>
      <c r="N87" s="1156"/>
      <c r="O87" s="1156"/>
      <c r="P87" s="1156"/>
    </row>
    <row r="88" spans="1:18" ht="11.45" customHeight="1">
      <c r="A88" s="171" t="s">
        <v>2695</v>
      </c>
      <c r="B88" s="229" t="s">
        <v>3296</v>
      </c>
      <c r="D88" s="40"/>
      <c r="M88" s="139"/>
      <c r="N88" s="31"/>
      <c r="O88" s="144" t="s">
        <v>3297</v>
      </c>
      <c r="P88" s="144" t="s">
        <v>3297</v>
      </c>
    </row>
    <row r="89" spans="1:18" ht="11.45" customHeight="1">
      <c r="A89" s="482" t="str">
        <f>IF($I$86="Stable Communities &lt; 5%", "*","")</f>
        <v/>
      </c>
      <c r="B89" s="483" t="s">
        <v>2699</v>
      </c>
      <c r="C89" s="601" t="s">
        <v>3572</v>
      </c>
      <c r="E89" s="142"/>
      <c r="M89" s="97">
        <v>4</v>
      </c>
      <c r="N89" s="31"/>
      <c r="O89" s="1719"/>
      <c r="P89" s="679"/>
    </row>
    <row r="90" spans="1:18" ht="11.45" customHeight="1">
      <c r="B90" s="483" t="s">
        <v>2701</v>
      </c>
      <c r="C90" s="601" t="s">
        <v>3754</v>
      </c>
      <c r="D90" s="1749" t="s">
        <v>3756</v>
      </c>
      <c r="E90" s="601" t="s">
        <v>3755</v>
      </c>
      <c r="H90" s="121" t="s">
        <v>3149</v>
      </c>
      <c r="K90" s="166" t="s">
        <v>3753</v>
      </c>
      <c r="L90" s="1750"/>
      <c r="M90" s="576"/>
      <c r="N90" s="574"/>
    </row>
    <row r="91" spans="1:18" ht="11.45" customHeight="1">
      <c r="B91" s="483" t="s">
        <v>3323</v>
      </c>
      <c r="C91" s="551" t="s">
        <v>3150</v>
      </c>
      <c r="E91" s="142"/>
      <c r="H91" s="121" t="s">
        <v>3151</v>
      </c>
      <c r="K91" s="670" t="s">
        <v>3723</v>
      </c>
      <c r="L91" s="1751"/>
      <c r="M91" s="576"/>
    </row>
    <row r="92" spans="1:18" ht="3" customHeight="1">
      <c r="B92" s="142"/>
      <c r="C92" s="142"/>
      <c r="D92" s="142"/>
      <c r="E92" s="142"/>
      <c r="R92" s="50"/>
    </row>
    <row r="93" spans="1:18" ht="11.45" customHeight="1">
      <c r="A93" s="171" t="s">
        <v>2698</v>
      </c>
      <c r="B93" s="229" t="s">
        <v>290</v>
      </c>
      <c r="D93" s="40"/>
      <c r="E93" s="40"/>
      <c r="F93" s="40"/>
      <c r="H93" s="1124" t="s">
        <v>3769</v>
      </c>
      <c r="I93" s="1124"/>
      <c r="J93" s="1125"/>
      <c r="K93" s="1752"/>
      <c r="L93" s="1753"/>
      <c r="M93" s="1753"/>
      <c r="N93" s="1753"/>
      <c r="O93" s="1753"/>
      <c r="P93" s="1754"/>
    </row>
    <row r="94" spans="1:18" ht="3" customHeight="1">
      <c r="B94" s="142"/>
      <c r="C94" s="142"/>
      <c r="D94" s="142"/>
      <c r="E94" s="142"/>
      <c r="R94" s="50"/>
    </row>
    <row r="95" spans="1:18" s="50" customFormat="1" ht="11.45" customHeight="1">
      <c r="A95" s="576" t="str">
        <f>IF($I$86="Statutory Redevelopment Plan", "*","")</f>
        <v/>
      </c>
      <c r="B95" s="483" t="s">
        <v>2699</v>
      </c>
      <c r="C95" s="136" t="s">
        <v>461</v>
      </c>
      <c r="D95" s="123"/>
      <c r="E95" s="823"/>
      <c r="M95" s="577">
        <v>2</v>
      </c>
      <c r="O95" s="144" t="s">
        <v>3297</v>
      </c>
      <c r="P95" s="144" t="s">
        <v>3297</v>
      </c>
    </row>
    <row r="96" spans="1:18" s="50" customFormat="1" ht="11.45" customHeight="1">
      <c r="A96" s="482"/>
      <c r="B96" s="484" t="s">
        <v>3202</v>
      </c>
      <c r="C96" s="64" t="s">
        <v>3627</v>
      </c>
      <c r="D96" s="123"/>
      <c r="E96" s="823"/>
      <c r="G96" s="507"/>
      <c r="I96" s="1755" t="str">
        <f>'Part I-Project Information'!F34</f>
        <v>City of Columbus</v>
      </c>
      <c r="J96" s="1756"/>
      <c r="K96" s="1756"/>
      <c r="L96" s="1757"/>
      <c r="M96" s="482" t="str">
        <f>IF(AND($I$86="Statutory Redevelopment Plan",OR(O96="",I96=0)), "X","")</f>
        <v/>
      </c>
      <c r="N96" s="574" t="s">
        <v>3432</v>
      </c>
      <c r="O96" s="1694"/>
      <c r="P96" s="324"/>
    </row>
    <row r="97" spans="1:18" s="50" customFormat="1" ht="11.45" customHeight="1">
      <c r="A97" s="482"/>
      <c r="B97" s="484" t="s">
        <v>3203</v>
      </c>
      <c r="C97" s="64" t="s">
        <v>3623</v>
      </c>
      <c r="D97" s="123"/>
      <c r="E97" s="823"/>
      <c r="G97" s="507"/>
      <c r="I97" s="1758" t="s">
        <v>3624</v>
      </c>
      <c r="J97" s="1759"/>
      <c r="M97" s="482" t="str">
        <f>IF(AND($I$86="Statutory Redevelopment Plan",OR(O97="",I97="&lt;&lt;Select statute&gt;&gt;")), "X","")</f>
        <v/>
      </c>
      <c r="N97" s="484" t="s">
        <v>3203</v>
      </c>
      <c r="O97" s="1695"/>
      <c r="P97" s="473"/>
    </row>
    <row r="98" spans="1:18" s="50" customFormat="1" ht="11.45" customHeight="1">
      <c r="A98" s="482"/>
      <c r="B98" s="505" t="s">
        <v>3204</v>
      </c>
      <c r="C98" s="670" t="s">
        <v>3626</v>
      </c>
      <c r="D98" s="123"/>
      <c r="E98" s="823"/>
      <c r="G98" s="507"/>
      <c r="I98" s="1760"/>
      <c r="J98" s="1761"/>
      <c r="M98" s="482" t="str">
        <f>IF(AND($I$86="Statutory Redevelopment Plan",OR(O98="",I98="")), "X","")</f>
        <v/>
      </c>
      <c r="N98" s="505" t="s">
        <v>3204</v>
      </c>
      <c r="O98" s="1696"/>
      <c r="P98" s="325"/>
    </row>
    <row r="99" spans="1:18" s="50" customFormat="1" ht="11.45" customHeight="1">
      <c r="A99" s="482"/>
      <c r="B99" s="505" t="s">
        <v>3205</v>
      </c>
      <c r="C99" s="64" t="s">
        <v>3625</v>
      </c>
      <c r="E99" s="823"/>
      <c r="G99" s="507"/>
      <c r="J99" s="64" t="s">
        <v>3628</v>
      </c>
      <c r="K99" s="1762"/>
      <c r="L99" s="1763"/>
      <c r="M99" s="482" t="str">
        <f>IF(AND($I$86="Statutory Redevelopment Plan",OR(O99="",K99="")), "X","")</f>
        <v/>
      </c>
      <c r="N99" s="505" t="s">
        <v>3205</v>
      </c>
      <c r="O99" s="1694"/>
      <c r="P99" s="324"/>
    </row>
    <row r="100" spans="1:18" s="50" customFormat="1" ht="11.45" customHeight="1">
      <c r="A100" s="482"/>
      <c r="B100" s="505" t="s">
        <v>3206</v>
      </c>
      <c r="C100" s="64" t="s">
        <v>3629</v>
      </c>
      <c r="D100" s="123"/>
      <c r="E100" s="823"/>
      <c r="G100" s="507"/>
      <c r="J100" s="64" t="s">
        <v>3628</v>
      </c>
      <c r="K100" s="1762"/>
      <c r="L100" s="1763"/>
      <c r="M100" s="482" t="str">
        <f>IF(AND($I$86="Statutory Redevelopment Plan",OR(O100="",K100="")), "X","")</f>
        <v/>
      </c>
      <c r="N100" s="505" t="s">
        <v>3206</v>
      </c>
      <c r="O100" s="1696"/>
      <c r="P100" s="325"/>
    </row>
    <row r="101" spans="1:18" ht="3" customHeight="1">
      <c r="B101" s="142"/>
      <c r="C101" s="142"/>
      <c r="D101" s="142"/>
      <c r="E101" s="142"/>
      <c r="R101" s="50"/>
    </row>
    <row r="102" spans="1:18" s="50" customFormat="1" ht="11.45" customHeight="1">
      <c r="A102" s="482" t="str">
        <f>IF($I$86="Redevelopment Zone", "*","")</f>
        <v>*</v>
      </c>
      <c r="B102" s="483" t="s">
        <v>2701</v>
      </c>
      <c r="C102" s="136" t="s">
        <v>462</v>
      </c>
      <c r="D102" s="123"/>
      <c r="E102" s="823" t="s">
        <v>1433</v>
      </c>
      <c r="H102" s="1764" t="s">
        <v>4131</v>
      </c>
      <c r="I102" s="1765"/>
      <c r="J102" s="585" t="s">
        <v>3693</v>
      </c>
      <c r="K102" s="1758"/>
      <c r="L102" s="1759"/>
      <c r="M102" s="577">
        <v>2</v>
      </c>
      <c r="N102" s="682" t="s">
        <v>2701</v>
      </c>
      <c r="O102" s="1766">
        <v>2</v>
      </c>
      <c r="P102" s="671"/>
      <c r="Q102" s="507" t="s">
        <v>3631</v>
      </c>
    </row>
    <row r="103" spans="1:18" s="50" customFormat="1" ht="11.45" customHeight="1">
      <c r="A103" s="482" t="str">
        <f>IF($I$87="Redevelopment Zone", "*","")</f>
        <v/>
      </c>
      <c r="B103" s="483"/>
      <c r="C103" s="136"/>
      <c r="D103" s="123"/>
      <c r="E103" s="823" t="s">
        <v>3767</v>
      </c>
      <c r="I103" s="1752" t="s">
        <v>4132</v>
      </c>
      <c r="J103" s="1753"/>
      <c r="K103" s="1753"/>
      <c r="L103" s="1754"/>
      <c r="M103" s="76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23"/>
      <c r="F105" s="502"/>
      <c r="H105" s="823" t="s">
        <v>552</v>
      </c>
      <c r="I105" s="1752"/>
      <c r="J105" s="1753"/>
      <c r="K105" s="1753"/>
      <c r="L105" s="1754"/>
      <c r="M105" s="577">
        <v>1</v>
      </c>
      <c r="N105" s="577"/>
      <c r="O105" s="1767"/>
      <c r="P105" s="547"/>
      <c r="Q105" s="507" t="s">
        <v>3631</v>
      </c>
    </row>
    <row r="106" spans="1:18" ht="11.45" customHeight="1">
      <c r="B106" s="484" t="s">
        <v>3202</v>
      </c>
      <c r="C106" s="823" t="s">
        <v>3636</v>
      </c>
      <c r="D106" s="121"/>
      <c r="J106" s="144" t="s">
        <v>772</v>
      </c>
      <c r="K106" s="1760"/>
      <c r="L106" s="1761"/>
      <c r="M106" s="482" t="str">
        <f>IF(AND($I$86="Local Redevelopment Plan",OR(O106="",K106="")), "X","")</f>
        <v/>
      </c>
      <c r="N106" s="505" t="s">
        <v>3126</v>
      </c>
      <c r="O106" s="1694"/>
      <c r="P106" s="324"/>
    </row>
    <row r="107" spans="1:18" ht="10.9" customHeight="1">
      <c r="B107" s="484" t="s">
        <v>3203</v>
      </c>
      <c r="C107" s="485" t="s">
        <v>3224</v>
      </c>
      <c r="D107" s="121"/>
      <c r="K107" s="162" t="s">
        <v>3628</v>
      </c>
      <c r="L107" s="1768"/>
      <c r="M107" s="482" t="str">
        <f t="shared" ref="M107:M112" si="0">IF(AND($I$86="Local Redevelopment Plan",OR(O107="",L107="")), "X","")</f>
        <v/>
      </c>
      <c r="N107" s="484" t="s">
        <v>3203</v>
      </c>
      <c r="O107" s="1769"/>
      <c r="P107" s="518"/>
    </row>
    <row r="108" spans="1:18" ht="10.9" customHeight="1">
      <c r="B108" s="484" t="s">
        <v>3204</v>
      </c>
      <c r="C108" s="485" t="s">
        <v>3225</v>
      </c>
      <c r="K108" s="162" t="s">
        <v>3628</v>
      </c>
      <c r="L108" s="1768"/>
      <c r="M108" s="482" t="str">
        <f t="shared" si="0"/>
        <v/>
      </c>
      <c r="N108" s="484" t="s">
        <v>3204</v>
      </c>
      <c r="O108" s="1695"/>
      <c r="P108" s="473"/>
    </row>
    <row r="109" spans="1:18" ht="10.9" customHeight="1">
      <c r="B109" s="484" t="s">
        <v>3205</v>
      </c>
      <c r="C109" s="485" t="s">
        <v>3226</v>
      </c>
      <c r="K109" s="162" t="s">
        <v>3628</v>
      </c>
      <c r="L109" s="1768"/>
      <c r="M109" s="482" t="str">
        <f t="shared" si="0"/>
        <v/>
      </c>
      <c r="N109" s="484" t="s">
        <v>3205</v>
      </c>
      <c r="O109" s="1695"/>
      <c r="P109" s="473"/>
    </row>
    <row r="110" spans="1:18" ht="10.9" customHeight="1">
      <c r="B110" s="484" t="s">
        <v>3206</v>
      </c>
      <c r="C110" s="68" t="s">
        <v>3227</v>
      </c>
      <c r="K110" s="162" t="s">
        <v>3628</v>
      </c>
      <c r="L110" s="1768"/>
      <c r="M110" s="482" t="str">
        <f t="shared" si="0"/>
        <v/>
      </c>
      <c r="N110" s="484" t="s">
        <v>3206</v>
      </c>
      <c r="O110" s="1695"/>
      <c r="P110" s="473"/>
    </row>
    <row r="111" spans="1:18" ht="10.9" customHeight="1">
      <c r="B111" s="484" t="s">
        <v>3222</v>
      </c>
      <c r="C111" s="485" t="s">
        <v>3228</v>
      </c>
      <c r="D111" s="121"/>
      <c r="K111" s="162" t="s">
        <v>3628</v>
      </c>
      <c r="L111" s="1768"/>
      <c r="M111" s="482" t="str">
        <f t="shared" si="0"/>
        <v/>
      </c>
      <c r="N111" s="484" t="s">
        <v>3222</v>
      </c>
      <c r="O111" s="1695"/>
      <c r="P111" s="473"/>
    </row>
    <row r="112" spans="1:18" ht="10.9" customHeight="1">
      <c r="B112" s="484" t="s">
        <v>3223</v>
      </c>
      <c r="C112" s="485" t="s">
        <v>3229</v>
      </c>
      <c r="K112" s="162" t="s">
        <v>3628</v>
      </c>
      <c r="L112" s="1768"/>
      <c r="M112" s="482" t="str">
        <f t="shared" si="0"/>
        <v/>
      </c>
      <c r="N112" s="484" t="s">
        <v>3223</v>
      </c>
      <c r="O112" s="1696"/>
      <c r="P112" s="325"/>
    </row>
    <row r="113" spans="1:17" ht="11.45" customHeight="1">
      <c r="A113" s="482" t="str">
        <f>IF($I$86="Stable Communities &lt; 20%", "*","")</f>
        <v/>
      </c>
      <c r="C113" s="499" t="s">
        <v>3233</v>
      </c>
      <c r="E113" s="142"/>
      <c r="M113" s="504"/>
      <c r="N113" s="31"/>
      <c r="O113" s="144"/>
      <c r="P113" s="144"/>
    </row>
    <row r="114" spans="1:17" ht="10.9" customHeight="1">
      <c r="B114" s="484" t="s">
        <v>3230</v>
      </c>
      <c r="C114" s="766" t="s">
        <v>3942</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17"/>
    </row>
    <row r="117" spans="1:17" s="50" customFormat="1" ht="12.75" customHeight="1">
      <c r="A117" s="1746"/>
      <c r="B117" s="1747"/>
      <c r="C117" s="1747"/>
      <c r="D117" s="1747"/>
      <c r="E117" s="1747"/>
      <c r="F117" s="1747"/>
      <c r="G117" s="1747"/>
      <c r="H117" s="1747"/>
      <c r="I117" s="1747"/>
      <c r="J117" s="1747"/>
      <c r="K117" s="1747"/>
      <c r="L117" s="1747"/>
      <c r="M117" s="1747"/>
      <c r="N117" s="1747"/>
      <c r="O117" s="1747"/>
      <c r="P117" s="1748"/>
      <c r="Q117" s="614" t="s">
        <v>1677</v>
      </c>
    </row>
    <row r="118" spans="1:17" s="50" customFormat="1" ht="11.25" customHeight="1">
      <c r="A118" s="49"/>
      <c r="B118" s="103" t="s">
        <v>2572</v>
      </c>
      <c r="C118" s="49"/>
      <c r="D118" s="103"/>
      <c r="E118" s="818"/>
      <c r="F118" s="818"/>
      <c r="G118" s="818"/>
      <c r="H118" s="818"/>
      <c r="I118" s="818"/>
      <c r="J118" s="818"/>
      <c r="K118" s="818"/>
      <c r="L118" s="818"/>
      <c r="M118" s="818"/>
      <c r="N118" s="90"/>
      <c r="O118" s="85"/>
      <c r="P118" s="2"/>
      <c r="Q118" s="570"/>
    </row>
    <row r="119" spans="1:17" s="50" customFormat="1" ht="12.75" customHeight="1">
      <c r="A119" s="1157"/>
      <c r="B119" s="1158"/>
      <c r="C119" s="1158"/>
      <c r="D119" s="1158"/>
      <c r="E119" s="1158"/>
      <c r="F119" s="1158"/>
      <c r="G119" s="1158"/>
      <c r="H119" s="1158"/>
      <c r="I119" s="1158"/>
      <c r="J119" s="1158"/>
      <c r="K119" s="1158"/>
      <c r="L119" s="1158"/>
      <c r="M119" s="1158"/>
      <c r="N119" s="1158"/>
      <c r="O119" s="1158"/>
      <c r="P119" s="1159"/>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0</v>
      </c>
      <c r="P121" s="92">
        <f>MIN($M121,(P122+P128))</f>
        <v>0</v>
      </c>
      <c r="Q121" s="130" t="s">
        <v>566</v>
      </c>
    </row>
    <row r="122" spans="1:17" ht="12" customHeight="1">
      <c r="B122" s="814" t="s">
        <v>2695</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2695</v>
      </c>
      <c r="O122" s="1767"/>
      <c r="P122" s="547"/>
      <c r="Q122" s="507" t="s">
        <v>3631</v>
      </c>
    </row>
    <row r="123" spans="1:17" s="121" customFormat="1" ht="22.9" customHeight="1">
      <c r="B123" s="509" t="s">
        <v>2699</v>
      </c>
      <c r="C123" s="1163" t="s">
        <v>3758</v>
      </c>
      <c r="D123" s="1102"/>
      <c r="E123" s="1102"/>
      <c r="F123" s="1102"/>
      <c r="G123" s="1102"/>
      <c r="H123" s="1102"/>
      <c r="I123" s="1102"/>
      <c r="J123" s="1102"/>
      <c r="K123" s="1102"/>
      <c r="L123" s="1102"/>
      <c r="M123" s="546"/>
      <c r="N123" s="509" t="s">
        <v>2699</v>
      </c>
      <c r="O123" s="1637"/>
      <c r="P123" s="210"/>
    </row>
    <row r="124" spans="1:17" s="121" customFormat="1" ht="11.45" customHeight="1">
      <c r="B124" s="225"/>
      <c r="C124" s="143" t="s">
        <v>1360</v>
      </c>
      <c r="H124" s="585" t="s">
        <v>3381</v>
      </c>
      <c r="I124" s="1770"/>
      <c r="J124" s="585" t="s">
        <v>3030</v>
      </c>
      <c r="K124" s="1771"/>
      <c r="L124" s="1772"/>
      <c r="M124" s="1773"/>
    </row>
    <row r="125" spans="1:17" s="121" customFormat="1" ht="11.45" customHeight="1">
      <c r="B125" s="225" t="s">
        <v>2701</v>
      </c>
      <c r="C125" s="143" t="s">
        <v>1361</v>
      </c>
      <c r="M125" s="8"/>
      <c r="N125" s="225" t="s">
        <v>2701</v>
      </c>
      <c r="O125" s="1694"/>
      <c r="P125" s="324"/>
    </row>
    <row r="126" spans="1:17" s="121" customFormat="1" ht="11.45" customHeight="1">
      <c r="B126" s="225" t="s">
        <v>3323</v>
      </c>
      <c r="C126" s="143" t="s">
        <v>1362</v>
      </c>
      <c r="M126" s="8"/>
      <c r="N126" s="225" t="s">
        <v>3323</v>
      </c>
      <c r="O126" s="1695"/>
      <c r="P126" s="473"/>
    </row>
    <row r="127" spans="1:17" s="121" customFormat="1" ht="11.45" customHeight="1">
      <c r="B127" s="225" t="s">
        <v>1645</v>
      </c>
      <c r="C127" s="143" t="s">
        <v>1363</v>
      </c>
      <c r="M127" s="8"/>
      <c r="N127" s="225" t="s">
        <v>1645</v>
      </c>
      <c r="O127" s="1696"/>
      <c r="P127" s="325"/>
    </row>
    <row r="128" spans="1:17" ht="12" customHeight="1">
      <c r="A128" s="229" t="s">
        <v>1788</v>
      </c>
      <c r="B128" s="814" t="s">
        <v>2698</v>
      </c>
      <c r="C128" s="229" t="s">
        <v>2959</v>
      </c>
      <c r="D128" s="142"/>
      <c r="E128" s="552" t="s">
        <v>3963</v>
      </c>
      <c r="M128" s="88">
        <v>3</v>
      </c>
      <c r="N128" s="654" t="s">
        <v>2698</v>
      </c>
      <c r="O128" s="548">
        <f>IF($M129=5,3,IF($M129=4,2,0))</f>
        <v>0</v>
      </c>
      <c r="P128" s="84"/>
    </row>
    <row r="129" spans="1:17" ht="12" customHeight="1">
      <c r="B129" s="580" t="s">
        <v>3696</v>
      </c>
      <c r="D129" s="40"/>
      <c r="E129" s="40"/>
      <c r="F129" s="40"/>
      <c r="G129" s="823"/>
      <c r="H129" s="823"/>
      <c r="I129" s="823"/>
      <c r="J129" s="823"/>
      <c r="M129" s="1774" t="s">
        <v>219</v>
      </c>
      <c r="N129" s="166" t="s">
        <v>3694</v>
      </c>
      <c r="O129" s="123"/>
      <c r="P129" s="123"/>
    </row>
    <row r="130" spans="1:17" ht="12" customHeight="1">
      <c r="B130" s="580" t="s">
        <v>3695</v>
      </c>
      <c r="D130" s="40"/>
      <c r="E130" s="40"/>
      <c r="F130" s="40"/>
      <c r="G130" s="823"/>
      <c r="H130" s="823"/>
      <c r="I130" s="823"/>
      <c r="J130" s="82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17"/>
    </row>
    <row r="132" spans="1:17" s="50" customFormat="1" ht="11.45" customHeight="1">
      <c r="A132" s="1641"/>
      <c r="B132" s="1642"/>
      <c r="C132" s="1642"/>
      <c r="D132" s="1642"/>
      <c r="E132" s="1642"/>
      <c r="F132" s="1642"/>
      <c r="G132" s="1642"/>
      <c r="H132" s="1642"/>
      <c r="I132" s="1642"/>
      <c r="J132" s="1642"/>
      <c r="K132" s="1642"/>
      <c r="L132" s="1642"/>
      <c r="M132" s="1642"/>
      <c r="N132" s="1642"/>
      <c r="O132" s="1642"/>
      <c r="P132" s="1643"/>
      <c r="Q132" s="614" t="s">
        <v>1677</v>
      </c>
    </row>
    <row r="133" spans="1:17" s="50" customFormat="1" ht="11.45" customHeight="1">
      <c r="B133" s="103" t="s">
        <v>2572</v>
      </c>
      <c r="C133" s="119"/>
      <c r="D133" s="103"/>
      <c r="E133" s="120"/>
      <c r="F133" s="818"/>
      <c r="G133" s="818"/>
      <c r="H133" s="818"/>
      <c r="I133" s="818"/>
      <c r="J133" s="818"/>
      <c r="K133" s="818"/>
      <c r="L133" s="818"/>
      <c r="M133" s="818"/>
      <c r="N133" s="90"/>
      <c r="O133" s="85"/>
      <c r="P133" s="2"/>
      <c r="Q133" s="570"/>
    </row>
    <row r="134" spans="1:17" s="50" customFormat="1" ht="11.45" customHeight="1">
      <c r="A134" s="1048"/>
      <c r="B134" s="1049"/>
      <c r="C134" s="1049"/>
      <c r="D134" s="1049"/>
      <c r="E134" s="1049"/>
      <c r="F134" s="1049"/>
      <c r="G134" s="1049"/>
      <c r="H134" s="1049"/>
      <c r="I134" s="1049"/>
      <c r="J134" s="1049"/>
      <c r="K134" s="1049"/>
      <c r="L134" s="1049"/>
      <c r="M134" s="1049"/>
      <c r="N134" s="1049"/>
      <c r="O134" s="1049"/>
      <c r="P134" s="1050"/>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740">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3697</v>
      </c>
      <c r="D138" s="597"/>
      <c r="M138" s="598"/>
      <c r="N138" s="506"/>
      <c r="O138" s="506" t="s">
        <v>3202</v>
      </c>
      <c r="P138" s="326"/>
    </row>
    <row r="139" spans="1:17" s="511" customFormat="1">
      <c r="A139" s="506" t="s">
        <v>3203</v>
      </c>
      <c r="B139" s="1164" t="s">
        <v>3459</v>
      </c>
      <c r="C139" s="941"/>
      <c r="D139" s="941"/>
      <c r="E139" s="941"/>
      <c r="F139" s="941"/>
      <c r="G139" s="941"/>
      <c r="H139" s="941"/>
      <c r="I139" s="941"/>
      <c r="J139" s="941"/>
      <c r="K139" s="941"/>
      <c r="L139" s="941"/>
      <c r="M139" s="941"/>
      <c r="N139" s="941"/>
      <c r="O139" s="506" t="s">
        <v>3203</v>
      </c>
      <c r="P139" s="599"/>
    </row>
    <row r="140" spans="1:17" s="511" customFormat="1" ht="24" customHeight="1">
      <c r="A140" s="506" t="s">
        <v>3204</v>
      </c>
      <c r="B140" s="1164" t="s">
        <v>3698</v>
      </c>
      <c r="C140" s="941"/>
      <c r="D140" s="941"/>
      <c r="E140" s="941"/>
      <c r="F140" s="941"/>
      <c r="G140" s="941"/>
      <c r="H140" s="941"/>
      <c r="I140" s="941"/>
      <c r="J140" s="941"/>
      <c r="K140" s="941"/>
      <c r="L140" s="941"/>
      <c r="M140" s="941"/>
      <c r="N140" s="941"/>
      <c r="O140" s="506" t="s">
        <v>3204</v>
      </c>
      <c r="P140" s="599"/>
    </row>
    <row r="141" spans="1:17" s="511" customFormat="1" ht="12.75" customHeight="1">
      <c r="A141" s="506" t="s">
        <v>3205</v>
      </c>
      <c r="B141" s="683" t="s">
        <v>3699</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17"/>
    </row>
    <row r="144" spans="1:17" s="50" customFormat="1" ht="24.6" customHeight="1">
      <c r="A144" s="1641"/>
      <c r="B144" s="1642"/>
      <c r="C144" s="1642"/>
      <c r="D144" s="1642"/>
      <c r="E144" s="1642"/>
      <c r="F144" s="1642"/>
      <c r="G144" s="1642"/>
      <c r="H144" s="1642"/>
      <c r="I144" s="1642"/>
      <c r="J144" s="1642"/>
      <c r="K144" s="1642"/>
      <c r="L144" s="1642"/>
      <c r="M144" s="1642"/>
      <c r="N144" s="1642"/>
      <c r="O144" s="1642"/>
      <c r="P144" s="1643"/>
      <c r="Q144" s="614" t="s">
        <v>1677</v>
      </c>
    </row>
    <row r="145" spans="1:18" s="50" customFormat="1" ht="11.25" customHeight="1">
      <c r="A145" s="49"/>
      <c r="B145" s="103" t="s">
        <v>2572</v>
      </c>
      <c r="C145" s="49"/>
      <c r="D145" s="103"/>
      <c r="E145" s="818"/>
      <c r="F145" s="818"/>
      <c r="G145" s="818"/>
      <c r="H145" s="818"/>
      <c r="I145" s="818"/>
      <c r="J145" s="818"/>
      <c r="K145" s="818"/>
      <c r="L145" s="818"/>
      <c r="M145" s="818"/>
      <c r="N145" s="90"/>
      <c r="O145" s="85"/>
      <c r="P145" s="2"/>
      <c r="Q145" s="570"/>
    </row>
    <row r="146" spans="1:18" s="50" customFormat="1" ht="40.5" customHeight="1">
      <c r="A146" s="1048"/>
      <c r="B146" s="1049"/>
      <c r="C146" s="1049"/>
      <c r="D146" s="1049"/>
      <c r="E146" s="1049"/>
      <c r="F146" s="1049"/>
      <c r="G146" s="1049"/>
      <c r="H146" s="1049"/>
      <c r="I146" s="1049"/>
      <c r="J146" s="1049"/>
      <c r="K146" s="1049"/>
      <c r="L146" s="1049"/>
      <c r="M146" s="1049"/>
      <c r="N146" s="1049"/>
      <c r="O146" s="1049"/>
      <c r="P146" s="1050"/>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2695</v>
      </c>
      <c r="B149" s="213" t="s">
        <v>2961</v>
      </c>
      <c r="D149" s="72"/>
      <c r="E149" s="72"/>
      <c r="F149" s="51"/>
      <c r="G149" s="31"/>
      <c r="K149" s="654" t="s">
        <v>3593</v>
      </c>
      <c r="L149" s="1637" t="s">
        <v>4064</v>
      </c>
      <c r="M149" s="8">
        <v>1</v>
      </c>
      <c r="N149" s="654" t="s">
        <v>2695</v>
      </c>
      <c r="O149" s="1740">
        <v>1</v>
      </c>
      <c r="P149" s="84"/>
      <c r="Q149" s="507"/>
      <c r="R149" s="490" t="str">
        <f>IF(OR($O149=$M149,$O149=0,$O149=""),"","* * Check Score! * *")</f>
        <v/>
      </c>
    </row>
    <row r="150" spans="1:18" s="50" customFormat="1" ht="12" customHeight="1">
      <c r="A150" s="171" t="s">
        <v>2698</v>
      </c>
      <c r="B150" s="213" t="s">
        <v>2962</v>
      </c>
      <c r="D150" s="68"/>
      <c r="H150" s="669" t="s">
        <v>3573</v>
      </c>
      <c r="K150" s="61"/>
      <c r="L150" s="1637"/>
      <c r="M150" s="8">
        <v>1</v>
      </c>
      <c r="N150" s="654" t="s">
        <v>2698</v>
      </c>
      <c r="O150" s="1740"/>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17"/>
    </row>
    <row r="152" spans="1:18" s="50" customFormat="1" ht="12.6" customHeight="1">
      <c r="A152" s="1641"/>
      <c r="B152" s="1642"/>
      <c r="C152" s="1642"/>
      <c r="D152" s="1642"/>
      <c r="E152" s="1642"/>
      <c r="F152" s="1642"/>
      <c r="G152" s="1642"/>
      <c r="H152" s="1642"/>
      <c r="I152" s="1642"/>
      <c r="J152" s="1642"/>
      <c r="K152" s="1642"/>
      <c r="L152" s="1642"/>
      <c r="M152" s="1642"/>
      <c r="N152" s="1642"/>
      <c r="O152" s="1642"/>
      <c r="P152" s="1643"/>
      <c r="Q152" s="614" t="s">
        <v>1677</v>
      </c>
    </row>
    <row r="153" spans="1:18" s="50" customFormat="1" ht="11.25" customHeight="1">
      <c r="A153" s="49"/>
      <c r="B153" s="103" t="s">
        <v>2572</v>
      </c>
      <c r="C153" s="119"/>
      <c r="D153" s="103"/>
      <c r="E153" s="120"/>
      <c r="F153" s="818"/>
      <c r="G153" s="818"/>
      <c r="H153" s="818"/>
      <c r="I153" s="818"/>
      <c r="J153" s="818"/>
      <c r="K153" s="818"/>
      <c r="L153" s="818"/>
      <c r="M153" s="818"/>
      <c r="N153" s="90"/>
      <c r="O153" s="85"/>
      <c r="P153" s="2"/>
      <c r="Q153" s="570"/>
    </row>
    <row r="154" spans="1:18" s="50" customFormat="1" ht="12.6" customHeight="1">
      <c r="A154" s="1048"/>
      <c r="B154" s="1049"/>
      <c r="C154" s="1049"/>
      <c r="D154" s="1049"/>
      <c r="E154" s="1049"/>
      <c r="F154" s="1049"/>
      <c r="G154" s="1049"/>
      <c r="H154" s="1049"/>
      <c r="I154" s="1049"/>
      <c r="J154" s="1049"/>
      <c r="K154" s="1049"/>
      <c r="L154" s="1049"/>
      <c r="M154" s="1049"/>
      <c r="N154" s="1049"/>
      <c r="O154" s="1049"/>
      <c r="P154" s="1050"/>
      <c r="Q154" s="614" t="s">
        <v>1677</v>
      </c>
    </row>
    <row r="155" spans="1:18" s="50" customFormat="1" ht="3" customHeight="1">
      <c r="A155" s="49"/>
      <c r="B155" s="49"/>
      <c r="C155" s="818"/>
      <c r="D155" s="818"/>
      <c r="E155" s="818"/>
      <c r="F155" s="818"/>
      <c r="G155" s="818"/>
      <c r="H155" s="818"/>
      <c r="I155" s="818"/>
      <c r="J155" s="818"/>
      <c r="K155" s="818"/>
      <c r="L155" s="818"/>
      <c r="M155" s="818"/>
      <c r="N155" s="90"/>
      <c r="O155" s="85"/>
      <c r="P155" s="674"/>
    </row>
    <row r="156" spans="1:18" s="50" customFormat="1" ht="15">
      <c r="A156" s="190" t="s">
        <v>239</v>
      </c>
      <c r="B156" s="134" t="s">
        <v>3558</v>
      </c>
      <c r="C156" s="105"/>
      <c r="D156" s="69"/>
      <c r="E156" s="61"/>
      <c r="J156" s="72"/>
      <c r="K156" s="611" t="s">
        <v>3578</v>
      </c>
      <c r="L156" s="652">
        <f>'Part I-Project Information'!$H$81</f>
        <v>0</v>
      </c>
      <c r="M156" s="2">
        <v>3</v>
      </c>
      <c r="N156" s="7"/>
      <c r="O156" s="7"/>
      <c r="P156" s="84"/>
      <c r="Q156" s="130" t="s">
        <v>566</v>
      </c>
    </row>
    <row r="157" spans="1:18" s="50" customFormat="1" ht="12" customHeight="1">
      <c r="A157" s="171"/>
      <c r="B157" s="64" t="s">
        <v>3086</v>
      </c>
      <c r="D157" s="40"/>
      <c r="N157" s="654"/>
      <c r="O157" s="1637"/>
      <c r="P157" s="210"/>
      <c r="R157" s="490"/>
    </row>
    <row r="158" spans="1:18" s="50" customFormat="1" ht="12" customHeight="1">
      <c r="A158" s="171"/>
      <c r="B158" s="64" t="s">
        <v>3586</v>
      </c>
      <c r="D158" s="40"/>
      <c r="N158" s="654"/>
      <c r="O158" s="1637"/>
      <c r="P158" s="210"/>
      <c r="R158" s="490"/>
    </row>
    <row r="159" spans="1:18" s="50" customFormat="1" ht="12" customHeight="1">
      <c r="A159" s="49"/>
      <c r="B159" s="56" t="s">
        <v>281</v>
      </c>
      <c r="C159" s="49"/>
      <c r="D159" s="55"/>
      <c r="E159" s="55"/>
      <c r="F159" s="55"/>
      <c r="G159" s="55"/>
      <c r="H159" s="44"/>
      <c r="I159" s="44"/>
      <c r="J159" s="44"/>
      <c r="K159" s="44"/>
      <c r="M159" s="53"/>
      <c r="N159" s="73"/>
      <c r="O159" s="4"/>
      <c r="P159" s="817"/>
    </row>
    <row r="160" spans="1:18" s="50" customFormat="1" ht="12.75" customHeight="1">
      <c r="A160" s="1641"/>
      <c r="B160" s="1642"/>
      <c r="C160" s="1642"/>
      <c r="D160" s="1642"/>
      <c r="E160" s="1642"/>
      <c r="F160" s="1642"/>
      <c r="G160" s="1642"/>
      <c r="H160" s="1642"/>
      <c r="I160" s="1642"/>
      <c r="J160" s="1642"/>
      <c r="K160" s="1642"/>
      <c r="L160" s="1642"/>
      <c r="M160" s="1642"/>
      <c r="N160" s="1642"/>
      <c r="O160" s="1642"/>
      <c r="P160" s="1643"/>
      <c r="Q160" s="614" t="s">
        <v>1677</v>
      </c>
    </row>
    <row r="161" spans="1:18" s="50" customFormat="1" ht="12" customHeight="1">
      <c r="B161" s="103" t="s">
        <v>2572</v>
      </c>
      <c r="C161" s="119"/>
      <c r="D161" s="103"/>
      <c r="E161" s="120"/>
      <c r="F161" s="818"/>
      <c r="G161" s="818"/>
      <c r="H161" s="818"/>
      <c r="I161" s="818"/>
      <c r="J161" s="818"/>
      <c r="K161" s="818"/>
      <c r="L161" s="818"/>
      <c r="M161" s="818"/>
      <c r="N161" s="90"/>
      <c r="O161" s="85"/>
      <c r="P161" s="2"/>
      <c r="Q161" s="570"/>
    </row>
    <row r="162" spans="1:18" s="50" customFormat="1" ht="12.75" customHeight="1">
      <c r="A162" s="1048"/>
      <c r="B162" s="1049"/>
      <c r="C162" s="1049"/>
      <c r="D162" s="1049"/>
      <c r="E162" s="1049"/>
      <c r="F162" s="1049"/>
      <c r="G162" s="1049"/>
      <c r="H162" s="1049"/>
      <c r="I162" s="1049"/>
      <c r="J162" s="1049"/>
      <c r="K162" s="1049"/>
      <c r="L162" s="1049"/>
      <c r="M162" s="1049"/>
      <c r="N162" s="1049"/>
      <c r="O162" s="1049"/>
      <c r="P162" s="1050"/>
      <c r="Q162" s="614" t="s">
        <v>1677</v>
      </c>
    </row>
    <row r="163" spans="1:18" ht="12" customHeight="1"/>
    <row r="164" spans="1:18" s="74" customFormat="1" ht="12.6" customHeight="1">
      <c r="A164" s="190" t="s">
        <v>257</v>
      </c>
      <c r="B164" s="126" t="s">
        <v>872</v>
      </c>
      <c r="D164" s="234" t="s">
        <v>3587</v>
      </c>
      <c r="G164" s="141"/>
      <c r="H164" s="551"/>
      <c r="I164" s="653">
        <f>'Part VI-Revenues &amp; Expenses'!$M$62</f>
        <v>100</v>
      </c>
      <c r="J164" s="782" t="s">
        <v>2489</v>
      </c>
      <c r="K164" s="785">
        <f>'Part VI-Revenues &amp; Expenses'!$M$74/'Part VI-Revenues &amp; Expenses'!$M$62</f>
        <v>1</v>
      </c>
      <c r="L164" s="782" t="s">
        <v>4062</v>
      </c>
      <c r="M164" s="2">
        <v>3</v>
      </c>
      <c r="N164" s="517" t="str">
        <f>IF(OR($O164=$M164,$O164=0,$O164=""),"","***")</f>
        <v/>
      </c>
      <c r="O164" s="1740"/>
      <c r="P164" s="84"/>
      <c r="Q164" s="130" t="s">
        <v>566</v>
      </c>
      <c r="R164" s="31"/>
    </row>
    <row r="165" spans="1:18" s="74" customFormat="1" ht="25.15" customHeight="1">
      <c r="A165" s="189"/>
      <c r="B165" s="1036" t="s">
        <v>3660</v>
      </c>
      <c r="C165" s="1162"/>
      <c r="D165" s="1162"/>
      <c r="E165" s="1162"/>
      <c r="F165" s="1162"/>
      <c r="G165" s="1162"/>
      <c r="H165" s="1162"/>
      <c r="I165" s="1162"/>
      <c r="J165" s="1162"/>
      <c r="K165" s="1162"/>
      <c r="L165" s="1162"/>
      <c r="M165" s="1162"/>
      <c r="N165" s="2"/>
      <c r="O165" s="2"/>
      <c r="P165" s="2"/>
      <c r="Q165" s="130"/>
      <c r="R165" s="490"/>
    </row>
    <row r="166" spans="1:18" s="50" customFormat="1" ht="13.9" customHeight="1">
      <c r="A166" s="49"/>
      <c r="B166" s="56" t="s">
        <v>281</v>
      </c>
      <c r="C166" s="49"/>
      <c r="D166" s="55"/>
      <c r="E166" s="55"/>
      <c r="F166" s="55"/>
      <c r="G166" s="55"/>
      <c r="H166" s="44"/>
      <c r="I166" s="44"/>
      <c r="J166" s="103" t="s">
        <v>2572</v>
      </c>
      <c r="M166" s="53"/>
      <c r="N166" s="73"/>
      <c r="O166" s="4"/>
      <c r="P166" s="817"/>
    </row>
    <row r="167" spans="1:18" s="50" customFormat="1" ht="12" customHeight="1">
      <c r="A167" s="1641"/>
      <c r="B167" s="1642"/>
      <c r="C167" s="1642"/>
      <c r="D167" s="1642"/>
      <c r="E167" s="1642"/>
      <c r="F167" s="1642"/>
      <c r="G167" s="1642"/>
      <c r="H167" s="1642"/>
      <c r="I167" s="1643"/>
      <c r="J167" s="1048"/>
      <c r="K167" s="1049"/>
      <c r="L167" s="1049"/>
      <c r="M167" s="1049"/>
      <c r="N167" s="1049"/>
      <c r="O167" s="1049"/>
      <c r="P167" s="1050"/>
      <c r="Q167" s="614" t="s">
        <v>1677</v>
      </c>
    </row>
    <row r="168" spans="1:18" s="50" customFormat="1" ht="12" customHeight="1">
      <c r="A168" s="49"/>
      <c r="C168" s="818"/>
      <c r="D168" s="818"/>
      <c r="E168" s="818"/>
      <c r="F168" s="818"/>
      <c r="G168" s="818"/>
      <c r="H168" s="818"/>
      <c r="I168" s="818"/>
      <c r="J168" s="818"/>
      <c r="K168" s="818"/>
      <c r="L168" s="818"/>
      <c r="M168" s="81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40"/>
      <c r="P169" s="84"/>
      <c r="Q169" s="130" t="s">
        <v>566</v>
      </c>
    </row>
    <row r="170" spans="1:18" s="50" customFormat="1" ht="12.6" customHeight="1">
      <c r="B170" s="136" t="s">
        <v>2547</v>
      </c>
      <c r="D170" s="123"/>
      <c r="E170" s="1775" t="s">
        <v>2479</v>
      </c>
      <c r="F170" s="1776"/>
      <c r="G170" s="1777"/>
      <c r="H170" s="1778"/>
      <c r="I170" s="60" t="s">
        <v>2546</v>
      </c>
      <c r="O170" s="144" t="s">
        <v>3297</v>
      </c>
      <c r="P170" s="144" t="s">
        <v>3297</v>
      </c>
    </row>
    <row r="171" spans="1:18" s="121" customFormat="1" ht="11.45" customHeight="1">
      <c r="A171" s="171" t="s">
        <v>2695</v>
      </c>
      <c r="B171" s="143" t="s">
        <v>2358</v>
      </c>
      <c r="D171" s="143"/>
      <c r="E171" s="143"/>
      <c r="F171" s="143"/>
      <c r="G171" s="1779" t="s">
        <v>3309</v>
      </c>
      <c r="H171" s="1780"/>
      <c r="I171" s="1781"/>
      <c r="J171" s="1779" t="s">
        <v>1607</v>
      </c>
      <c r="K171" s="1780"/>
      <c r="L171" s="1781"/>
      <c r="N171" s="654" t="s">
        <v>2695</v>
      </c>
      <c r="O171" s="1637"/>
      <c r="P171" s="210"/>
    </row>
    <row r="172" spans="1:18" s="121" customFormat="1" ht="11.45" customHeight="1">
      <c r="A172" s="171" t="s">
        <v>2698</v>
      </c>
      <c r="B172" s="143" t="s">
        <v>435</v>
      </c>
      <c r="D172" s="143"/>
      <c r="E172" s="143"/>
      <c r="F172" s="143"/>
      <c r="G172" s="143"/>
      <c r="L172" s="143"/>
      <c r="M172" s="143"/>
      <c r="N172" s="654" t="s">
        <v>2698</v>
      </c>
      <c r="O172" s="1637"/>
      <c r="P172" s="210"/>
    </row>
    <row r="173" spans="1:18" s="121" customFormat="1" ht="11.45" customHeight="1">
      <c r="A173" s="171" t="s">
        <v>1054</v>
      </c>
      <c r="B173" s="143" t="s">
        <v>2318</v>
      </c>
      <c r="D173" s="143"/>
      <c r="E173" s="143"/>
      <c r="F173" s="143"/>
      <c r="G173" s="143"/>
      <c r="H173" s="143"/>
      <c r="L173" s="143"/>
      <c r="M173" s="143"/>
      <c r="N173" s="654" t="s">
        <v>1054</v>
      </c>
      <c r="O173" s="1637"/>
      <c r="P173" s="210"/>
    </row>
    <row r="174" spans="1:18" s="121" customFormat="1" ht="11.45" customHeight="1">
      <c r="A174" s="171" t="s">
        <v>2831</v>
      </c>
      <c r="B174" s="166" t="s">
        <v>3531</v>
      </c>
      <c r="D174" s="143"/>
      <c r="E174" s="143"/>
      <c r="F174" s="143"/>
      <c r="G174" s="143"/>
      <c r="H174" s="143"/>
      <c r="I174" s="143"/>
      <c r="J174" s="143"/>
      <c r="K174" s="143"/>
      <c r="L174" s="143"/>
      <c r="M174" s="143"/>
      <c r="N174" s="654" t="s">
        <v>2831</v>
      </c>
      <c r="O174" s="1637"/>
      <c r="P174" s="210"/>
    </row>
    <row r="175" spans="1:18" s="50" customFormat="1" ht="11.25" customHeight="1">
      <c r="A175" s="49"/>
      <c r="B175" s="56" t="s">
        <v>281</v>
      </c>
      <c r="C175" s="49"/>
      <c r="D175" s="55"/>
      <c r="E175" s="55"/>
      <c r="F175" s="55"/>
      <c r="G175" s="55"/>
      <c r="H175" s="44"/>
      <c r="I175" s="44"/>
      <c r="J175" s="44"/>
      <c r="K175" s="44"/>
      <c r="M175" s="53"/>
      <c r="N175" s="73"/>
      <c r="O175" s="4"/>
      <c r="P175" s="817"/>
    </row>
    <row r="176" spans="1:18" s="50" customFormat="1" ht="12.75" customHeight="1">
      <c r="A176" s="1641"/>
      <c r="B176" s="1642"/>
      <c r="C176" s="1642"/>
      <c r="D176" s="1642"/>
      <c r="E176" s="1642"/>
      <c r="F176" s="1642"/>
      <c r="G176" s="1642"/>
      <c r="H176" s="1642"/>
      <c r="I176" s="1642"/>
      <c r="J176" s="1642"/>
      <c r="K176" s="1642"/>
      <c r="L176" s="1642"/>
      <c r="M176" s="1642"/>
      <c r="N176" s="1642"/>
      <c r="O176" s="1642"/>
      <c r="P176" s="1643"/>
      <c r="Q176" s="614" t="s">
        <v>1677</v>
      </c>
    </row>
    <row r="177" spans="1:18" s="50" customFormat="1" ht="11.25" customHeight="1">
      <c r="A177" s="49"/>
      <c r="B177" s="103" t="s">
        <v>2572</v>
      </c>
      <c r="C177" s="119"/>
      <c r="D177" s="103"/>
      <c r="E177" s="120"/>
      <c r="F177" s="818"/>
      <c r="G177" s="818"/>
      <c r="H177" s="818"/>
      <c r="I177" s="818"/>
      <c r="J177" s="818"/>
      <c r="K177" s="818"/>
      <c r="L177" s="818"/>
      <c r="M177" s="818"/>
      <c r="N177" s="90"/>
      <c r="O177" s="85"/>
      <c r="P177" s="2"/>
      <c r="Q177" s="570"/>
    </row>
    <row r="178" spans="1:18" s="50" customFormat="1" ht="12.75" customHeight="1">
      <c r="A178" s="1048"/>
      <c r="B178" s="1049"/>
      <c r="C178" s="1049"/>
      <c r="D178" s="1049"/>
      <c r="E178" s="1049"/>
      <c r="F178" s="1049"/>
      <c r="G178" s="1049"/>
      <c r="H178" s="1049"/>
      <c r="I178" s="1049"/>
      <c r="J178" s="1049"/>
      <c r="K178" s="1049"/>
      <c r="L178" s="1049"/>
      <c r="M178" s="1049"/>
      <c r="N178" s="1049"/>
      <c r="O178" s="1049"/>
      <c r="P178" s="1050"/>
      <c r="Q178" s="614" t="s">
        <v>1677</v>
      </c>
    </row>
    <row r="179" spans="1:18" ht="12" customHeight="1"/>
    <row r="180" spans="1:18" s="50" customFormat="1" ht="15">
      <c r="A180" s="189" t="s">
        <v>1842</v>
      </c>
      <c r="B180" s="135" t="s">
        <v>2548</v>
      </c>
      <c r="D180" s="106"/>
      <c r="E180" s="106"/>
      <c r="F180" s="61"/>
      <c r="G180" s="61"/>
      <c r="H180" s="61"/>
      <c r="I180" s="61"/>
      <c r="J180" s="63"/>
      <c r="K180" s="71"/>
      <c r="L180" s="67" t="str">
        <f>IF(M180&gt;14,"Over limit!","")</f>
        <v/>
      </c>
      <c r="M180" s="4">
        <v>7</v>
      </c>
      <c r="N180" s="7"/>
      <c r="O180" s="76">
        <f>O188+O208+O211</f>
        <v>5</v>
      </c>
      <c r="P180" s="76">
        <f>P188+P208+P211</f>
        <v>0</v>
      </c>
      <c r="Q180" s="130" t="s">
        <v>566</v>
      </c>
    </row>
    <row r="181" spans="1:18" s="50" customFormat="1" ht="12.75" customHeight="1">
      <c r="A181" s="49"/>
      <c r="B181" s="136" t="s">
        <v>3546</v>
      </c>
      <c r="E181" s="106"/>
      <c r="F181" s="61"/>
      <c r="G181" s="61"/>
      <c r="H181" s="61"/>
      <c r="I181" s="61"/>
      <c r="J181" s="63"/>
      <c r="K181" s="71"/>
      <c r="L181" s="67"/>
      <c r="O181" s="144" t="s">
        <v>3297</v>
      </c>
      <c r="P181" s="144" t="s">
        <v>3297</v>
      </c>
    </row>
    <row r="182" spans="1:18" s="121" customFormat="1" ht="11.25" customHeight="1">
      <c r="B182" s="596" t="s">
        <v>2699</v>
      </c>
      <c r="C182" s="121" t="s">
        <v>737</v>
      </c>
      <c r="E182" s="106"/>
      <c r="F182" s="61"/>
      <c r="G182" s="61"/>
      <c r="H182" s="61"/>
      <c r="I182" s="61"/>
      <c r="J182" s="63"/>
      <c r="K182" s="71"/>
      <c r="L182" s="67" t="str">
        <f>IF(M182&gt;14,"Over limit!","")</f>
        <v/>
      </c>
      <c r="N182" s="225" t="s">
        <v>2699</v>
      </c>
      <c r="O182" s="1694" t="s">
        <v>4064</v>
      </c>
      <c r="P182" s="324"/>
    </row>
    <row r="183" spans="1:18" s="121" customFormat="1" ht="11.25" customHeight="1">
      <c r="B183" s="596" t="s">
        <v>2701</v>
      </c>
      <c r="C183" s="121" t="s">
        <v>738</v>
      </c>
      <c r="N183" s="225" t="s">
        <v>2701</v>
      </c>
      <c r="O183" s="1695" t="s">
        <v>4064</v>
      </c>
      <c r="P183" s="473"/>
    </row>
    <row r="184" spans="1:18" s="121" customFormat="1" ht="11.25" customHeight="1">
      <c r="B184" s="596" t="s">
        <v>3323</v>
      </c>
      <c r="C184" s="121" t="s">
        <v>739</v>
      </c>
      <c r="N184" s="225" t="s">
        <v>3323</v>
      </c>
      <c r="O184" s="1695" t="s">
        <v>4064</v>
      </c>
      <c r="P184" s="473"/>
    </row>
    <row r="185" spans="1:18" s="121" customFormat="1" ht="11.25" customHeight="1">
      <c r="B185" s="596" t="s">
        <v>1645</v>
      </c>
      <c r="C185" s="121" t="s">
        <v>740</v>
      </c>
      <c r="N185" s="225" t="s">
        <v>1645</v>
      </c>
      <c r="O185" s="1695" t="s">
        <v>4064</v>
      </c>
      <c r="P185" s="473"/>
    </row>
    <row r="186" spans="1:18" s="121" customFormat="1" ht="11.25" customHeight="1">
      <c r="B186" s="596" t="s">
        <v>1646</v>
      </c>
      <c r="C186" s="121" t="s">
        <v>748</v>
      </c>
      <c r="N186" s="225" t="s">
        <v>1646</v>
      </c>
      <c r="O186" s="1696" t="s">
        <v>4064</v>
      </c>
      <c r="P186" s="325"/>
    </row>
    <row r="187" spans="1:18" s="121" customFormat="1" ht="6" customHeight="1">
      <c r="B187" s="596"/>
    </row>
    <row r="188" spans="1:18" s="50" customFormat="1" ht="11.25" customHeight="1">
      <c r="A188" s="171" t="s">
        <v>2695</v>
      </c>
      <c r="B188" s="231" t="s">
        <v>2549</v>
      </c>
      <c r="D188" s="823"/>
      <c r="E188" s="823"/>
      <c r="F188" s="40"/>
      <c r="G188" s="123"/>
      <c r="H188" s="123"/>
      <c r="I188" s="123"/>
      <c r="J188" s="823"/>
      <c r="K188" s="123"/>
      <c r="L188" s="40"/>
      <c r="M188" s="577">
        <v>4</v>
      </c>
      <c r="N188" s="654" t="s">
        <v>2695</v>
      </c>
      <c r="O188" s="186">
        <f>IF($I207&gt;=0.15, 4,IF($I207&gt;=0.1, 3,IF($I207&gt;=0.05, 2,IF($I207&gt;=0.02, 1,0))))</f>
        <v>4</v>
      </c>
      <c r="P188" s="186">
        <f>IF($L207&gt;=0.15, 4,IF($L207&gt;=0.1, 3,IF($L207&gt;=0.05, 2,IF($L207&gt;=0.02, 1,0))))</f>
        <v>0</v>
      </c>
    </row>
    <row r="189" spans="1:18" ht="12" customHeight="1">
      <c r="B189" s="483" t="s">
        <v>2699</v>
      </c>
      <c r="C189" s="602" t="s">
        <v>3441</v>
      </c>
      <c r="I189" s="1134" t="s">
        <v>2703</v>
      </c>
      <c r="J189" s="1134"/>
      <c r="L189" s="825" t="s">
        <v>2703</v>
      </c>
      <c r="M189" s="196"/>
      <c r="N189" s="225" t="s">
        <v>2699</v>
      </c>
    </row>
    <row r="190" spans="1:18" s="50" customFormat="1" ht="11.25" customHeight="1">
      <c r="A190" s="226"/>
      <c r="B190" s="132"/>
      <c r="C190" s="484" t="s">
        <v>3202</v>
      </c>
      <c r="D190" s="44" t="s">
        <v>1930</v>
      </c>
      <c r="H190" s="64"/>
      <c r="I190" s="1782"/>
      <c r="J190" s="1783"/>
      <c r="K190" s="228"/>
      <c r="L190" s="586"/>
      <c r="M190" s="88"/>
      <c r="N190" s="484" t="s">
        <v>3202</v>
      </c>
      <c r="O190" s="1694"/>
      <c r="P190" s="324"/>
      <c r="R190" s="490"/>
    </row>
    <row r="191" spans="1:18" ht="11.25" customHeight="1">
      <c r="A191" s="227"/>
      <c r="B191" s="97"/>
      <c r="C191" s="506" t="s">
        <v>3203</v>
      </c>
      <c r="D191" s="44" t="s">
        <v>1931</v>
      </c>
      <c r="H191" s="64"/>
      <c r="I191" s="1782"/>
      <c r="J191" s="1783"/>
      <c r="L191" s="586"/>
      <c r="M191" s="88"/>
      <c r="N191" s="506" t="s">
        <v>3203</v>
      </c>
      <c r="O191" s="1695"/>
      <c r="P191" s="473"/>
      <c r="R191" s="490"/>
    </row>
    <row r="192" spans="1:18" ht="11.25" customHeight="1">
      <c r="B192" s="596"/>
      <c r="C192" s="484" t="s">
        <v>3204</v>
      </c>
      <c r="D192" s="44" t="s">
        <v>3438</v>
      </c>
      <c r="H192" s="64"/>
      <c r="I192" s="1782"/>
      <c r="J192" s="1783"/>
      <c r="L192" s="586"/>
      <c r="M192" s="88"/>
      <c r="N192" s="484" t="s">
        <v>3204</v>
      </c>
      <c r="O192" s="1695"/>
      <c r="P192" s="473"/>
      <c r="R192" s="490"/>
    </row>
    <row r="193" spans="1:18" ht="11.25" customHeight="1">
      <c r="A193" s="227"/>
      <c r="B193" s="596"/>
      <c r="C193" s="484" t="s">
        <v>3205</v>
      </c>
      <c r="D193" s="44" t="s">
        <v>3439</v>
      </c>
      <c r="I193" s="1782"/>
      <c r="J193" s="1783"/>
      <c r="L193" s="586"/>
      <c r="M193" s="88"/>
      <c r="N193" s="484" t="s">
        <v>3205</v>
      </c>
      <c r="O193" s="1695"/>
      <c r="P193" s="473"/>
      <c r="R193" s="490"/>
    </row>
    <row r="194" spans="1:18" s="50" customFormat="1" ht="11.25" customHeight="1">
      <c r="A194" s="226"/>
      <c r="B194" s="596"/>
      <c r="C194" s="506" t="s">
        <v>3206</v>
      </c>
      <c r="D194" s="44" t="s">
        <v>1932</v>
      </c>
      <c r="H194" s="64"/>
      <c r="I194" s="1782"/>
      <c r="J194" s="1783"/>
      <c r="K194" s="228"/>
      <c r="L194" s="586"/>
      <c r="M194" s="88"/>
      <c r="N194" s="506" t="s">
        <v>3206</v>
      </c>
      <c r="O194" s="1695"/>
      <c r="P194" s="473"/>
      <c r="R194" s="490"/>
    </row>
    <row r="195" spans="1:18" ht="11.25" customHeight="1">
      <c r="B195" s="596"/>
      <c r="C195" s="484" t="s">
        <v>3222</v>
      </c>
      <c r="D195" s="44" t="s">
        <v>1933</v>
      </c>
      <c r="H195" s="64"/>
      <c r="I195" s="1782"/>
      <c r="J195" s="1783"/>
      <c r="L195" s="586"/>
      <c r="M195" s="88"/>
      <c r="N195" s="484" t="s">
        <v>3222</v>
      </c>
      <c r="O195" s="1695"/>
      <c r="P195" s="473"/>
      <c r="R195" s="490"/>
    </row>
    <row r="196" spans="1:18" ht="11.25" customHeight="1">
      <c r="A196" s="227"/>
      <c r="B196" s="596"/>
      <c r="C196" s="484" t="s">
        <v>3223</v>
      </c>
      <c r="D196" s="44" t="s">
        <v>1934</v>
      </c>
      <c r="H196" s="64"/>
      <c r="I196" s="1782"/>
      <c r="J196" s="1783"/>
      <c r="L196" s="586"/>
      <c r="M196" s="88"/>
      <c r="N196" s="484" t="s">
        <v>3223</v>
      </c>
      <c r="O196" s="1695"/>
      <c r="P196" s="473"/>
      <c r="R196" s="490"/>
    </row>
    <row r="197" spans="1:18" ht="11.25" customHeight="1">
      <c r="B197" s="596"/>
      <c r="C197" s="505" t="s">
        <v>3230</v>
      </c>
      <c r="D197" s="44" t="s">
        <v>3700</v>
      </c>
      <c r="H197" s="64"/>
      <c r="I197" s="1782"/>
      <c r="J197" s="1783"/>
      <c r="L197" s="586"/>
      <c r="M197" s="88"/>
      <c r="N197" s="505" t="s">
        <v>3230</v>
      </c>
      <c r="O197" s="1695"/>
      <c r="P197" s="473"/>
      <c r="R197" s="490"/>
    </row>
    <row r="198" spans="1:18" ht="11.25" customHeight="1">
      <c r="A198" s="227"/>
      <c r="B198" s="596"/>
      <c r="C198" s="505" t="s">
        <v>3231</v>
      </c>
      <c r="D198" s="44" t="s">
        <v>3701</v>
      </c>
      <c r="H198" s="64"/>
      <c r="I198" s="1782">
        <v>2750000</v>
      </c>
      <c r="J198" s="1783"/>
      <c r="L198" s="586"/>
      <c r="M198" s="88"/>
      <c r="N198" s="505" t="s">
        <v>3231</v>
      </c>
      <c r="O198" s="1695" t="s">
        <v>4064</v>
      </c>
      <c r="P198" s="473"/>
      <c r="R198" s="490"/>
    </row>
    <row r="199" spans="1:18" ht="11.25" customHeight="1">
      <c r="A199" s="227"/>
      <c r="B199" s="596"/>
      <c r="C199" s="505" t="s">
        <v>3232</v>
      </c>
      <c r="D199" s="44" t="s">
        <v>3702</v>
      </c>
      <c r="H199" s="64"/>
      <c r="I199" s="1782"/>
      <c r="J199" s="1783"/>
      <c r="L199" s="586"/>
      <c r="M199" s="88"/>
      <c r="N199" s="505" t="s">
        <v>3232</v>
      </c>
      <c r="O199" s="1695"/>
      <c r="P199" s="473"/>
      <c r="R199" s="490"/>
    </row>
    <row r="200" spans="1:18" ht="11.25" customHeight="1">
      <c r="A200" s="227"/>
      <c r="B200" s="596"/>
      <c r="C200" s="505" t="s">
        <v>771</v>
      </c>
      <c r="D200" s="44" t="s">
        <v>3703</v>
      </c>
      <c r="H200" s="64"/>
      <c r="I200" s="1782"/>
      <c r="J200" s="1783"/>
      <c r="L200" s="586"/>
      <c r="M200" s="88"/>
      <c r="N200" s="505" t="s">
        <v>771</v>
      </c>
      <c r="O200" s="1695"/>
      <c r="P200" s="473"/>
      <c r="R200" s="490"/>
    </row>
    <row r="201" spans="1:18" ht="11.25" customHeight="1">
      <c r="A201" s="227"/>
      <c r="B201" s="596"/>
      <c r="C201" s="505" t="s">
        <v>3706</v>
      </c>
      <c r="D201" s="44" t="s">
        <v>3704</v>
      </c>
      <c r="H201" s="64"/>
      <c r="I201" s="1782"/>
      <c r="J201" s="1783"/>
      <c r="L201" s="586"/>
      <c r="M201" s="88"/>
      <c r="N201" s="505" t="s">
        <v>3706</v>
      </c>
      <c r="O201" s="1695"/>
      <c r="P201" s="473"/>
      <c r="R201" s="490"/>
    </row>
    <row r="202" spans="1:18" ht="11.25" customHeight="1">
      <c r="A202" s="227"/>
      <c r="B202" s="596"/>
      <c r="C202" s="505" t="s">
        <v>3707</v>
      </c>
      <c r="D202" s="44" t="s">
        <v>3705</v>
      </c>
      <c r="H202" s="64"/>
      <c r="I202" s="1782"/>
      <c r="J202" s="1783"/>
      <c r="L202" s="586"/>
      <c r="M202" s="88"/>
      <c r="N202" s="505" t="s">
        <v>3707</v>
      </c>
      <c r="O202" s="1695"/>
      <c r="P202" s="473"/>
      <c r="R202" s="490"/>
    </row>
    <row r="203" spans="1:18" ht="11.25" customHeight="1" thickBot="1">
      <c r="A203" s="227"/>
      <c r="B203" s="596"/>
      <c r="C203" s="505" t="s">
        <v>3708</v>
      </c>
      <c r="D203" s="582" t="s">
        <v>3440</v>
      </c>
      <c r="E203" s="583"/>
      <c r="F203" s="583"/>
      <c r="G203" s="583"/>
      <c r="H203" s="584"/>
      <c r="I203" s="1784"/>
      <c r="J203" s="1785"/>
      <c r="L203" s="590"/>
      <c r="M203" s="88"/>
      <c r="N203" s="505" t="s">
        <v>3708</v>
      </c>
      <c r="O203" s="1696"/>
      <c r="P203" s="325"/>
      <c r="R203" s="490"/>
    </row>
    <row r="204" spans="1:18" ht="12" customHeight="1" thickBot="1">
      <c r="A204" s="227"/>
      <c r="B204" s="596"/>
      <c r="D204" s="580" t="s">
        <v>3443</v>
      </c>
      <c r="H204" s="64"/>
      <c r="I204" s="1786">
        <f>SUM(I190:J203)</f>
        <v>2750000</v>
      </c>
      <c r="J204" s="1787"/>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17"/>
      <c r="P205" s="4"/>
    </row>
    <row r="206" spans="1:18" ht="12" customHeight="1">
      <c r="B206" s="483" t="s">
        <v>2701</v>
      </c>
      <c r="C206" s="602" t="s">
        <v>3442</v>
      </c>
      <c r="D206" s="580" t="s">
        <v>3444</v>
      </c>
      <c r="I206" s="1135">
        <f>'Part IV-Uses of Funds'!$G$129</f>
        <v>13211820.289999999</v>
      </c>
      <c r="J206" s="1136"/>
      <c r="M206" s="196"/>
      <c r="N206" s="31"/>
      <c r="O206" s="31"/>
      <c r="P206" s="31"/>
    </row>
    <row r="207" spans="1:18" ht="12" customHeight="1">
      <c r="B207" s="225"/>
      <c r="C207" s="579"/>
      <c r="D207" s="600" t="s">
        <v>3445</v>
      </c>
      <c r="G207" s="589"/>
      <c r="H207" s="589"/>
      <c r="I207" s="1127">
        <f>IF($I206=0,0,$I204/$I206)</f>
        <v>0.20814694263450356</v>
      </c>
      <c r="J207" s="1128"/>
      <c r="L207" s="581">
        <f>IF($I206=0,0,$L204/$I206)</f>
        <v>0</v>
      </c>
      <c r="M207" s="196"/>
      <c r="N207" s="31"/>
      <c r="O207" s="31"/>
      <c r="P207" s="31"/>
    </row>
    <row r="208" spans="1:18" s="50" customFormat="1" ht="12.75" customHeight="1">
      <c r="A208" s="171" t="s">
        <v>2698</v>
      </c>
      <c r="B208" s="231" t="s">
        <v>3574</v>
      </c>
      <c r="D208" s="47"/>
      <c r="E208" s="44"/>
      <c r="F208" s="674"/>
      <c r="H208" s="44"/>
      <c r="I208" s="674"/>
      <c r="J208" s="38"/>
      <c r="K208" s="38"/>
      <c r="L208" s="38"/>
      <c r="M208" s="88">
        <v>1</v>
      </c>
      <c r="N208" s="654" t="s">
        <v>2698</v>
      </c>
      <c r="O208" s="1637">
        <v>1</v>
      </c>
      <c r="P208" s="84"/>
      <c r="Q208" s="507" t="s">
        <v>3631</v>
      </c>
    </row>
    <row r="209" spans="1:18" s="50" customFormat="1" ht="11.25" customHeight="1">
      <c r="A209" s="171"/>
      <c r="B209" s="1036" t="s">
        <v>3709</v>
      </c>
      <c r="C209" s="1036"/>
      <c r="D209" s="1036"/>
      <c r="E209" s="1036"/>
      <c r="F209" s="1036"/>
      <c r="G209" s="1036"/>
      <c r="H209" s="1036"/>
      <c r="I209" s="1036"/>
      <c r="J209" s="1036"/>
      <c r="K209" s="1036"/>
      <c r="L209" s="1036"/>
    </row>
    <row r="210" spans="1:18" s="50" customFormat="1" ht="11.25" customHeight="1">
      <c r="A210" s="171"/>
      <c r="B210" s="1036"/>
      <c r="C210" s="1036"/>
      <c r="D210" s="1036"/>
      <c r="E210" s="1036"/>
      <c r="F210" s="1036"/>
      <c r="G210" s="1036"/>
      <c r="H210" s="1036"/>
      <c r="I210" s="1036"/>
      <c r="J210" s="1036"/>
      <c r="K210" s="1036"/>
      <c r="L210" s="1036"/>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88"/>
      <c r="F212" s="1789"/>
      <c r="G212" s="1789"/>
      <c r="H212" s="1790"/>
      <c r="K212" s="228"/>
      <c r="M212" s="7"/>
      <c r="N212" s="7"/>
      <c r="O212" s="7"/>
      <c r="P212" s="7"/>
    </row>
    <row r="213" spans="1:18" ht="12" customHeight="1">
      <c r="A213" s="227"/>
      <c r="B213" s="510" t="s">
        <v>3110</v>
      </c>
      <c r="D213" s="511"/>
      <c r="E213" s="1791"/>
      <c r="F213" s="1792"/>
      <c r="G213" s="1792"/>
      <c r="H213" s="1792"/>
      <c r="I213" s="1792"/>
      <c r="J213" s="1792"/>
      <c r="K213" s="1792"/>
      <c r="L213" s="1792"/>
      <c r="M213" s="1792"/>
      <c r="N213" s="1792"/>
      <c r="O213" s="1792"/>
      <c r="P213" s="1335"/>
    </row>
    <row r="214" spans="1:18" ht="12.6" customHeight="1">
      <c r="B214" s="44" t="s">
        <v>3547</v>
      </c>
      <c r="E214" s="585"/>
      <c r="I214" s="1793"/>
      <c r="J214" s="1794"/>
      <c r="K214" s="581">
        <f>IF($I214=0,0,$I214/$I206)</f>
        <v>0</v>
      </c>
      <c r="L214" s="586"/>
      <c r="M214" s="1132">
        <f>IF($L214=0,0,$L214/$I206)</f>
        <v>0</v>
      </c>
      <c r="N214" s="1133"/>
      <c r="O214" s="111"/>
      <c r="P214" s="111"/>
    </row>
    <row r="215" spans="1:18" s="50" customFormat="1" ht="11.25" customHeight="1">
      <c r="A215" s="49"/>
      <c r="B215" s="56" t="s">
        <v>281</v>
      </c>
      <c r="C215" s="49"/>
      <c r="D215" s="55"/>
      <c r="E215" s="55"/>
      <c r="F215" s="55"/>
      <c r="G215" s="55"/>
      <c r="H215" s="44"/>
      <c r="I215" s="44"/>
      <c r="J215" s="44"/>
      <c r="K215" s="44"/>
      <c r="M215" s="53"/>
      <c r="N215" s="73"/>
      <c r="O215" s="4"/>
      <c r="P215" s="817"/>
    </row>
    <row r="216" spans="1:18" s="50" customFormat="1" ht="12" customHeight="1">
      <c r="A216" s="1641"/>
      <c r="B216" s="1642"/>
      <c r="C216" s="1642"/>
      <c r="D216" s="1642"/>
      <c r="E216" s="1642"/>
      <c r="F216" s="1642"/>
      <c r="G216" s="1642"/>
      <c r="H216" s="1642"/>
      <c r="I216" s="1642"/>
      <c r="J216" s="1642"/>
      <c r="K216" s="1642"/>
      <c r="L216" s="1642"/>
      <c r="M216" s="1642"/>
      <c r="N216" s="1642"/>
      <c r="O216" s="1642"/>
      <c r="P216" s="1643"/>
      <c r="Q216" s="614" t="s">
        <v>1677</v>
      </c>
    </row>
    <row r="217" spans="1:18" s="123" customFormat="1" ht="10.9" customHeight="1">
      <c r="A217" s="49"/>
      <c r="B217" s="118" t="s">
        <v>2572</v>
      </c>
      <c r="C217" s="119"/>
      <c r="D217" s="118"/>
      <c r="E217" s="233"/>
      <c r="F217" s="813"/>
      <c r="G217" s="813"/>
      <c r="H217" s="813"/>
      <c r="I217" s="813"/>
      <c r="J217" s="813"/>
      <c r="K217" s="813"/>
      <c r="L217" s="813"/>
      <c r="M217" s="813"/>
      <c r="N217" s="113"/>
      <c r="O217" s="232"/>
      <c r="P217" s="2"/>
      <c r="Q217" s="570"/>
    </row>
    <row r="218" spans="1:18" s="50" customFormat="1" ht="12" customHeight="1">
      <c r="A218" s="1048"/>
      <c r="B218" s="1049"/>
      <c r="C218" s="1049"/>
      <c r="D218" s="1049"/>
      <c r="E218" s="1049"/>
      <c r="F218" s="1049"/>
      <c r="G218" s="1049"/>
      <c r="H218" s="1049"/>
      <c r="I218" s="1049"/>
      <c r="J218" s="1049"/>
      <c r="K218" s="1049"/>
      <c r="L218" s="1049"/>
      <c r="M218" s="1049"/>
      <c r="N218" s="1049"/>
      <c r="O218" s="1049"/>
      <c r="P218" s="1050"/>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2695</v>
      </c>
      <c r="B221" s="213" t="s">
        <v>3711</v>
      </c>
      <c r="D221" s="40"/>
      <c r="H221" s="64" t="s">
        <v>3086</v>
      </c>
      <c r="M221" s="88">
        <v>6</v>
      </c>
      <c r="N221" s="654" t="s">
        <v>2695</v>
      </c>
      <c r="O221" s="1694" t="s">
        <v>4064</v>
      </c>
      <c r="P221" s="324"/>
      <c r="R221" s="490"/>
    </row>
    <row r="222" spans="1:18" s="50" customFormat="1" ht="23.25" customHeight="1">
      <c r="A222" s="49"/>
      <c r="B222" s="1129" t="s">
        <v>3749</v>
      </c>
      <c r="C222" s="1130"/>
      <c r="D222" s="1130"/>
      <c r="E222" s="1130"/>
      <c r="F222" s="1130"/>
      <c r="G222" s="1130"/>
      <c r="H222" s="1130"/>
      <c r="I222" s="1130"/>
      <c r="J222" s="1130"/>
      <c r="K222" s="1130"/>
      <c r="L222" s="1130"/>
      <c r="M222" s="53"/>
      <c r="N222" s="73"/>
      <c r="O222" s="1696" t="s">
        <v>4064</v>
      </c>
      <c r="P222" s="325"/>
    </row>
    <row r="223" spans="1:18" s="50" customFormat="1" ht="12" customHeight="1">
      <c r="A223" s="171" t="s">
        <v>2698</v>
      </c>
      <c r="B223" s="213" t="s">
        <v>3710</v>
      </c>
      <c r="D223" s="40"/>
      <c r="E223" s="40"/>
      <c r="F223" s="40"/>
      <c r="R223" s="490"/>
    </row>
    <row r="224" spans="1:18" s="50" customFormat="1" ht="12" customHeight="1">
      <c r="A224" s="171"/>
      <c r="B224" s="64" t="s">
        <v>3086</v>
      </c>
      <c r="D224" s="40"/>
      <c r="M224" s="132">
        <v>3</v>
      </c>
      <c r="N224" s="654" t="s">
        <v>2698</v>
      </c>
      <c r="O224" s="1694"/>
      <c r="P224" s="324"/>
      <c r="R224" s="490"/>
    </row>
    <row r="225" spans="1:18" s="50" customFormat="1" ht="12" customHeight="1">
      <c r="A225" s="171"/>
      <c r="B225" s="64" t="s">
        <v>3768</v>
      </c>
      <c r="D225" s="40"/>
      <c r="N225" s="654"/>
      <c r="O225" s="1696"/>
      <c r="P225" s="325"/>
      <c r="R225" s="490"/>
    </row>
    <row r="226" spans="1:18" s="50" customFormat="1" ht="10.5" customHeight="1">
      <c r="A226" s="49"/>
      <c r="B226" s="56" t="s">
        <v>281</v>
      </c>
      <c r="C226" s="49"/>
      <c r="D226" s="55"/>
      <c r="E226" s="55"/>
      <c r="F226" s="55"/>
      <c r="G226" s="55"/>
      <c r="H226" s="44"/>
      <c r="I226" s="44"/>
      <c r="J226" s="44"/>
      <c r="K226" s="44"/>
      <c r="M226" s="53"/>
      <c r="N226" s="73"/>
      <c r="O226" s="4"/>
      <c r="P226" s="817"/>
    </row>
    <row r="227" spans="1:18" s="50" customFormat="1" ht="12.75" customHeight="1">
      <c r="A227" s="1641"/>
      <c r="B227" s="1642"/>
      <c r="C227" s="1642"/>
      <c r="D227" s="1642"/>
      <c r="E227" s="1642"/>
      <c r="F227" s="1642"/>
      <c r="G227" s="1642"/>
      <c r="H227" s="1642"/>
      <c r="I227" s="1642"/>
      <c r="J227" s="1642"/>
      <c r="K227" s="1642"/>
      <c r="L227" s="1642"/>
      <c r="M227" s="1642"/>
      <c r="N227" s="1642"/>
      <c r="O227" s="1642"/>
      <c r="P227" s="1643"/>
      <c r="Q227" s="614" t="s">
        <v>1677</v>
      </c>
    </row>
    <row r="228" spans="1:18" s="123" customFormat="1" ht="10.5" customHeight="1">
      <c r="A228" s="49"/>
      <c r="B228" s="118" t="s">
        <v>2572</v>
      </c>
      <c r="C228" s="119"/>
      <c r="D228" s="118"/>
      <c r="E228" s="233"/>
      <c r="F228" s="813"/>
      <c r="G228" s="813"/>
      <c r="H228" s="813"/>
      <c r="I228" s="813"/>
      <c r="J228" s="813"/>
      <c r="K228" s="813"/>
      <c r="L228" s="813"/>
      <c r="M228" s="813"/>
      <c r="N228" s="113"/>
      <c r="O228" s="232"/>
      <c r="P228" s="2"/>
      <c r="Q228" s="570"/>
    </row>
    <row r="229" spans="1:18" s="50" customFormat="1" ht="12" customHeight="1">
      <c r="A229" s="1048"/>
      <c r="B229" s="1049"/>
      <c r="C229" s="1049"/>
      <c r="D229" s="1049"/>
      <c r="E229" s="1049"/>
      <c r="F229" s="1049"/>
      <c r="G229" s="1049"/>
      <c r="H229" s="1049"/>
      <c r="I229" s="1049"/>
      <c r="J229" s="1049"/>
      <c r="K229" s="1049"/>
      <c r="L229" s="1049"/>
      <c r="M229" s="1049"/>
      <c r="N229" s="1049"/>
      <c r="O229" s="1049"/>
      <c r="P229" s="1050"/>
      <c r="Q229" s="614" t="s">
        <v>1677</v>
      </c>
    </row>
    <row r="230" spans="1:18" s="50" customFormat="1" ht="2.25" customHeight="1">
      <c r="A230" s="49"/>
      <c r="B230" s="49"/>
      <c r="C230" s="818"/>
      <c r="D230" s="818"/>
      <c r="E230" s="818"/>
      <c r="F230" s="818"/>
      <c r="G230" s="818"/>
      <c r="H230" s="818"/>
      <c r="I230" s="818"/>
      <c r="J230" s="818"/>
      <c r="K230" s="818"/>
      <c r="L230" s="818"/>
      <c r="M230" s="818"/>
      <c r="N230" s="90"/>
      <c r="O230" s="85"/>
      <c r="P230" s="674"/>
    </row>
    <row r="231" spans="1:18" s="50" customFormat="1" ht="15">
      <c r="A231" s="189" t="s">
        <v>2357</v>
      </c>
      <c r="B231" s="134" t="s">
        <v>3661</v>
      </c>
      <c r="C231" s="105"/>
      <c r="D231" s="69"/>
      <c r="E231" s="61"/>
      <c r="J231" s="72"/>
      <c r="M231" s="2">
        <v>6</v>
      </c>
      <c r="N231" s="7"/>
      <c r="O231" s="92">
        <f>MIN($M231,O232+O234)</f>
        <v>6</v>
      </c>
      <c r="P231" s="92">
        <f>MIN($M231,P232+P234)</f>
        <v>0</v>
      </c>
      <c r="Q231" s="130" t="s">
        <v>566</v>
      </c>
    </row>
    <row r="232" spans="1:18" s="50" customFormat="1" ht="12" customHeight="1">
      <c r="A232" s="171" t="s">
        <v>2695</v>
      </c>
      <c r="B232" s="213" t="s">
        <v>3662</v>
      </c>
      <c r="D232" s="40"/>
      <c r="E232" s="40"/>
      <c r="F232" s="40"/>
      <c r="L232" s="685" t="str">
        <f>IF(OR($O232=$M232,$O232=0,$O232=""),"","* * Check Score! * *")</f>
        <v/>
      </c>
      <c r="M232" s="7">
        <v>3</v>
      </c>
      <c r="N232" s="654" t="s">
        <v>2695</v>
      </c>
      <c r="O232" s="1795">
        <v>3</v>
      </c>
      <c r="P232" s="621"/>
      <c r="Q232" s="507" t="s">
        <v>3631</v>
      </c>
      <c r="R232" s="130"/>
    </row>
    <row r="233" spans="1:18" s="50" customFormat="1" ht="33" customHeight="1">
      <c r="A233" s="171"/>
      <c r="B233" s="1167" t="s">
        <v>3712</v>
      </c>
      <c r="C233" s="1167"/>
      <c r="D233" s="1167"/>
      <c r="E233" s="1167"/>
      <c r="F233" s="1167"/>
      <c r="G233" s="1167"/>
      <c r="H233" s="1167"/>
      <c r="I233" s="1167"/>
      <c r="J233" s="1167"/>
      <c r="K233" s="1167"/>
      <c r="L233" s="1167"/>
      <c r="M233" s="490"/>
      <c r="N233" s="490"/>
      <c r="O233" s="1796" t="s">
        <v>4133</v>
      </c>
      <c r="P233" s="622"/>
      <c r="Q233" s="130"/>
      <c r="R233" s="490"/>
    </row>
    <row r="234" spans="1:18" s="50" customFormat="1" ht="12" customHeight="1">
      <c r="A234" s="171" t="s">
        <v>2698</v>
      </c>
      <c r="B234" s="213" t="s">
        <v>3663</v>
      </c>
      <c r="D234" s="823"/>
      <c r="F234" s="38"/>
      <c r="G234" s="123"/>
      <c r="H234" s="72"/>
      <c r="K234" s="123"/>
      <c r="L234" s="685" t="str">
        <f>IF(OR($O234=$M234,$O234=0,$O234=""),"","* * Check Score! * *")</f>
        <v/>
      </c>
      <c r="M234" s="7">
        <v>3</v>
      </c>
      <c r="N234" s="654" t="s">
        <v>2698</v>
      </c>
      <c r="O234" s="1766">
        <v>3</v>
      </c>
      <c r="P234" s="671"/>
      <c r="Q234" s="507" t="s">
        <v>3631</v>
      </c>
      <c r="R234" s="490"/>
    </row>
    <row r="235" spans="1:18" s="50" customFormat="1" ht="12" customHeight="1">
      <c r="A235" s="49"/>
      <c r="B235" s="56" t="s">
        <v>281</v>
      </c>
      <c r="C235" s="49"/>
      <c r="D235" s="55"/>
      <c r="E235" s="55"/>
      <c r="F235" s="55"/>
      <c r="G235" s="55"/>
      <c r="H235" s="44"/>
      <c r="I235" s="44"/>
      <c r="J235" s="44"/>
      <c r="K235" s="44"/>
      <c r="M235" s="53"/>
      <c r="N235" s="73"/>
      <c r="O235" s="4"/>
      <c r="P235" s="817"/>
    </row>
    <row r="236" spans="1:18" s="50" customFormat="1" ht="12" customHeight="1">
      <c r="A236" s="1641"/>
      <c r="B236" s="1642"/>
      <c r="C236" s="1642"/>
      <c r="D236" s="1642"/>
      <c r="E236" s="1642"/>
      <c r="F236" s="1642"/>
      <c r="G236" s="1642"/>
      <c r="H236" s="1642"/>
      <c r="I236" s="1642"/>
      <c r="J236" s="1642"/>
      <c r="K236" s="1642"/>
      <c r="L236" s="1642"/>
      <c r="M236" s="1642"/>
      <c r="N236" s="1642"/>
      <c r="O236" s="1642"/>
      <c r="P236" s="1643"/>
      <c r="Q236" s="614" t="s">
        <v>1677</v>
      </c>
    </row>
    <row r="237" spans="1:18" s="50" customFormat="1" ht="12" customHeight="1">
      <c r="B237" s="103" t="s">
        <v>2572</v>
      </c>
      <c r="C237" s="119"/>
      <c r="D237" s="103"/>
      <c r="E237" s="120"/>
      <c r="F237" s="818"/>
      <c r="G237" s="818"/>
      <c r="H237" s="818"/>
      <c r="I237" s="818"/>
      <c r="J237" s="818"/>
      <c r="K237" s="818"/>
      <c r="L237" s="818"/>
      <c r="M237" s="818"/>
      <c r="N237" s="90"/>
      <c r="O237" s="85"/>
      <c r="P237" s="2"/>
      <c r="Q237" s="570"/>
    </row>
    <row r="238" spans="1:18" s="50" customFormat="1" ht="12" customHeight="1">
      <c r="A238" s="1048"/>
      <c r="B238" s="1049"/>
      <c r="C238" s="1049"/>
      <c r="D238" s="1049"/>
      <c r="E238" s="1049"/>
      <c r="F238" s="1049"/>
      <c r="G238" s="1049"/>
      <c r="H238" s="1049"/>
      <c r="I238" s="1049"/>
      <c r="J238" s="1049"/>
      <c r="K238" s="1049"/>
      <c r="L238" s="1049"/>
      <c r="M238" s="1049"/>
      <c r="N238" s="1049"/>
      <c r="O238" s="1049"/>
      <c r="P238" s="1050"/>
      <c r="Q238" s="614" t="s">
        <v>1677</v>
      </c>
    </row>
    <row r="239" spans="1:18" s="50" customFormat="1" ht="3" customHeight="1">
      <c r="A239" s="49"/>
      <c r="B239" s="49"/>
      <c r="C239" s="818"/>
      <c r="D239" s="818"/>
      <c r="E239" s="818"/>
      <c r="F239" s="818"/>
      <c r="G239" s="818"/>
      <c r="H239" s="818"/>
      <c r="I239" s="818"/>
      <c r="J239" s="818"/>
      <c r="K239" s="818"/>
      <c r="L239" s="818"/>
      <c r="M239" s="818"/>
      <c r="N239" s="90"/>
      <c r="O239" s="85"/>
      <c r="P239" s="674"/>
    </row>
    <row r="240" spans="1:18" s="50" customFormat="1" ht="12" customHeight="1">
      <c r="A240" s="190" t="s">
        <v>2359</v>
      </c>
      <c r="B240" s="126" t="s">
        <v>3664</v>
      </c>
      <c r="D240" s="82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2695</v>
      </c>
      <c r="C241" s="1101" t="s">
        <v>3713</v>
      </c>
      <c r="D241" s="1101"/>
      <c r="E241" s="1101"/>
      <c r="F241" s="1101"/>
      <c r="G241" s="1101"/>
      <c r="H241" s="1101"/>
      <c r="I241" s="1101"/>
      <c r="J241" s="1101"/>
      <c r="K241" s="1101"/>
      <c r="L241" s="1101"/>
      <c r="M241" s="545">
        <v>3</v>
      </c>
      <c r="N241" s="199" t="s">
        <v>2695</v>
      </c>
      <c r="O241" s="1795"/>
      <c r="P241" s="621"/>
      <c r="Q241" s="221" t="s">
        <v>3631</v>
      </c>
    </row>
    <row r="242" spans="1:17" s="544" customFormat="1" ht="22.5" customHeight="1">
      <c r="A242" s="592" t="s">
        <v>1788</v>
      </c>
      <c r="B242" s="603" t="s">
        <v>2698</v>
      </c>
      <c r="C242" s="1101" t="s">
        <v>3760</v>
      </c>
      <c r="D242" s="1101"/>
      <c r="E242" s="1101"/>
      <c r="F242" s="1101"/>
      <c r="G242" s="1101"/>
      <c r="H242" s="1101"/>
      <c r="I242" s="1101"/>
      <c r="J242" s="1101"/>
      <c r="K242" s="1101"/>
      <c r="L242" s="1101"/>
      <c r="M242" s="545">
        <v>1</v>
      </c>
      <c r="N242" s="199" t="s">
        <v>2698</v>
      </c>
      <c r="O242" s="1796"/>
      <c r="P242" s="622"/>
      <c r="Q242" s="221" t="s">
        <v>3631</v>
      </c>
    </row>
    <row r="243" spans="1:17" s="50" customFormat="1" ht="12" customHeight="1">
      <c r="A243" s="49"/>
      <c r="B243" s="56" t="s">
        <v>281</v>
      </c>
      <c r="C243" s="49"/>
      <c r="D243" s="55"/>
      <c r="E243" s="55"/>
      <c r="F243" s="55"/>
      <c r="G243" s="55"/>
      <c r="H243" s="44"/>
      <c r="I243" s="44"/>
      <c r="J243" s="44"/>
      <c r="K243" s="44"/>
      <c r="M243" s="53"/>
      <c r="N243" s="73"/>
      <c r="O243" s="4"/>
      <c r="P243" s="817"/>
    </row>
    <row r="244" spans="1:17" s="50" customFormat="1" ht="12" customHeight="1">
      <c r="A244" s="1641"/>
      <c r="B244" s="1642"/>
      <c r="C244" s="1642"/>
      <c r="D244" s="1642"/>
      <c r="E244" s="1642"/>
      <c r="F244" s="1642"/>
      <c r="G244" s="1642"/>
      <c r="H244" s="1642"/>
      <c r="I244" s="1642"/>
      <c r="J244" s="1642"/>
      <c r="K244" s="1642"/>
      <c r="L244" s="1642"/>
      <c r="M244" s="1642"/>
      <c r="N244" s="1642"/>
      <c r="O244" s="1642"/>
      <c r="P244" s="1643"/>
      <c r="Q244" s="614" t="s">
        <v>1677</v>
      </c>
    </row>
    <row r="245" spans="1:17" s="50" customFormat="1" ht="12" customHeight="1">
      <c r="B245" s="103" t="s">
        <v>2572</v>
      </c>
      <c r="C245" s="119"/>
      <c r="D245" s="103"/>
      <c r="E245" s="120"/>
      <c r="F245" s="818"/>
      <c r="G245" s="818"/>
      <c r="H245" s="818"/>
      <c r="I245" s="818"/>
      <c r="J245" s="818"/>
      <c r="K245" s="818"/>
      <c r="L245" s="818"/>
      <c r="M245" s="818"/>
      <c r="N245" s="90"/>
      <c r="O245" s="85"/>
      <c r="P245" s="2"/>
      <c r="Q245" s="570"/>
    </row>
    <row r="246" spans="1:17" s="50" customFormat="1" ht="12" customHeight="1">
      <c r="A246" s="1048"/>
      <c r="B246" s="1049"/>
      <c r="C246" s="1049"/>
      <c r="D246" s="1049"/>
      <c r="E246" s="1049"/>
      <c r="F246" s="1049"/>
      <c r="G246" s="1049"/>
      <c r="H246" s="1049"/>
      <c r="I246" s="1049"/>
      <c r="J246" s="1049"/>
      <c r="K246" s="1049"/>
      <c r="L246" s="1049"/>
      <c r="M246" s="1049"/>
      <c r="N246" s="1049"/>
      <c r="O246" s="1049"/>
      <c r="P246" s="1050"/>
      <c r="Q246" s="614" t="s">
        <v>1677</v>
      </c>
    </row>
    <row r="247" spans="1:17" s="50" customFormat="1" ht="3" customHeight="1">
      <c r="A247" s="49"/>
      <c r="B247" s="49"/>
      <c r="C247" s="818"/>
      <c r="D247" s="818"/>
      <c r="E247" s="818"/>
      <c r="F247" s="818"/>
      <c r="G247" s="818"/>
      <c r="H247" s="818"/>
      <c r="I247" s="818"/>
      <c r="J247" s="818"/>
      <c r="K247" s="818"/>
      <c r="L247" s="818"/>
      <c r="M247" s="818"/>
      <c r="N247" s="90"/>
      <c r="O247" s="85"/>
      <c r="P247" s="674"/>
    </row>
    <row r="248" spans="1:17" s="50" customFormat="1" ht="12" customHeight="1">
      <c r="A248" s="189" t="s">
        <v>2360</v>
      </c>
      <c r="B248" s="127" t="s">
        <v>3446</v>
      </c>
      <c r="C248" s="63"/>
      <c r="D248" s="141"/>
      <c r="E248" s="141"/>
      <c r="F248" s="48"/>
      <c r="H248" s="47"/>
      <c r="K248" s="55"/>
      <c r="M248" s="2">
        <v>20</v>
      </c>
      <c r="N248" s="7"/>
      <c r="O248" s="92">
        <f>MIN($M248,(O249+O259))</f>
        <v>8</v>
      </c>
      <c r="P248" s="92">
        <f>MIN($M248,(P249+P259))</f>
        <v>0</v>
      </c>
      <c r="Q248" s="130" t="s">
        <v>566</v>
      </c>
    </row>
    <row r="249" spans="1:17" s="50" customFormat="1" ht="13.5" customHeight="1">
      <c r="A249" s="171" t="s">
        <v>2695</v>
      </c>
      <c r="B249" s="213" t="s">
        <v>3447</v>
      </c>
      <c r="D249" s="1131" t="s">
        <v>3740</v>
      </c>
      <c r="E249" s="1131"/>
      <c r="F249" s="1131"/>
      <c r="G249" s="1131"/>
      <c r="H249" s="1131"/>
      <c r="I249" s="1131"/>
      <c r="J249" s="1131"/>
      <c r="K249" s="1131"/>
      <c r="L249" s="1131"/>
      <c r="M249" s="88">
        <v>6</v>
      </c>
      <c r="N249" s="78" t="s">
        <v>2695</v>
      </c>
      <c r="O249" s="114">
        <f>IF(O250=$M250,$M250, IF(O252=$M252,$M252, IF(O254=$M254,$M254,0)))</f>
        <v>3</v>
      </c>
      <c r="P249" s="114">
        <f>IF(P250=$M250,$M250, IF(P252=$M252,$M252, IF(P254=$M254,$M254,0)))</f>
        <v>0</v>
      </c>
      <c r="Q249" s="130"/>
    </row>
    <row r="250" spans="1:17" s="544" customFormat="1" ht="12" customHeight="1">
      <c r="A250" s="543" t="str">
        <f>IF($I$86="HOPE VI Initiative", "X","")</f>
        <v/>
      </c>
      <c r="B250" s="603" t="s">
        <v>2699</v>
      </c>
      <c r="C250" s="161" t="s">
        <v>3448</v>
      </c>
      <c r="D250" s="510"/>
      <c r="E250" s="510"/>
      <c r="M250" s="595">
        <v>6</v>
      </c>
      <c r="N250" s="225" t="s">
        <v>2699</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3588</v>
      </c>
      <c r="D251" s="510"/>
      <c r="E251" s="510"/>
      <c r="F251" s="510"/>
      <c r="G251" s="510"/>
      <c r="H251" s="510"/>
      <c r="I251" s="510"/>
      <c r="J251" s="821"/>
      <c r="K251" s="821"/>
      <c r="L251" s="821"/>
      <c r="M251" s="595"/>
      <c r="O251" s="1740"/>
      <c r="P251" s="84"/>
    </row>
    <row r="252" spans="1:17" s="544" customFormat="1" ht="12" customHeight="1">
      <c r="A252" s="594" t="s">
        <v>1788</v>
      </c>
      <c r="B252" s="603" t="s">
        <v>2701</v>
      </c>
      <c r="C252" s="161" t="s">
        <v>2354</v>
      </c>
      <c r="D252" s="510"/>
      <c r="E252" s="510"/>
      <c r="M252" s="595">
        <v>4</v>
      </c>
      <c r="N252" s="225" t="s">
        <v>2701</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101" t="s">
        <v>3714</v>
      </c>
      <c r="D253" s="1101"/>
      <c r="E253" s="1101"/>
      <c r="F253" s="1101"/>
      <c r="G253" s="1101"/>
      <c r="H253" s="1101"/>
      <c r="I253" s="1101"/>
      <c r="J253" s="1101"/>
      <c r="K253" s="1101"/>
      <c r="L253" s="1101"/>
      <c r="M253" s="595"/>
      <c r="N253" s="545"/>
      <c r="O253" s="1797"/>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3</v>
      </c>
      <c r="P254" s="114">
        <f>IF(AND('Part I-Project Information'!$M81="Yes",'Part I-Project Information'!$H119="Yes",'Part VIII-Threshold Criteria'!S337="Yes",OR(P255="Yes",P256="Yes",P257="Yes",P258="Yes")),$M254,0)</f>
        <v>0</v>
      </c>
    </row>
    <row r="255" spans="1:17" s="544" customFormat="1" ht="21.75" customHeight="1">
      <c r="A255" s="543"/>
      <c r="B255" s="506" t="s">
        <v>3202</v>
      </c>
      <c r="C255" s="1082" t="s">
        <v>3589</v>
      </c>
      <c r="D255" s="1082"/>
      <c r="E255" s="1082"/>
      <c r="F255" s="1082"/>
      <c r="G255" s="1082"/>
      <c r="H255" s="1082"/>
      <c r="I255" s="1082"/>
      <c r="J255" s="1082"/>
      <c r="K255" s="1082"/>
      <c r="L255" s="1082"/>
      <c r="M255" s="545"/>
      <c r="N255" s="506" t="s">
        <v>3202</v>
      </c>
      <c r="O255" s="1798" t="s">
        <v>4064</v>
      </c>
      <c r="P255" s="618"/>
    </row>
    <row r="256" spans="1:17" s="544" customFormat="1" ht="21.75" customHeight="1">
      <c r="A256" s="543"/>
      <c r="B256" s="506" t="s">
        <v>3203</v>
      </c>
      <c r="C256" s="1101" t="s">
        <v>3715</v>
      </c>
      <c r="D256" s="1101"/>
      <c r="E256" s="1101"/>
      <c r="F256" s="1101"/>
      <c r="G256" s="1101"/>
      <c r="H256" s="1101"/>
      <c r="I256" s="1101"/>
      <c r="J256" s="1101"/>
      <c r="K256" s="1101"/>
      <c r="L256" s="1101"/>
      <c r="M256" s="545"/>
      <c r="N256" s="506" t="s">
        <v>3203</v>
      </c>
      <c r="O256" s="1799"/>
      <c r="P256" s="619"/>
    </row>
    <row r="257" spans="1:18" s="544" customFormat="1" ht="21.75" customHeight="1">
      <c r="A257" s="543"/>
      <c r="B257" s="506" t="s">
        <v>3204</v>
      </c>
      <c r="C257" s="1101" t="s">
        <v>3463</v>
      </c>
      <c r="D257" s="1101"/>
      <c r="E257" s="1101"/>
      <c r="F257" s="1101"/>
      <c r="G257" s="1101"/>
      <c r="H257" s="1101"/>
      <c r="I257" s="1101"/>
      <c r="J257" s="1101"/>
      <c r="K257" s="1101"/>
      <c r="L257" s="1101"/>
      <c r="M257" s="545"/>
      <c r="N257" s="506" t="s">
        <v>3204</v>
      </c>
      <c r="O257" s="1799"/>
      <c r="P257" s="619"/>
    </row>
    <row r="258" spans="1:18" s="544" customFormat="1" ht="21.75" customHeight="1">
      <c r="A258" s="543"/>
      <c r="B258" s="680" t="s">
        <v>3205</v>
      </c>
      <c r="C258" s="1101" t="s">
        <v>3449</v>
      </c>
      <c r="D258" s="1101"/>
      <c r="E258" s="1101"/>
      <c r="F258" s="1101"/>
      <c r="G258" s="1101"/>
      <c r="H258" s="1101"/>
      <c r="I258" s="1101"/>
      <c r="J258" s="1101"/>
      <c r="K258" s="1101"/>
      <c r="L258" s="1101"/>
      <c r="M258" s="545"/>
      <c r="N258" s="680" t="s">
        <v>3205</v>
      </c>
      <c r="O258" s="1800"/>
      <c r="P258" s="620"/>
    </row>
    <row r="259" spans="1:18" ht="13.5" customHeight="1">
      <c r="A259" s="171" t="s">
        <v>2698</v>
      </c>
      <c r="B259" s="213" t="s">
        <v>3450</v>
      </c>
      <c r="D259" s="692"/>
      <c r="E259" s="50"/>
      <c r="F259" s="40"/>
      <c r="G259" s="140"/>
      <c r="H259" s="40"/>
      <c r="I259" s="40"/>
      <c r="J259" s="40"/>
      <c r="K259" s="40"/>
      <c r="L259" s="40"/>
      <c r="M259" s="674">
        <v>14</v>
      </c>
      <c r="N259" s="654" t="s">
        <v>2698</v>
      </c>
      <c r="O259" s="114">
        <f>MIN($M259,O260+O263+O264+O267+O270+O271)</f>
        <v>5</v>
      </c>
      <c r="P259" s="114">
        <f>MIN($M259,P260+P263+P264+P267+P270+P271)</f>
        <v>0</v>
      </c>
      <c r="R259" s="544"/>
    </row>
    <row r="260" spans="1:18" s="121" customFormat="1" ht="12.75" customHeight="1">
      <c r="B260" s="483" t="s">
        <v>2699</v>
      </c>
      <c r="C260" s="604" t="s">
        <v>3716</v>
      </c>
      <c r="L260" s="490"/>
      <c r="M260" s="8">
        <v>4</v>
      </c>
      <c r="N260" s="225" t="s">
        <v>2699</v>
      </c>
      <c r="O260" s="114">
        <f>IF(AND('Part I-Project Information'!$M81="Yes",'Part I-Project Information'!$H119="Yes",'Part VIII-Threshold Criteria'!S337="Yes"),MIN(O261+O262,$M260),0)</f>
        <v>2</v>
      </c>
      <c r="P260" s="114">
        <f>IF(AND('Part I-Project Information'!$M81="Yes",'Part I-Project Information'!$H119="Yes",'Part VIII-Threshold Criteria'!S337="Yes"),MIN(P261+P262,$M260),0)</f>
        <v>0</v>
      </c>
    </row>
    <row r="261" spans="1:18" s="544" customFormat="1" ht="34.5" customHeight="1">
      <c r="A261" s="543"/>
      <c r="B261" s="506" t="s">
        <v>3202</v>
      </c>
      <c r="C261" s="1101" t="s">
        <v>3452</v>
      </c>
      <c r="D261" s="1101"/>
      <c r="E261" s="1101"/>
      <c r="F261" s="1101"/>
      <c r="G261" s="1101"/>
      <c r="H261" s="1101"/>
      <c r="I261" s="1101"/>
      <c r="J261" s="1101"/>
      <c r="K261" s="1101"/>
      <c r="L261" s="1101"/>
      <c r="M261" s="545">
        <v>4</v>
      </c>
      <c r="N261" s="506" t="s">
        <v>3202</v>
      </c>
      <c r="O261" s="1798"/>
      <c r="P261" s="618"/>
      <c r="Q261" s="221" t="s">
        <v>3631</v>
      </c>
    </row>
    <row r="262" spans="1:18" s="544" customFormat="1" ht="34.5" customHeight="1">
      <c r="A262" s="199" t="s">
        <v>3464</v>
      </c>
      <c r="B262" s="506" t="s">
        <v>3203</v>
      </c>
      <c r="C262" s="1101" t="s">
        <v>3717</v>
      </c>
      <c r="D262" s="1101"/>
      <c r="E262" s="1101"/>
      <c r="F262" s="1101"/>
      <c r="G262" s="1101"/>
      <c r="H262" s="1101"/>
      <c r="I262" s="1101"/>
      <c r="J262" s="1101"/>
      <c r="K262" s="1101"/>
      <c r="L262" s="1101"/>
      <c r="M262" s="545">
        <v>2</v>
      </c>
      <c r="N262" s="506" t="s">
        <v>3203</v>
      </c>
      <c r="O262" s="1800">
        <v>2</v>
      </c>
      <c r="P262" s="620"/>
      <c r="Q262" s="221" t="s">
        <v>3631</v>
      </c>
    </row>
    <row r="263" spans="1:18" s="121" customFormat="1" ht="12" customHeight="1">
      <c r="B263" s="483" t="s">
        <v>2701</v>
      </c>
      <c r="C263" s="604" t="s">
        <v>3451</v>
      </c>
      <c r="L263" s="490" t="str">
        <f>IF(OR($O263=$M263,$O263=0,$O263=""),"","* * Check Score! * *")</f>
        <v/>
      </c>
      <c r="M263" s="8">
        <v>1</v>
      </c>
      <c r="N263" s="225" t="s">
        <v>2701</v>
      </c>
      <c r="O263" s="1766">
        <v>1</v>
      </c>
      <c r="P263" s="671"/>
      <c r="Q263" s="221" t="s">
        <v>3631</v>
      </c>
    </row>
    <row r="264" spans="1:18" s="121" customFormat="1" ht="12" customHeight="1">
      <c r="B264" s="483" t="s">
        <v>3323</v>
      </c>
      <c r="C264" s="604" t="s">
        <v>3453</v>
      </c>
      <c r="L264" s="490" t="str">
        <f>IF(OR($O264&lt;=$M264,$O264=0,$O264=""),"","* * Check Score! * *")</f>
        <v/>
      </c>
      <c r="M264" s="8">
        <v>2</v>
      </c>
      <c r="N264" s="225" t="s">
        <v>3323</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3202</v>
      </c>
      <c r="C265" s="1101" t="s">
        <v>3455</v>
      </c>
      <c r="D265" s="1101"/>
      <c r="E265" s="1101"/>
      <c r="F265" s="1101"/>
      <c r="G265" s="1101"/>
      <c r="H265" s="1101"/>
      <c r="I265" s="1101"/>
      <c r="J265" s="1101"/>
      <c r="K265" s="1101"/>
      <c r="L265" s="1101"/>
      <c r="M265" s="545">
        <v>2</v>
      </c>
      <c r="N265" s="506" t="s">
        <v>3202</v>
      </c>
      <c r="O265" s="1795"/>
      <c r="P265" s="621"/>
      <c r="Q265" s="221" t="s">
        <v>3631</v>
      </c>
    </row>
    <row r="266" spans="1:18" s="544" customFormat="1" ht="12" customHeight="1">
      <c r="A266" s="199" t="s">
        <v>3464</v>
      </c>
      <c r="B266" s="506" t="s">
        <v>3203</v>
      </c>
      <c r="C266" s="1101" t="s">
        <v>3454</v>
      </c>
      <c r="D266" s="1101"/>
      <c r="E266" s="1101"/>
      <c r="F266" s="1101"/>
      <c r="G266" s="1101"/>
      <c r="H266" s="1101"/>
      <c r="I266" s="1101"/>
      <c r="J266" s="1101"/>
      <c r="K266" s="1101"/>
      <c r="L266" s="1101"/>
      <c r="M266" s="545">
        <v>1</v>
      </c>
      <c r="N266" s="506" t="s">
        <v>3203</v>
      </c>
      <c r="O266" s="1796"/>
      <c r="P266" s="622"/>
      <c r="Q266" s="221" t="s">
        <v>3631</v>
      </c>
    </row>
    <row r="267" spans="1:18" s="121" customFormat="1" ht="12" customHeight="1">
      <c r="B267" s="483" t="s">
        <v>1645</v>
      </c>
      <c r="C267" s="604" t="s">
        <v>3456</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101" t="s">
        <v>3718</v>
      </c>
      <c r="D268" s="1101"/>
      <c r="E268" s="1101"/>
      <c r="F268" s="1101"/>
      <c r="G268" s="1101"/>
      <c r="H268" s="1101"/>
      <c r="I268" s="1101"/>
      <c r="J268" s="1101"/>
      <c r="K268" s="1101"/>
      <c r="L268" s="1101"/>
      <c r="M268" s="545">
        <v>3</v>
      </c>
      <c r="N268" s="506" t="s">
        <v>3202</v>
      </c>
      <c r="O268" s="1795"/>
      <c r="P268" s="621"/>
      <c r="Q268" s="221" t="s">
        <v>3631</v>
      </c>
    </row>
    <row r="269" spans="1:18" s="544" customFormat="1" ht="12" customHeight="1">
      <c r="A269" s="199" t="s">
        <v>3464</v>
      </c>
      <c r="B269" s="506" t="s">
        <v>3203</v>
      </c>
      <c r="C269" s="1101" t="s">
        <v>3719</v>
      </c>
      <c r="D269" s="1101"/>
      <c r="E269" s="1101"/>
      <c r="F269" s="1101"/>
      <c r="G269" s="1101"/>
      <c r="H269" s="1101"/>
      <c r="I269" s="1101"/>
      <c r="J269" s="1101"/>
      <c r="K269" s="1101"/>
      <c r="L269" s="1101"/>
      <c r="M269" s="545">
        <v>2</v>
      </c>
      <c r="N269" s="506" t="s">
        <v>3203</v>
      </c>
      <c r="O269" s="1796"/>
      <c r="P269" s="622"/>
      <c r="Q269" s="221" t="s">
        <v>3631</v>
      </c>
    </row>
    <row r="270" spans="1:18" s="121" customFormat="1" ht="12" customHeight="1">
      <c r="B270" s="483" t="s">
        <v>1646</v>
      </c>
      <c r="C270" s="604" t="s">
        <v>3457</v>
      </c>
      <c r="F270" s="578" t="s">
        <v>3458</v>
      </c>
      <c r="J270" s="1165">
        <f>'Part IV-Uses of Funds'!$B$43/'Part IV-Uses of Funds'!$G$129</f>
        <v>0.66508624906523006</v>
      </c>
      <c r="K270" s="1166"/>
      <c r="L270" s="490"/>
      <c r="M270" s="8">
        <v>2</v>
      </c>
      <c r="N270" s="225" t="s">
        <v>1646</v>
      </c>
      <c r="O270" s="1740">
        <v>2</v>
      </c>
      <c r="P270" s="84"/>
      <c r="Q270" s="221" t="s">
        <v>3631</v>
      </c>
    </row>
    <row r="271" spans="1:18" s="121" customFormat="1" ht="12" customHeight="1">
      <c r="B271" s="483" t="s">
        <v>2590</v>
      </c>
      <c r="C271" s="604" t="s">
        <v>3720</v>
      </c>
      <c r="F271" s="578"/>
      <c r="L271" s="490"/>
      <c r="M271" s="8">
        <v>3</v>
      </c>
      <c r="N271" s="225" t="s">
        <v>2590</v>
      </c>
      <c r="O271" s="1740"/>
      <c r="P271" s="84"/>
      <c r="Q271" s="221" t="s">
        <v>3631</v>
      </c>
    </row>
    <row r="272" spans="1:18" s="50" customFormat="1" ht="12" customHeight="1">
      <c r="A272" s="171"/>
      <c r="B272" s="506"/>
      <c r="C272" s="1126" t="s">
        <v>3721</v>
      </c>
      <c r="D272" s="1126"/>
      <c r="E272" s="1126"/>
      <c r="F272" s="1126"/>
      <c r="G272" s="1126"/>
      <c r="H272" s="1126"/>
      <c r="I272" s="1126"/>
      <c r="J272" s="1126"/>
      <c r="K272" s="1126"/>
      <c r="L272" s="1126"/>
      <c r="R272" s="490"/>
    </row>
    <row r="273" spans="1:18" s="50" customFormat="1" ht="12" customHeight="1">
      <c r="A273" s="171"/>
      <c r="B273" s="506"/>
      <c r="C273" s="1126"/>
      <c r="D273" s="1126"/>
      <c r="E273" s="1126"/>
      <c r="F273" s="1126"/>
      <c r="G273" s="1126"/>
      <c r="H273" s="1126"/>
      <c r="I273" s="1126"/>
      <c r="J273" s="1126"/>
      <c r="K273" s="1126"/>
      <c r="L273" s="1126"/>
      <c r="R273" s="490"/>
    </row>
    <row r="274" spans="1:18" s="50" customFormat="1" ht="12" customHeight="1">
      <c r="A274" s="49"/>
      <c r="B274" s="56" t="s">
        <v>281</v>
      </c>
      <c r="C274" s="49"/>
      <c r="D274" s="55"/>
      <c r="E274" s="55"/>
      <c r="F274" s="55"/>
      <c r="G274" s="55"/>
      <c r="H274" s="44"/>
      <c r="I274" s="44"/>
      <c r="J274" s="44"/>
      <c r="K274" s="44"/>
      <c r="M274" s="53"/>
      <c r="N274" s="73"/>
      <c r="O274" s="4"/>
      <c r="P274" s="817"/>
    </row>
    <row r="275" spans="1:18" s="50" customFormat="1" ht="12.75" customHeight="1">
      <c r="A275" s="1641"/>
      <c r="B275" s="1642"/>
      <c r="C275" s="1642"/>
      <c r="D275" s="1642"/>
      <c r="E275" s="1642"/>
      <c r="F275" s="1642"/>
      <c r="G275" s="1642"/>
      <c r="H275" s="1642"/>
      <c r="I275" s="1642"/>
      <c r="J275" s="1642"/>
      <c r="K275" s="1642"/>
      <c r="L275" s="1642"/>
      <c r="M275" s="1642"/>
      <c r="N275" s="1642"/>
      <c r="O275" s="1642"/>
      <c r="P275" s="1643"/>
      <c r="Q275" s="614" t="s">
        <v>1677</v>
      </c>
    </row>
    <row r="276" spans="1:18" s="50" customFormat="1" ht="11.25" customHeight="1">
      <c r="A276" s="49"/>
      <c r="B276" s="103" t="s">
        <v>2572</v>
      </c>
      <c r="C276" s="119"/>
      <c r="D276" s="103"/>
      <c r="E276" s="120"/>
      <c r="F276" s="818"/>
      <c r="G276" s="818"/>
      <c r="H276" s="818"/>
      <c r="I276" s="818"/>
      <c r="J276" s="818"/>
      <c r="K276" s="818"/>
      <c r="L276" s="818"/>
      <c r="M276" s="818"/>
      <c r="N276" s="90"/>
      <c r="O276" s="85"/>
      <c r="P276" s="2"/>
      <c r="Q276" s="570"/>
    </row>
    <row r="277" spans="1:18" s="50" customFormat="1" ht="12.75" customHeight="1">
      <c r="A277" s="1048"/>
      <c r="B277" s="1049"/>
      <c r="C277" s="1049"/>
      <c r="D277" s="1049"/>
      <c r="E277" s="1049"/>
      <c r="F277" s="1049"/>
      <c r="G277" s="1049"/>
      <c r="H277" s="1049"/>
      <c r="I277" s="1049"/>
      <c r="J277" s="1049"/>
      <c r="K277" s="1049"/>
      <c r="L277" s="1049"/>
      <c r="M277" s="1049"/>
      <c r="N277" s="1049"/>
      <c r="O277" s="1049"/>
      <c r="P277" s="1050"/>
      <c r="Q277" s="614" t="s">
        <v>1677</v>
      </c>
    </row>
    <row r="278" spans="1:18" s="50" customFormat="1" ht="3.75" customHeight="1">
      <c r="A278" s="49"/>
      <c r="C278" s="818"/>
      <c r="D278" s="818"/>
      <c r="E278" s="818"/>
      <c r="F278" s="818"/>
      <c r="G278" s="818"/>
      <c r="H278" s="818"/>
      <c r="I278" s="818"/>
      <c r="J278" s="818"/>
      <c r="K278" s="818"/>
      <c r="L278" s="818"/>
      <c r="M278" s="81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1637" t="s">
        <v>4064</v>
      </c>
      <c r="P280" s="210"/>
    </row>
    <row r="281" spans="1:18" ht="12.6" customHeight="1">
      <c r="A281" s="171" t="s">
        <v>2695</v>
      </c>
      <c r="B281" s="229" t="s">
        <v>1881</v>
      </c>
      <c r="D281" s="40"/>
      <c r="E281" s="40"/>
      <c r="F281" s="40"/>
      <c r="G281" s="40"/>
      <c r="H281" s="40"/>
      <c r="I281" s="40"/>
      <c r="J281" s="40"/>
      <c r="K281" s="40"/>
      <c r="L281" s="40"/>
      <c r="M281" s="139"/>
      <c r="N281" s="654" t="s">
        <v>2695</v>
      </c>
      <c r="O281" s="1801">
        <v>10</v>
      </c>
      <c r="P281" s="508"/>
      <c r="Q281" s="221" t="s">
        <v>3631</v>
      </c>
    </row>
    <row r="282" spans="1:18" ht="12.6" customHeight="1">
      <c r="A282" s="171" t="s">
        <v>2698</v>
      </c>
      <c r="B282" s="229" t="s">
        <v>291</v>
      </c>
      <c r="D282" s="40"/>
      <c r="E282" s="40"/>
      <c r="F282" s="40"/>
      <c r="G282" s="823"/>
      <c r="H282" s="823"/>
      <c r="I282" s="823"/>
      <c r="J282" s="823"/>
      <c r="K282" s="823"/>
      <c r="M282" s="123"/>
      <c r="N282" s="654" t="s">
        <v>2698</v>
      </c>
      <c r="O282" s="1637" t="s">
        <v>4134</v>
      </c>
      <c r="P282" s="210"/>
    </row>
    <row r="283" spans="1:18" s="50" customFormat="1" ht="11.25" customHeight="1">
      <c r="A283" s="49"/>
      <c r="B283" s="56" t="s">
        <v>281</v>
      </c>
      <c r="C283" s="49"/>
      <c r="D283" s="55"/>
      <c r="E283" s="55"/>
      <c r="F283" s="55"/>
      <c r="G283" s="55"/>
      <c r="H283" s="44"/>
      <c r="I283" s="44"/>
      <c r="J283" s="44"/>
      <c r="K283" s="44"/>
      <c r="M283" s="53"/>
      <c r="N283" s="73"/>
      <c r="O283" s="4"/>
      <c r="P283" s="817"/>
    </row>
    <row r="284" spans="1:18" s="50" customFormat="1" ht="12.75" customHeight="1">
      <c r="A284" s="1641"/>
      <c r="B284" s="1642"/>
      <c r="C284" s="1642"/>
      <c r="D284" s="1642"/>
      <c r="E284" s="1642"/>
      <c r="F284" s="1642"/>
      <c r="G284" s="1642"/>
      <c r="H284" s="1642"/>
      <c r="I284" s="1642"/>
      <c r="J284" s="1642"/>
      <c r="K284" s="1642"/>
      <c r="L284" s="1642"/>
      <c r="M284" s="1642"/>
      <c r="N284" s="1642"/>
      <c r="O284" s="1642"/>
      <c r="P284" s="1643"/>
      <c r="Q284" s="614" t="s">
        <v>1677</v>
      </c>
      <c r="R284" s="615"/>
    </row>
    <row r="285" spans="1:18" s="123" customFormat="1" ht="11.25" customHeight="1">
      <c r="A285" s="79"/>
      <c r="B285" s="79" t="s">
        <v>2572</v>
      </c>
      <c r="C285" s="57"/>
      <c r="D285" s="79"/>
      <c r="E285" s="813"/>
      <c r="F285" s="813"/>
      <c r="G285" s="813"/>
      <c r="H285" s="813"/>
      <c r="I285" s="813"/>
      <c r="J285" s="813"/>
      <c r="K285" s="813"/>
      <c r="L285" s="813"/>
      <c r="M285" s="813"/>
      <c r="N285" s="113"/>
      <c r="O285" s="232"/>
      <c r="P285" s="2"/>
    </row>
    <row r="286" spans="1:18" s="50" customFormat="1" ht="12.75" customHeight="1">
      <c r="A286" s="1048"/>
      <c r="B286" s="1049"/>
      <c r="C286" s="1049"/>
      <c r="D286" s="1049"/>
      <c r="E286" s="1049"/>
      <c r="F286" s="1049"/>
      <c r="G286" s="1049"/>
      <c r="H286" s="1049"/>
      <c r="I286" s="1049"/>
      <c r="J286" s="1049"/>
      <c r="K286" s="1049"/>
      <c r="L286" s="1049"/>
      <c r="M286" s="1049"/>
      <c r="N286" s="1049"/>
      <c r="O286" s="1049"/>
      <c r="P286" s="1050"/>
      <c r="Q286" s="614" t="s">
        <v>1677</v>
      </c>
      <c r="R286" s="615"/>
    </row>
    <row r="287" spans="1:18" s="50" customFormat="1" ht="3" customHeight="1" thickBot="1">
      <c r="A287" s="49"/>
      <c r="B287" s="49"/>
      <c r="C287" s="818"/>
      <c r="D287" s="818"/>
      <c r="E287" s="818"/>
      <c r="F287" s="818"/>
      <c r="G287" s="818"/>
      <c r="H287" s="818"/>
      <c r="I287" s="818"/>
      <c r="J287" s="818"/>
      <c r="K287" s="818"/>
      <c r="L287" s="818"/>
      <c r="M287" s="818"/>
      <c r="N287" s="90"/>
      <c r="O287" s="85"/>
      <c r="P287" s="674"/>
    </row>
    <row r="288" spans="1:18" s="49" customFormat="1" ht="15" customHeight="1" thickBot="1">
      <c r="A288" s="617" t="s">
        <v>3545</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65</v>
      </c>
      <c r="P288" s="194">
        <f>P8+P30+P38+P47+P56+P63+P86+P121+P136+P148+P156+P164+P169+P180+P220+P231+P240+P248+P279</f>
        <v>14</v>
      </c>
    </row>
    <row r="289" spans="1:19" s="49" customFormat="1" ht="13.5" customHeight="1">
      <c r="A289" s="63"/>
      <c r="B289" s="80"/>
      <c r="C289" s="63"/>
      <c r="D289" s="43"/>
      <c r="E289" s="43"/>
      <c r="F289" s="82"/>
      <c r="G289" s="82"/>
      <c r="H289" s="213" t="s">
        <v>3575</v>
      </c>
      <c r="I289" s="81"/>
      <c r="J289" s="81"/>
      <c r="K289" s="81"/>
      <c r="L289" s="50"/>
      <c r="M289" s="43"/>
      <c r="N289" s="2"/>
      <c r="O289" s="651">
        <f>O288-O248</f>
        <v>57</v>
      </c>
      <c r="P289" s="651">
        <f>P288-P248</f>
        <v>14</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18"/>
      <c r="D291" s="818"/>
      <c r="E291" s="818"/>
      <c r="F291" s="818"/>
      <c r="G291" s="818"/>
      <c r="H291" s="818"/>
      <c r="I291" s="818"/>
      <c r="J291" s="818"/>
      <c r="K291" s="818"/>
      <c r="L291" s="818"/>
      <c r="M291" s="818"/>
      <c r="N291" s="90"/>
      <c r="O291" s="85"/>
      <c r="P291" s="674"/>
    </row>
    <row r="292" spans="1:19" s="50" customFormat="1" ht="9" customHeight="1">
      <c r="A292" s="49"/>
      <c r="D292" s="47"/>
      <c r="E292" s="44"/>
      <c r="F292" s="674"/>
      <c r="G292" s="674"/>
      <c r="H292" s="674"/>
      <c r="I292" s="674"/>
      <c r="J292" s="38"/>
      <c r="K292" s="38"/>
      <c r="L292" s="38"/>
      <c r="M292" s="71"/>
      <c r="N292" s="674"/>
      <c r="O292" s="817"/>
      <c r="P292" s="4"/>
    </row>
    <row r="293" spans="1:19" ht="15.75">
      <c r="A293" s="63"/>
      <c r="B293" s="80"/>
      <c r="C293" s="63"/>
      <c r="D293" s="181"/>
      <c r="E293" s="181"/>
      <c r="F293" s="823"/>
      <c r="G293" s="82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2805</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2806</v>
      </c>
      <c r="D298" s="624"/>
      <c r="E298" s="624"/>
      <c r="F298" s="624"/>
      <c r="G298" s="624"/>
      <c r="H298" s="624"/>
      <c r="I298" s="624"/>
      <c r="J298" s="696" t="s">
        <v>2330</v>
      </c>
      <c r="K298" s="624"/>
      <c r="L298" s="695"/>
      <c r="M298" s="196"/>
      <c r="N298" s="148"/>
      <c r="Q298" s="138"/>
      <c r="R298" s="138"/>
      <c r="S298" s="138"/>
    </row>
    <row r="299" spans="1:19" ht="15">
      <c r="A299" s="196"/>
      <c r="B299" s="196"/>
      <c r="C299" s="624" t="s">
        <v>2807</v>
      </c>
      <c r="D299" s="624"/>
      <c r="E299" s="624"/>
      <c r="F299" s="624"/>
      <c r="G299" s="624"/>
      <c r="H299" s="624"/>
      <c r="I299" s="624"/>
      <c r="J299" s="696" t="s">
        <v>2331</v>
      </c>
      <c r="K299" s="624"/>
      <c r="L299" s="695"/>
      <c r="M299" s="196"/>
      <c r="N299" s="148"/>
      <c r="Q299" s="138"/>
      <c r="R299" s="138"/>
      <c r="S299" s="138"/>
    </row>
    <row r="300" spans="1:19" ht="15">
      <c r="A300" s="196"/>
      <c r="B300" s="196"/>
      <c r="C300" s="697" t="s">
        <v>2808</v>
      </c>
      <c r="D300" s="624"/>
      <c r="E300" s="624"/>
      <c r="F300" s="624"/>
      <c r="G300" s="624"/>
      <c r="H300" s="624"/>
      <c r="I300" s="624"/>
      <c r="J300" s="696" t="s">
        <v>3287</v>
      </c>
      <c r="K300" s="624"/>
      <c r="L300" s="695"/>
      <c r="M300" s="196"/>
      <c r="N300" s="148"/>
      <c r="Q300" s="138"/>
      <c r="R300" s="138"/>
      <c r="S300" s="138"/>
    </row>
    <row r="301" spans="1:19" ht="15">
      <c r="A301" s="196"/>
      <c r="B301" s="196"/>
      <c r="C301" s="697" t="s">
        <v>2809</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2849</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2844</v>
      </c>
      <c r="D309" s="624"/>
      <c r="E309" s="624"/>
      <c r="F309" s="624"/>
      <c r="G309" s="624"/>
      <c r="H309" s="624"/>
      <c r="I309" s="624"/>
      <c r="J309" s="696" t="s">
        <v>2339</v>
      </c>
      <c r="K309" s="624"/>
      <c r="L309" s="695"/>
      <c r="M309" s="196"/>
      <c r="N309" s="148"/>
      <c r="Q309" s="138"/>
      <c r="R309" s="138"/>
      <c r="S309" s="138"/>
    </row>
    <row r="310" spans="1:19" ht="15">
      <c r="A310" s="196"/>
      <c r="B310" s="196"/>
      <c r="C310" s="698" t="s">
        <v>2845</v>
      </c>
      <c r="D310" s="624"/>
      <c r="E310" s="624"/>
      <c r="F310" s="624"/>
      <c r="G310" s="624"/>
      <c r="H310" s="624"/>
      <c r="I310" s="624"/>
      <c r="J310" s="696" t="s">
        <v>2340</v>
      </c>
      <c r="K310" s="695"/>
      <c r="L310" s="695"/>
      <c r="M310" s="196"/>
      <c r="N310" s="148"/>
      <c r="Q310" s="138"/>
      <c r="R310" s="138"/>
      <c r="S310" s="138"/>
    </row>
    <row r="311" spans="1:19" ht="15">
      <c r="A311" s="196"/>
      <c r="B311" s="196"/>
      <c r="C311" s="698" t="s">
        <v>2846</v>
      </c>
      <c r="D311" s="695"/>
      <c r="E311" s="695"/>
      <c r="F311" s="695"/>
      <c r="G311" s="695"/>
      <c r="H311" s="695"/>
      <c r="I311" s="695"/>
      <c r="J311" s="696" t="s">
        <v>38</v>
      </c>
      <c r="K311" s="695"/>
      <c r="L311" s="695"/>
      <c r="M311" s="196"/>
      <c r="N311" s="148"/>
      <c r="Q311" s="138"/>
      <c r="R311" s="138"/>
      <c r="S311" s="138"/>
    </row>
    <row r="312" spans="1:19" ht="15">
      <c r="A312" s="196"/>
      <c r="B312" s="196"/>
      <c r="C312" s="698" t="s">
        <v>2847</v>
      </c>
      <c r="D312" s="695"/>
      <c r="E312" s="695"/>
      <c r="F312" s="695"/>
      <c r="G312" s="695"/>
      <c r="H312" s="695"/>
      <c r="I312" s="695"/>
      <c r="J312" s="700"/>
      <c r="K312" s="695"/>
      <c r="L312" s="695"/>
      <c r="M312" s="196"/>
      <c r="N312" s="148"/>
      <c r="Q312" s="138"/>
      <c r="R312" s="138"/>
      <c r="S312" s="138"/>
    </row>
    <row r="313" spans="1:19">
      <c r="A313" s="196"/>
      <c r="B313" s="196"/>
      <c r="C313" s="698" t="s">
        <v>2848</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3722</v>
      </c>
      <c r="D319" s="695"/>
      <c r="E319" s="695"/>
      <c r="F319" s="695"/>
      <c r="G319" s="704" t="s">
        <v>3309</v>
      </c>
      <c r="H319" s="704" t="s">
        <v>3310</v>
      </c>
      <c r="I319" s="704" t="s">
        <v>1607</v>
      </c>
      <c r="J319" s="695"/>
      <c r="K319" s="695"/>
      <c r="L319" s="695"/>
      <c r="M319" s="196"/>
      <c r="N319" s="148"/>
    </row>
    <row r="320" spans="1:19" ht="25.5">
      <c r="A320" s="196"/>
      <c r="B320" s="196"/>
      <c r="C320" s="703" t="s">
        <v>3727</v>
      </c>
      <c r="D320" s="695"/>
      <c r="E320" s="695"/>
      <c r="F320" s="695"/>
      <c r="G320" s="704" t="s">
        <v>2239</v>
      </c>
      <c r="H320" s="705" t="s">
        <v>1407</v>
      </c>
      <c r="I320" s="705" t="s">
        <v>1751</v>
      </c>
      <c r="J320" s="695"/>
      <c r="K320" s="695"/>
      <c r="L320" s="695"/>
      <c r="M320" s="196"/>
      <c r="N320" s="148"/>
    </row>
    <row r="321" spans="1:14">
      <c r="A321" s="196"/>
      <c r="B321" s="196"/>
      <c r="C321" s="703" t="s">
        <v>3724</v>
      </c>
      <c r="D321" s="695"/>
      <c r="E321" s="695"/>
      <c r="F321" s="695"/>
      <c r="G321" s="704" t="s">
        <v>2787</v>
      </c>
      <c r="H321" s="705" t="s">
        <v>1766</v>
      </c>
      <c r="I321" s="705" t="s">
        <v>1763</v>
      </c>
      <c r="J321" s="695"/>
      <c r="K321" s="695"/>
      <c r="L321" s="695"/>
      <c r="M321" s="196"/>
      <c r="N321" s="148"/>
    </row>
    <row r="322" spans="1:14">
      <c r="A322" s="196"/>
      <c r="B322" s="196"/>
      <c r="C322" s="703" t="s">
        <v>3728</v>
      </c>
      <c r="D322" s="695"/>
      <c r="E322" s="695"/>
      <c r="F322" s="695"/>
      <c r="G322" s="704" t="s">
        <v>2240</v>
      </c>
      <c r="H322" s="705" t="s">
        <v>3329</v>
      </c>
      <c r="I322" s="705" t="s">
        <v>1766</v>
      </c>
      <c r="J322" s="695"/>
      <c r="K322" s="695"/>
      <c r="L322" s="695"/>
      <c r="M322" s="196"/>
      <c r="N322" s="148"/>
    </row>
    <row r="323" spans="1:14" ht="25.5">
      <c r="A323" s="196"/>
      <c r="B323" s="196"/>
      <c r="C323" s="703" t="s">
        <v>3729</v>
      </c>
      <c r="D323" s="695"/>
      <c r="E323" s="695"/>
      <c r="F323" s="695"/>
      <c r="G323" s="704" t="s">
        <v>12</v>
      </c>
      <c r="H323" s="705" t="s">
        <v>3330</v>
      </c>
      <c r="I323" s="705" t="s">
        <v>3263</v>
      </c>
      <c r="J323" s="695"/>
      <c r="K323" s="695"/>
      <c r="L323" s="695"/>
      <c r="M323" s="196"/>
      <c r="N323" s="148"/>
    </row>
    <row r="324" spans="1:14">
      <c r="A324" s="196"/>
      <c r="B324" s="196"/>
      <c r="C324" s="703" t="s">
        <v>3725</v>
      </c>
      <c r="D324" s="695"/>
      <c r="E324" s="695"/>
      <c r="F324" s="695"/>
      <c r="G324" s="704" t="s">
        <v>1766</v>
      </c>
      <c r="H324" s="705" t="s">
        <v>2639</v>
      </c>
      <c r="I324" s="705" t="s">
        <v>3269</v>
      </c>
      <c r="J324" s="695"/>
      <c r="K324" s="695"/>
      <c r="L324" s="695"/>
      <c r="M324" s="196"/>
      <c r="N324" s="148"/>
    </row>
    <row r="325" spans="1:14">
      <c r="A325" s="196"/>
      <c r="B325" s="196"/>
      <c r="C325" s="703" t="s">
        <v>3630</v>
      </c>
      <c r="D325" s="695"/>
      <c r="E325" s="695"/>
      <c r="F325" s="695"/>
      <c r="G325" s="704" t="s">
        <v>1958</v>
      </c>
      <c r="H325" s="705" t="s">
        <v>3007</v>
      </c>
      <c r="I325" s="705" t="s">
        <v>3271</v>
      </c>
      <c r="J325" s="695"/>
      <c r="K325" s="695"/>
      <c r="L325" s="695"/>
      <c r="M325" s="196"/>
      <c r="N325" s="148"/>
    </row>
    <row r="326" spans="1:14">
      <c r="A326" s="196"/>
      <c r="B326" s="196"/>
      <c r="C326" s="703" t="s">
        <v>3726</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214</v>
      </c>
      <c r="J327" s="695"/>
      <c r="K327" s="695"/>
      <c r="L327" s="695"/>
      <c r="M327" s="196"/>
      <c r="N327" s="148"/>
    </row>
    <row r="328" spans="1:14">
      <c r="A328" s="196"/>
      <c r="B328" s="196"/>
      <c r="C328" s="695"/>
      <c r="D328" s="695"/>
      <c r="E328" s="695"/>
      <c r="F328" s="695"/>
      <c r="G328" s="704" t="s">
        <v>2774</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2599</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2585</v>
      </c>
      <c r="J342" s="695"/>
      <c r="K342" s="695"/>
      <c r="L342" s="695"/>
      <c r="M342" s="196"/>
      <c r="N342" s="148"/>
    </row>
    <row r="343" spans="1:14">
      <c r="A343" s="196"/>
      <c r="B343" s="196"/>
      <c r="C343" s="695"/>
      <c r="D343" s="695"/>
      <c r="E343" s="695"/>
      <c r="F343" s="695"/>
      <c r="G343" s="704" t="s">
        <v>688</v>
      </c>
      <c r="H343" s="705"/>
      <c r="I343" s="705" t="s">
        <v>2587</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2811</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2838</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2843</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2629</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98" t="s">
        <v>3748</v>
      </c>
    </row>
    <row r="2" spans="1:6" ht="16.5">
      <c r="A2" s="1299" t="str">
        <f>'Part I-Project Information'!F23</f>
        <v>BTW-Chapman Phase I</v>
      </c>
    </row>
    <row r="3" spans="1:6" ht="16.5">
      <c r="A3" s="1299" t="str">
        <f>CONCATENATE('Part I-Project Information'!F26,", ", 'Part I-Project Information'!J27," County")</f>
        <v>Columbus, Muscogee County</v>
      </c>
    </row>
    <row r="4" spans="1:6" ht="16.5">
      <c r="A4" s="1802" t="str">
        <f>IF('Part IX A-Scoring Criteria'!$O$221="Yes",'Part IX A-Scoring Criteria'!B221,IF('Part IX A-Scoring Criteria'!O223="Yes",'Part IX A-Scoring Criteria'!B223,""))</f>
        <v>Innovative Project Concept and Design</v>
      </c>
    </row>
    <row r="5" spans="1:6" ht="6.75" customHeight="1"/>
    <row r="6" spans="1:6" ht="113.25" customHeight="1">
      <c r="A6" s="1300" t="s">
        <v>4137</v>
      </c>
      <c r="B6" s="1168" t="s">
        <v>3592</v>
      </c>
      <c r="C6" s="826"/>
      <c r="D6" s="826"/>
      <c r="E6" s="826"/>
      <c r="F6" s="826"/>
    </row>
    <row r="7" spans="1:6" ht="6.6" customHeight="1">
      <c r="A7" s="1300"/>
      <c r="B7" s="1168"/>
      <c r="C7" s="826"/>
      <c r="D7" s="826"/>
      <c r="E7" s="826"/>
      <c r="F7" s="826"/>
    </row>
    <row r="8" spans="1:6" ht="134.25" customHeight="1">
      <c r="A8" s="1300"/>
      <c r="C8" s="1803"/>
    </row>
    <row r="9" spans="1:6" ht="6.6" customHeight="1">
      <c r="A9" s="1300"/>
    </row>
    <row r="10" spans="1:6" ht="111" customHeight="1">
      <c r="A10" s="1300"/>
    </row>
    <row r="11" spans="1:6" ht="6.6" customHeight="1">
      <c r="A11" s="1300"/>
    </row>
    <row r="12" spans="1:6" ht="111" customHeight="1">
      <c r="A12" s="1300"/>
    </row>
    <row r="13" spans="1:6" ht="6.6" customHeight="1">
      <c r="A13" s="1300"/>
    </row>
    <row r="14" spans="1:6" ht="111" customHeight="1">
      <c r="A14" s="1300"/>
    </row>
    <row r="15" spans="1:6" ht="6.6" customHeight="1">
      <c r="A15" s="1300"/>
    </row>
    <row r="16" spans="1:6" ht="111" customHeight="1">
      <c r="A16" s="1300"/>
    </row>
    <row r="17" spans="1:1" ht="6.6" customHeight="1">
      <c r="A17" s="1300"/>
    </row>
    <row r="18" spans="1:1" ht="111" customHeight="1">
      <c r="A18" s="1300"/>
    </row>
    <row r="19" spans="1:1" ht="6.6" customHeight="1">
      <c r="A19" s="1300"/>
    </row>
    <row r="20" spans="1:1" ht="105.75" customHeight="1">
      <c r="A20" s="1300"/>
    </row>
    <row r="21" spans="1:1" ht="6.6" customHeight="1">
      <c r="A21" s="1300"/>
    </row>
    <row r="22" spans="1:1" ht="105.75" customHeight="1">
      <c r="A22" s="1300"/>
    </row>
    <row r="23" spans="1:1" ht="6.6" customHeight="1">
      <c r="A23" s="1300"/>
    </row>
    <row r="24" spans="1:1" ht="105.75" customHeight="1">
      <c r="A24" s="1300"/>
    </row>
    <row r="25" spans="1:1" ht="6.6" customHeight="1">
      <c r="A25" s="1804"/>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heetViews>
  <sheetFormatPr defaultColWidth="8.85546875" defaultRowHeight="15.75"/>
  <cols>
    <col min="1" max="1" width="2.28515625" style="752" customWidth="1"/>
    <col min="2" max="12" width="7.28515625" style="752" customWidth="1"/>
    <col min="13" max="13" width="8.7109375" style="752" customWidth="1"/>
    <col min="14" max="15" width="5.85546875" style="752" customWidth="1"/>
    <col min="16" max="16384" width="8.85546875" style="752"/>
  </cols>
  <sheetData>
    <row r="1" spans="1:26" ht="19.5">
      <c r="A1" s="1805" t="s">
        <v>4171</v>
      </c>
      <c r="N1" s="753" t="s">
        <v>1950</v>
      </c>
      <c r="O1" s="753"/>
      <c r="P1" s="753"/>
      <c r="Q1" s="753"/>
      <c r="R1" s="753"/>
      <c r="S1" s="753"/>
      <c r="T1" s="753"/>
      <c r="U1" s="753"/>
      <c r="V1" s="753"/>
      <c r="W1" s="753"/>
      <c r="X1" s="753"/>
      <c r="Y1" s="753"/>
      <c r="Z1" s="753"/>
    </row>
    <row r="3" spans="1:26">
      <c r="N3" s="754" t="s">
        <v>1951</v>
      </c>
      <c r="O3" s="754"/>
      <c r="P3" s="754"/>
      <c r="Q3" s="754"/>
      <c r="R3" s="754"/>
      <c r="S3" s="754"/>
      <c r="T3" s="754"/>
      <c r="U3" s="754"/>
      <c r="V3" s="754"/>
      <c r="W3" s="754"/>
      <c r="X3" s="754"/>
      <c r="Y3" s="754"/>
      <c r="Z3" s="754"/>
    </row>
    <row r="4" spans="1:26">
      <c r="N4" s="755" t="s">
        <v>1952</v>
      </c>
      <c r="O4" s="755"/>
      <c r="P4" s="755"/>
      <c r="Q4" s="755"/>
      <c r="R4" s="755"/>
      <c r="S4" s="755"/>
      <c r="T4" s="755"/>
      <c r="U4" s="755"/>
      <c r="V4" s="755"/>
      <c r="W4" s="755"/>
      <c r="X4" s="755"/>
      <c r="Y4" s="755"/>
      <c r="Z4" s="755"/>
    </row>
    <row r="6" spans="1:26">
      <c r="B6" s="756"/>
      <c r="C6" s="756"/>
      <c r="D6" s="756"/>
      <c r="E6" s="756"/>
      <c r="F6" s="756"/>
      <c r="G6" s="756"/>
      <c r="H6" s="756"/>
      <c r="I6" s="756"/>
      <c r="J6" s="756"/>
      <c r="K6" s="756"/>
      <c r="L6" s="756"/>
      <c r="M6" s="756"/>
      <c r="N6" s="757" t="s">
        <v>891</v>
      </c>
    </row>
    <row r="7" spans="1:26" ht="57" customHeight="1">
      <c r="A7" s="1176" t="s">
        <v>3916</v>
      </c>
      <c r="B7" s="1176"/>
      <c r="C7" s="1176"/>
      <c r="D7" s="1176"/>
      <c r="E7" s="1176"/>
      <c r="F7" s="1176"/>
      <c r="G7" s="1176"/>
      <c r="H7" s="1176"/>
      <c r="I7" s="1176"/>
      <c r="J7" s="1176"/>
      <c r="K7" s="1176"/>
      <c r="L7" s="1176"/>
      <c r="M7" s="1176"/>
    </row>
    <row r="8" spans="1:26" ht="11.45" customHeight="1">
      <c r="A8" s="756"/>
      <c r="B8" s="756"/>
      <c r="C8" s="756"/>
      <c r="D8" s="756"/>
      <c r="E8" s="756"/>
      <c r="F8" s="756"/>
      <c r="G8" s="756"/>
      <c r="H8" s="756"/>
      <c r="I8" s="756"/>
      <c r="J8" s="756"/>
      <c r="K8" s="756"/>
      <c r="L8" s="756"/>
      <c r="M8" s="756"/>
    </row>
    <row r="9" spans="1:26">
      <c r="A9" s="756" t="s">
        <v>896</v>
      </c>
      <c r="B9" s="756"/>
      <c r="C9" s="756"/>
      <c r="D9" s="756"/>
      <c r="E9" s="756"/>
      <c r="F9" s="756"/>
      <c r="G9" s="756"/>
      <c r="H9" s="756"/>
      <c r="I9" s="756"/>
      <c r="J9" s="756"/>
      <c r="K9" s="756"/>
      <c r="L9" s="756"/>
      <c r="M9" s="756"/>
    </row>
    <row r="10" spans="1:26" ht="11.45" customHeight="1">
      <c r="A10" s="756"/>
      <c r="B10" s="756"/>
      <c r="C10" s="756"/>
      <c r="D10" s="756"/>
      <c r="E10" s="756"/>
      <c r="F10" s="756"/>
      <c r="G10" s="756"/>
      <c r="H10" s="756"/>
      <c r="I10" s="756"/>
      <c r="J10" s="756"/>
      <c r="K10" s="756"/>
      <c r="L10" s="756"/>
      <c r="M10" s="756"/>
    </row>
    <row r="11" spans="1:26">
      <c r="A11" s="1171" t="s">
        <v>2615</v>
      </c>
      <c r="B11" s="1171"/>
      <c r="C11" s="1171"/>
      <c r="D11" s="1171"/>
      <c r="E11" s="1171"/>
      <c r="F11" s="1171"/>
      <c r="G11" s="1171"/>
      <c r="H11" s="1171"/>
      <c r="I11" s="1171"/>
      <c r="J11" s="1171"/>
      <c r="K11" s="1171"/>
      <c r="L11" s="1171"/>
      <c r="M11" s="1171"/>
    </row>
    <row r="12" spans="1:26" ht="6.75" customHeight="1">
      <c r="A12" s="1171"/>
      <c r="B12" s="1171"/>
      <c r="C12" s="1171"/>
      <c r="D12" s="1171"/>
      <c r="E12" s="1171"/>
      <c r="F12" s="1171"/>
      <c r="G12" s="1171"/>
      <c r="H12" s="1171"/>
      <c r="I12" s="1171"/>
      <c r="J12" s="1171"/>
      <c r="K12" s="1171"/>
      <c r="L12" s="1171"/>
      <c r="M12" s="1171"/>
    </row>
    <row r="13" spans="1:26" ht="44.25" customHeight="1">
      <c r="A13" s="1177" t="s">
        <v>3917</v>
      </c>
      <c r="B13" s="1177"/>
      <c r="C13" s="1177"/>
      <c r="D13" s="1177"/>
      <c r="E13" s="1177"/>
      <c r="F13" s="1177"/>
      <c r="G13" s="1177"/>
      <c r="H13" s="1177"/>
      <c r="I13" s="1177"/>
      <c r="J13" s="1177"/>
      <c r="K13" s="1177"/>
      <c r="L13" s="1177"/>
      <c r="M13" s="1177"/>
    </row>
    <row r="14" spans="1:26" ht="3" customHeight="1">
      <c r="A14" s="1171"/>
      <c r="B14" s="1171"/>
      <c r="C14" s="1171"/>
      <c r="D14" s="1171"/>
      <c r="E14" s="1171"/>
      <c r="F14" s="1171"/>
      <c r="G14" s="1171"/>
      <c r="H14" s="1171"/>
      <c r="I14" s="1171"/>
      <c r="J14" s="1171"/>
      <c r="K14" s="1171"/>
      <c r="L14" s="1171"/>
      <c r="M14" s="1171"/>
    </row>
    <row r="15" spans="1:26" ht="87.75" customHeight="1">
      <c r="A15" s="758" t="s">
        <v>2430</v>
      </c>
      <c r="B15" s="1170" t="s">
        <v>3918</v>
      </c>
      <c r="C15" s="1170"/>
      <c r="D15" s="1170"/>
      <c r="E15" s="1170"/>
      <c r="F15" s="1170"/>
      <c r="G15" s="1170"/>
      <c r="H15" s="1170"/>
      <c r="I15" s="1170"/>
      <c r="J15" s="1170"/>
      <c r="K15" s="1170"/>
      <c r="L15" s="1170"/>
      <c r="M15" s="1170"/>
    </row>
    <row r="16" spans="1:26" ht="3" customHeight="1">
      <c r="A16" s="1171"/>
      <c r="B16" s="1171"/>
      <c r="C16" s="1171"/>
      <c r="D16" s="1171"/>
      <c r="E16" s="1171"/>
      <c r="F16" s="1171"/>
      <c r="G16" s="1171"/>
      <c r="H16" s="1171"/>
      <c r="I16" s="1171"/>
      <c r="J16" s="1171"/>
      <c r="K16" s="1171"/>
      <c r="L16" s="1171"/>
      <c r="M16" s="1171"/>
    </row>
    <row r="17" spans="1:13" ht="58.5" customHeight="1">
      <c r="A17" s="758" t="s">
        <v>2431</v>
      </c>
      <c r="B17" s="1170" t="s">
        <v>3919</v>
      </c>
      <c r="C17" s="1170"/>
      <c r="D17" s="1170"/>
      <c r="E17" s="1170"/>
      <c r="F17" s="1170"/>
      <c r="G17" s="1170"/>
      <c r="H17" s="1170"/>
      <c r="I17" s="1170"/>
      <c r="J17" s="1170"/>
      <c r="K17" s="1170"/>
      <c r="L17" s="1170"/>
      <c r="M17" s="1170"/>
    </row>
    <row r="18" spans="1:13" ht="3" customHeight="1">
      <c r="A18" s="1171"/>
      <c r="B18" s="1171"/>
      <c r="C18" s="1171"/>
      <c r="D18" s="1171"/>
      <c r="E18" s="1171"/>
      <c r="F18" s="1171"/>
      <c r="G18" s="1171"/>
      <c r="H18" s="1171"/>
      <c r="I18" s="1171"/>
      <c r="J18" s="1171"/>
      <c r="K18" s="1171"/>
      <c r="L18" s="1171"/>
      <c r="M18" s="1171"/>
    </row>
    <row r="19" spans="1:13" ht="115.5" customHeight="1">
      <c r="A19" s="758" t="s">
        <v>2432</v>
      </c>
      <c r="B19" s="1170" t="s">
        <v>824</v>
      </c>
      <c r="C19" s="1170"/>
      <c r="D19" s="1170"/>
      <c r="E19" s="1170"/>
      <c r="F19" s="1170"/>
      <c r="G19" s="1170"/>
      <c r="H19" s="1170"/>
      <c r="I19" s="1170"/>
      <c r="J19" s="1170"/>
      <c r="K19" s="1170"/>
      <c r="L19" s="1170"/>
      <c r="M19" s="1170"/>
    </row>
    <row r="20" spans="1:13" ht="3" customHeight="1">
      <c r="A20" s="1171"/>
      <c r="B20" s="1171"/>
      <c r="C20" s="1171"/>
      <c r="D20" s="1171"/>
      <c r="E20" s="1171"/>
      <c r="F20" s="1171"/>
      <c r="G20" s="1171"/>
      <c r="H20" s="1171"/>
      <c r="I20" s="1171"/>
      <c r="J20" s="1171"/>
      <c r="K20" s="1171"/>
      <c r="L20" s="1171"/>
      <c r="M20" s="1171"/>
    </row>
    <row r="21" spans="1:13" ht="115.5" customHeight="1">
      <c r="A21" s="758" t="s">
        <v>3120</v>
      </c>
      <c r="B21" s="1170" t="s">
        <v>3920</v>
      </c>
      <c r="C21" s="1170"/>
      <c r="D21" s="1170"/>
      <c r="E21" s="1170"/>
      <c r="F21" s="1170"/>
      <c r="G21" s="1170"/>
      <c r="H21" s="1170"/>
      <c r="I21" s="1170"/>
      <c r="J21" s="1170"/>
      <c r="K21" s="1170"/>
      <c r="L21" s="1170"/>
      <c r="M21" s="1170"/>
    </row>
    <row r="22" spans="1:13" ht="3" customHeight="1">
      <c r="A22" s="1171"/>
      <c r="B22" s="1171"/>
      <c r="C22" s="1171"/>
      <c r="D22" s="1171"/>
      <c r="E22" s="1171"/>
      <c r="F22" s="1171"/>
      <c r="G22" s="1171"/>
      <c r="H22" s="1171"/>
      <c r="I22" s="1171"/>
      <c r="J22" s="1171"/>
      <c r="K22" s="1171"/>
      <c r="L22" s="1171"/>
      <c r="M22" s="1171"/>
    </row>
    <row r="23" spans="1:13" ht="44.25" customHeight="1">
      <c r="A23" s="758" t="s">
        <v>2009</v>
      </c>
      <c r="B23" s="1170" t="s">
        <v>869</v>
      </c>
      <c r="C23" s="1170"/>
      <c r="D23" s="1170"/>
      <c r="E23" s="1170"/>
      <c r="F23" s="1170"/>
      <c r="G23" s="1170"/>
      <c r="H23" s="1170"/>
      <c r="I23" s="1170"/>
      <c r="J23" s="1170"/>
      <c r="K23" s="1170"/>
      <c r="L23" s="1170"/>
      <c r="M23" s="1170"/>
    </row>
    <row r="24" spans="1:13" ht="144.75" customHeight="1">
      <c r="A24" s="758" t="s">
        <v>2010</v>
      </c>
      <c r="B24" s="1170" t="s">
        <v>3921</v>
      </c>
      <c r="C24" s="1170"/>
      <c r="D24" s="1170"/>
      <c r="E24" s="1170"/>
      <c r="F24" s="1170"/>
      <c r="G24" s="1170"/>
      <c r="H24" s="1170"/>
      <c r="I24" s="1170"/>
      <c r="J24" s="1170"/>
      <c r="K24" s="1170"/>
      <c r="L24" s="1170"/>
      <c r="M24" s="1170"/>
    </row>
    <row r="25" spans="1:13" ht="3" customHeight="1">
      <c r="A25" s="1171"/>
      <c r="B25" s="1171"/>
      <c r="C25" s="1171"/>
      <c r="D25" s="1171"/>
      <c r="E25" s="1171"/>
      <c r="F25" s="1171"/>
      <c r="G25" s="1171"/>
      <c r="H25" s="1171"/>
      <c r="I25" s="1171"/>
      <c r="J25" s="1171"/>
      <c r="K25" s="1171"/>
      <c r="L25" s="1171"/>
      <c r="M25" s="1171"/>
    </row>
    <row r="26" spans="1:13" ht="44.25" customHeight="1">
      <c r="A26" s="758" t="s">
        <v>104</v>
      </c>
      <c r="B26" s="1170" t="s">
        <v>3922</v>
      </c>
      <c r="C26" s="1170"/>
      <c r="D26" s="1170"/>
      <c r="E26" s="1170"/>
      <c r="F26" s="1170"/>
      <c r="G26" s="1170"/>
      <c r="H26" s="1170"/>
      <c r="I26" s="1170"/>
      <c r="J26" s="1170"/>
      <c r="K26" s="1170"/>
      <c r="L26" s="1170"/>
      <c r="M26" s="1170"/>
    </row>
    <row r="27" spans="1:13" ht="3" customHeight="1">
      <c r="A27" s="1171"/>
      <c r="B27" s="1171"/>
      <c r="C27" s="1171"/>
      <c r="D27" s="1171"/>
      <c r="E27" s="1171"/>
      <c r="F27" s="1171"/>
      <c r="G27" s="1171"/>
      <c r="H27" s="1171"/>
      <c r="I27" s="1171"/>
      <c r="J27" s="1171"/>
      <c r="K27" s="1171"/>
      <c r="L27" s="1171"/>
      <c r="M27" s="1171"/>
    </row>
    <row r="28" spans="1:13" ht="15" customHeight="1">
      <c r="A28" s="758" t="s">
        <v>678</v>
      </c>
      <c r="B28" s="1170" t="s">
        <v>1911</v>
      </c>
      <c r="C28" s="1170"/>
      <c r="D28" s="1170"/>
      <c r="E28" s="1170"/>
      <c r="F28" s="1170"/>
      <c r="G28" s="1170"/>
      <c r="H28" s="1170"/>
      <c r="I28" s="1170"/>
      <c r="J28" s="1170"/>
      <c r="K28" s="1170"/>
      <c r="L28" s="1170"/>
      <c r="M28" s="1170"/>
    </row>
    <row r="29" spans="1:13" ht="4.5" customHeight="1">
      <c r="A29" s="1171"/>
      <c r="B29" s="1171"/>
      <c r="C29" s="1171"/>
      <c r="D29" s="1171"/>
      <c r="E29" s="1171"/>
      <c r="F29" s="1171"/>
      <c r="G29" s="1171"/>
      <c r="H29" s="1171"/>
      <c r="I29" s="1171"/>
      <c r="J29" s="1171"/>
      <c r="K29" s="1171"/>
      <c r="L29" s="1171"/>
      <c r="M29" s="1171"/>
    </row>
    <row r="30" spans="1:13" ht="15" customHeight="1">
      <c r="A30" s="1171" t="s">
        <v>1912</v>
      </c>
      <c r="B30" s="1171"/>
      <c r="C30" s="1171"/>
      <c r="D30" s="1171"/>
      <c r="E30" s="1171"/>
      <c r="F30" s="1171"/>
      <c r="G30" s="1171"/>
      <c r="H30" s="1171"/>
      <c r="I30" s="1171"/>
      <c r="J30" s="1171"/>
      <c r="K30" s="1171"/>
      <c r="L30" s="1171"/>
      <c r="M30" s="1171"/>
    </row>
    <row r="31" spans="1:13" ht="3" customHeight="1">
      <c r="A31" s="1171"/>
      <c r="B31" s="1171"/>
      <c r="C31" s="1171"/>
      <c r="D31" s="1171"/>
      <c r="E31" s="1171"/>
      <c r="F31" s="1171"/>
      <c r="G31" s="1171"/>
      <c r="H31" s="1171"/>
      <c r="I31" s="1171"/>
      <c r="J31" s="1171"/>
      <c r="K31" s="1171"/>
      <c r="L31" s="1171"/>
      <c r="M31" s="1171"/>
    </row>
    <row r="32" spans="1:13" ht="28.5" customHeight="1">
      <c r="A32" s="759" t="s">
        <v>1913</v>
      </c>
      <c r="B32" s="1170" t="s">
        <v>3923</v>
      </c>
      <c r="C32" s="1170"/>
      <c r="D32" s="1170"/>
      <c r="E32" s="1170"/>
      <c r="F32" s="1170"/>
      <c r="G32" s="1170"/>
      <c r="H32" s="1170"/>
      <c r="I32" s="1170"/>
      <c r="J32" s="1170"/>
      <c r="K32" s="1170"/>
      <c r="L32" s="1170"/>
      <c r="M32" s="1170"/>
    </row>
    <row r="33" spans="1:13" ht="3" customHeight="1">
      <c r="A33" s="1171"/>
      <c r="B33" s="1171"/>
      <c r="C33" s="1171"/>
      <c r="D33" s="1171"/>
      <c r="E33" s="1171"/>
      <c r="F33" s="1171"/>
      <c r="G33" s="1171"/>
      <c r="H33" s="1171"/>
      <c r="I33" s="1171"/>
      <c r="J33" s="1171"/>
      <c r="K33" s="1171"/>
      <c r="L33" s="1171"/>
      <c r="M33" s="1171"/>
    </row>
    <row r="34" spans="1:13" ht="43.5" customHeight="1">
      <c r="A34" s="759" t="s">
        <v>1913</v>
      </c>
      <c r="B34" s="1170" t="s">
        <v>3924</v>
      </c>
      <c r="C34" s="1170"/>
      <c r="D34" s="1170"/>
      <c r="E34" s="1170"/>
      <c r="F34" s="1170"/>
      <c r="G34" s="1170"/>
      <c r="H34" s="1170"/>
      <c r="I34" s="1170"/>
      <c r="J34" s="1170"/>
      <c r="K34" s="1170"/>
      <c r="L34" s="1170"/>
      <c r="M34" s="1170"/>
    </row>
    <row r="35" spans="1:13" ht="3" customHeight="1">
      <c r="A35" s="1171"/>
      <c r="B35" s="1171"/>
      <c r="C35" s="1171"/>
      <c r="D35" s="1171"/>
      <c r="E35" s="1171"/>
      <c r="F35" s="1171"/>
      <c r="G35" s="1171"/>
      <c r="H35" s="1171"/>
      <c r="I35" s="1171"/>
      <c r="J35" s="1171"/>
      <c r="K35" s="1171"/>
      <c r="L35" s="1171"/>
      <c r="M35" s="1171"/>
    </row>
    <row r="36" spans="1:13" ht="72.75" customHeight="1">
      <c r="A36" s="759" t="s">
        <v>1913</v>
      </c>
      <c r="B36" s="1170" t="s">
        <v>3925</v>
      </c>
      <c r="C36" s="1170"/>
      <c r="D36" s="1170"/>
      <c r="E36" s="1170"/>
      <c r="F36" s="1170"/>
      <c r="G36" s="1170"/>
      <c r="H36" s="1170"/>
      <c r="I36" s="1170"/>
      <c r="J36" s="1170"/>
      <c r="K36" s="1170"/>
      <c r="L36" s="1170"/>
      <c r="M36" s="1170"/>
    </row>
    <row r="37" spans="1:13" ht="9" customHeight="1">
      <c r="A37" s="1171"/>
      <c r="B37" s="1171"/>
      <c r="C37" s="1171"/>
      <c r="D37" s="1171"/>
      <c r="E37" s="1171"/>
      <c r="F37" s="1171"/>
      <c r="G37" s="1171"/>
      <c r="H37" s="1171"/>
      <c r="I37" s="1171"/>
      <c r="J37" s="1171"/>
      <c r="K37" s="1171"/>
      <c r="L37" s="1171"/>
      <c r="M37" s="1171"/>
    </row>
    <row r="38" spans="1:13" ht="29.25" customHeight="1">
      <c r="A38" s="1170" t="s">
        <v>1342</v>
      </c>
      <c r="B38" s="1170"/>
      <c r="C38" s="1170"/>
      <c r="D38" s="1170"/>
      <c r="E38" s="1170"/>
      <c r="F38" s="1170"/>
      <c r="G38" s="1170"/>
      <c r="H38" s="1170"/>
      <c r="I38" s="1170"/>
      <c r="J38" s="1170"/>
      <c r="K38" s="1170"/>
      <c r="L38" s="1170"/>
      <c r="M38" s="1170"/>
    </row>
    <row r="39" spans="1:13" ht="3" customHeight="1">
      <c r="A39" s="1171"/>
      <c r="B39" s="1171"/>
      <c r="C39" s="1171"/>
      <c r="D39" s="1171"/>
      <c r="E39" s="1171"/>
      <c r="F39" s="1171"/>
      <c r="G39" s="1171"/>
      <c r="H39" s="1171"/>
      <c r="I39" s="1171"/>
      <c r="J39" s="1171"/>
      <c r="K39" s="1171"/>
      <c r="L39" s="1171"/>
      <c r="M39" s="1171"/>
    </row>
    <row r="40" spans="1:13" ht="29.25" customHeight="1">
      <c r="A40" s="1170" t="s">
        <v>3926</v>
      </c>
      <c r="B40" s="1170"/>
      <c r="C40" s="1170"/>
      <c r="D40" s="1170"/>
      <c r="E40" s="1170"/>
      <c r="F40" s="1170"/>
      <c r="G40" s="1170"/>
      <c r="H40" s="1170"/>
      <c r="I40" s="1170"/>
      <c r="J40" s="1170"/>
      <c r="K40" s="1170"/>
      <c r="L40" s="1170"/>
      <c r="M40" s="1170"/>
    </row>
    <row r="41" spans="1:13" ht="3" customHeight="1">
      <c r="A41" s="1171"/>
      <c r="B41" s="1171"/>
      <c r="C41" s="1171"/>
      <c r="D41" s="1171"/>
      <c r="E41" s="1171"/>
      <c r="F41" s="1171"/>
      <c r="G41" s="1171"/>
      <c r="H41" s="1171"/>
      <c r="I41" s="1171"/>
      <c r="J41" s="1171"/>
      <c r="K41" s="1171"/>
      <c r="L41" s="1171"/>
      <c r="M41" s="1171"/>
    </row>
    <row r="42" spans="1:13">
      <c r="A42" s="1171" t="s">
        <v>1318</v>
      </c>
      <c r="B42" s="1171"/>
      <c r="C42" s="1171"/>
      <c r="D42" s="1171"/>
      <c r="E42" s="1171"/>
      <c r="F42" s="1171"/>
      <c r="G42" s="1171"/>
      <c r="H42" s="1171"/>
      <c r="I42" s="1171"/>
      <c r="J42" s="1171"/>
      <c r="K42" s="1171"/>
      <c r="L42" s="1171"/>
      <c r="M42" s="1171"/>
    </row>
    <row r="43" spans="1:13">
      <c r="A43" s="760"/>
      <c r="B43" s="760"/>
      <c r="C43" s="760"/>
      <c r="D43" s="760"/>
      <c r="E43" s="760"/>
      <c r="F43" s="760"/>
      <c r="G43" s="760"/>
      <c r="H43" s="760"/>
      <c r="I43" s="760"/>
      <c r="J43" s="760"/>
      <c r="K43" s="760"/>
      <c r="L43" s="760"/>
      <c r="M43" s="760"/>
    </row>
    <row r="44" spans="1:13">
      <c r="A44" s="1172"/>
      <c r="B44" s="1172"/>
      <c r="C44" s="1172"/>
      <c r="D44" s="1172"/>
      <c r="E44" s="1172"/>
      <c r="F44" s="1172"/>
      <c r="G44" s="761"/>
      <c r="H44" s="1172"/>
      <c r="I44" s="1172"/>
      <c r="J44" s="1172"/>
      <c r="K44" s="1172"/>
      <c r="L44" s="1172"/>
      <c r="M44" s="1172"/>
    </row>
    <row r="45" spans="1:13" ht="12" customHeight="1">
      <c r="A45" s="1173" t="s">
        <v>1319</v>
      </c>
      <c r="B45" s="1173"/>
      <c r="C45" s="1173"/>
      <c r="D45" s="1173"/>
      <c r="E45" s="1173"/>
      <c r="F45" s="1173"/>
      <c r="G45" s="761"/>
      <c r="H45" s="1173" t="s">
        <v>2692</v>
      </c>
      <c r="I45" s="1173"/>
      <c r="J45" s="1173"/>
      <c r="K45" s="1173"/>
      <c r="L45" s="1173"/>
      <c r="M45" s="1173"/>
    </row>
    <row r="46" spans="1:13">
      <c r="A46" s="761"/>
      <c r="B46" s="761"/>
      <c r="C46" s="761"/>
      <c r="D46" s="761"/>
      <c r="E46" s="761"/>
      <c r="F46" s="761"/>
      <c r="G46" s="761"/>
      <c r="H46" s="761"/>
      <c r="I46" s="761"/>
      <c r="J46" s="761"/>
      <c r="K46" s="761"/>
      <c r="L46" s="761"/>
      <c r="M46" s="761"/>
    </row>
    <row r="47" spans="1:13">
      <c r="A47" s="1174"/>
      <c r="B47" s="1174"/>
      <c r="C47" s="1174"/>
      <c r="D47" s="1174"/>
      <c r="E47" s="1174"/>
      <c r="F47" s="1174"/>
      <c r="G47" s="761"/>
      <c r="H47" s="1175"/>
      <c r="I47" s="1175"/>
      <c r="J47" s="1175"/>
      <c r="K47" s="1175"/>
      <c r="L47" s="1175"/>
      <c r="M47" s="1175"/>
    </row>
    <row r="48" spans="1:13" ht="12" customHeight="1">
      <c r="A48" s="1173" t="s">
        <v>1320</v>
      </c>
      <c r="B48" s="1173"/>
      <c r="C48" s="1173"/>
      <c r="D48" s="1173"/>
      <c r="E48" s="1173"/>
      <c r="F48" s="1173"/>
      <c r="G48" s="761"/>
      <c r="H48" s="1173" t="s">
        <v>1321</v>
      </c>
      <c r="I48" s="1173"/>
      <c r="J48" s="1173"/>
      <c r="K48" s="1173"/>
      <c r="L48" s="1173"/>
      <c r="M48" s="1173"/>
    </row>
    <row r="49" spans="1:13" ht="11.45" customHeight="1">
      <c r="A49" s="1171"/>
      <c r="B49" s="1171"/>
      <c r="C49" s="1171"/>
      <c r="D49" s="1171"/>
      <c r="E49" s="1171"/>
      <c r="F49" s="1171"/>
      <c r="G49" s="1171"/>
      <c r="H49" s="1171"/>
      <c r="I49" s="1171"/>
      <c r="J49" s="1171"/>
      <c r="K49" s="1171"/>
      <c r="L49" s="1171"/>
      <c r="M49" s="1171"/>
    </row>
    <row r="50" spans="1:13" ht="11.45" customHeight="1">
      <c r="A50" s="756"/>
      <c r="B50" s="756"/>
      <c r="C50" s="756"/>
      <c r="D50" s="756"/>
      <c r="E50" s="756"/>
      <c r="F50" s="756"/>
      <c r="G50" s="756"/>
      <c r="H50" s="1169" t="s">
        <v>1322</v>
      </c>
      <c r="I50" s="1169"/>
      <c r="J50" s="1169"/>
      <c r="K50" s="1169"/>
      <c r="L50" s="1169"/>
      <c r="M50" s="1169"/>
    </row>
    <row r="51" spans="1:13" ht="11.45" customHeight="1">
      <c r="A51" s="756"/>
      <c r="B51" s="756"/>
      <c r="C51" s="756"/>
      <c r="D51" s="756"/>
      <c r="E51" s="756"/>
      <c r="F51" s="756"/>
      <c r="G51" s="756"/>
    </row>
    <row r="52" spans="1:13" ht="11.45" customHeight="1">
      <c r="A52" s="756"/>
      <c r="B52" s="756"/>
      <c r="C52" s="756"/>
      <c r="D52" s="756"/>
      <c r="E52" s="756"/>
      <c r="F52" s="756"/>
      <c r="G52" s="756"/>
      <c r="H52" s="756"/>
      <c r="I52" s="756"/>
      <c r="J52" s="756"/>
      <c r="K52" s="756"/>
      <c r="L52" s="756"/>
      <c r="M52" s="756"/>
    </row>
    <row r="53" spans="1:13" ht="11.45" customHeight="1">
      <c r="A53" s="756"/>
      <c r="B53" s="756"/>
      <c r="C53" s="756"/>
      <c r="D53" s="756"/>
      <c r="E53" s="756"/>
      <c r="F53" s="756"/>
      <c r="G53" s="756"/>
      <c r="H53" s="756"/>
      <c r="I53" s="756"/>
      <c r="J53" s="756"/>
      <c r="K53" s="756"/>
      <c r="L53" s="756"/>
      <c r="M53" s="756"/>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AA58" sqref="AA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81" t="s">
        <v>914</v>
      </c>
      <c r="B2" s="1182"/>
      <c r="C2" s="1182"/>
      <c r="D2" s="1182"/>
      <c r="E2" s="1182"/>
      <c r="F2" s="1182"/>
      <c r="G2" s="1182"/>
      <c r="H2" s="1182"/>
      <c r="I2" s="1182"/>
      <c r="J2" s="1182"/>
      <c r="K2" s="1182"/>
      <c r="L2" s="1182"/>
      <c r="M2" s="1182"/>
      <c r="N2" s="1182"/>
      <c r="O2" s="1182"/>
      <c r="P2" s="1182"/>
      <c r="Q2" s="1182"/>
      <c r="R2" s="1183"/>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13211820</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14533020</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2616</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3537</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79">
        <v>6500</v>
      </c>
      <c r="R25" s="1180"/>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79">
        <v>5500</v>
      </c>
      <c r="R26" s="1180"/>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79">
        <v>1000</v>
      </c>
      <c r="R27" s="1180"/>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79">
        <v>500</v>
      </c>
      <c r="R28" s="1180"/>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79">
        <v>7000</v>
      </c>
      <c r="R29" s="1180"/>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79">
        <v>6000</v>
      </c>
      <c r="R30" s="1180"/>
      <c r="S30" s="369"/>
      <c r="T30" s="369"/>
      <c r="U30" s="369"/>
    </row>
    <row r="31" spans="1:21" s="353" customFormat="1" ht="11.45" customHeight="1">
      <c r="A31" s="218"/>
      <c r="B31" s="218" t="s">
        <v>1066</v>
      </c>
      <c r="C31" s="218"/>
      <c r="D31" s="216"/>
      <c r="E31" s="216"/>
      <c r="F31" s="218" t="s">
        <v>305</v>
      </c>
      <c r="G31" s="218"/>
      <c r="H31" s="216"/>
      <c r="I31" s="216"/>
      <c r="J31" s="218" t="s">
        <v>3641</v>
      </c>
      <c r="K31" s="218"/>
      <c r="L31" s="218"/>
      <c r="M31" s="218"/>
      <c r="N31" s="218"/>
      <c r="O31" s="218"/>
      <c r="P31" s="216"/>
      <c r="Q31" s="359">
        <v>25000</v>
      </c>
      <c r="R31" s="368" t="s">
        <v>673</v>
      </c>
      <c r="S31" s="369"/>
      <c r="T31" s="369"/>
      <c r="U31" s="369"/>
    </row>
    <row r="32" spans="1:21" s="353" customFormat="1" ht="11.45" customHeight="1">
      <c r="A32" s="218"/>
      <c r="B32" s="218" t="s">
        <v>2673</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2745</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2745</v>
      </c>
      <c r="K35" s="218"/>
      <c r="L35" s="218"/>
      <c r="M35" s="218"/>
      <c r="N35" s="218"/>
      <c r="O35" s="218"/>
      <c r="P35" s="216"/>
      <c r="Q35" s="371" t="s">
        <v>1369</v>
      </c>
      <c r="R35" s="359">
        <v>500000</v>
      </c>
      <c r="S35" s="369"/>
      <c r="T35" s="369"/>
      <c r="U35" s="369"/>
    </row>
    <row r="36" spans="1:21" s="353" customFormat="1" ht="11.45" customHeight="1">
      <c r="A36" s="218"/>
      <c r="B36" s="218" t="s">
        <v>2752</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2753</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3538</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78">
        <v>0.08</v>
      </c>
      <c r="R39" s="1178"/>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78">
        <v>0.08</v>
      </c>
      <c r="R40" s="1178"/>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79">
        <v>2700</v>
      </c>
      <c r="R41" s="1180"/>
      <c r="S41" s="369"/>
      <c r="T41" s="369"/>
      <c r="U41" s="369"/>
    </row>
    <row r="42" spans="1:21" s="353" customFormat="1" ht="11.45" customHeight="1">
      <c r="A42" s="218"/>
      <c r="B42" s="221" t="s">
        <v>3637</v>
      </c>
      <c r="C42" s="218"/>
      <c r="D42" s="216"/>
      <c r="E42" s="216"/>
      <c r="F42" s="218"/>
      <c r="G42" s="218"/>
      <c r="H42" s="216"/>
      <c r="I42" s="216"/>
      <c r="J42" s="218"/>
      <c r="K42" s="218"/>
      <c r="L42" s="218"/>
      <c r="M42" s="218"/>
      <c r="N42" s="218"/>
      <c r="O42" s="218"/>
      <c r="P42" s="216"/>
      <c r="Q42" s="1179">
        <v>1500</v>
      </c>
      <c r="R42" s="1180"/>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3542</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3539</v>
      </c>
      <c r="G45" s="218"/>
      <c r="H45" s="216"/>
      <c r="I45" s="216"/>
      <c r="J45" s="218" t="s">
        <v>3540</v>
      </c>
      <c r="K45" s="218"/>
      <c r="L45" s="218"/>
      <c r="M45" s="218"/>
      <c r="N45" s="218"/>
      <c r="O45" s="218"/>
      <c r="P45" s="216"/>
      <c r="Q45" s="368">
        <v>1500</v>
      </c>
      <c r="R45" s="368" t="s">
        <v>2426</v>
      </c>
      <c r="S45" s="369"/>
      <c r="T45" s="369"/>
      <c r="U45" s="369"/>
    </row>
    <row r="46" spans="1:21" s="353" customFormat="1" ht="11.45" customHeight="1">
      <c r="A46" s="218"/>
      <c r="B46" s="218" t="s">
        <v>2567</v>
      </c>
      <c r="C46" s="218"/>
      <c r="D46" s="216"/>
      <c r="E46" s="216"/>
      <c r="F46" s="218"/>
      <c r="G46" s="218"/>
      <c r="H46" s="218"/>
      <c r="I46" s="216"/>
      <c r="J46" s="218" t="s">
        <v>2423</v>
      </c>
      <c r="K46" s="218"/>
      <c r="L46" s="218"/>
      <c r="M46" s="218"/>
      <c r="N46" s="218"/>
      <c r="O46" s="218"/>
      <c r="P46" s="216"/>
      <c r="Q46" s="1179">
        <v>1800000</v>
      </c>
      <c r="R46" s="1180"/>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178">
        <v>0.15</v>
      </c>
      <c r="R47" s="1178"/>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78">
        <v>0.15</v>
      </c>
      <c r="R48" s="1178"/>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78">
        <v>0.15</v>
      </c>
      <c r="R49" s="1178"/>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78">
        <v>0.15</v>
      </c>
      <c r="R50" s="1178"/>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78">
        <v>0.15</v>
      </c>
      <c r="R51" s="1178"/>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178">
        <v>0.15</v>
      </c>
      <c r="R52" s="1178"/>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178" t="s">
        <v>3130</v>
      </c>
      <c r="R53" s="1178"/>
      <c r="S53" s="369"/>
      <c r="T53" s="369"/>
      <c r="U53" s="369"/>
    </row>
    <row r="54" spans="1:21" s="353" customFormat="1" ht="11.45" customHeight="1">
      <c r="A54" s="218"/>
      <c r="B54" s="498"/>
      <c r="C54" s="218"/>
      <c r="D54" s="216"/>
      <c r="E54" s="216"/>
      <c r="F54" s="218" t="s">
        <v>2747</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2746</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2748</v>
      </c>
      <c r="C58" s="218"/>
      <c r="D58" s="216"/>
      <c r="E58" s="216"/>
      <c r="F58" s="218"/>
      <c r="G58" s="218"/>
      <c r="I58" s="216"/>
      <c r="J58" s="218" t="s">
        <v>2749</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79">
        <v>3000</v>
      </c>
      <c r="R59" s="1180"/>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78">
        <v>0.02</v>
      </c>
      <c r="R64" s="1178"/>
    </row>
    <row r="65" spans="1:26" s="369" customFormat="1" ht="11.45" customHeight="1">
      <c r="A65" s="218"/>
      <c r="B65" s="218" t="s">
        <v>2462</v>
      </c>
      <c r="C65" s="218"/>
      <c r="D65" s="218"/>
      <c r="E65" s="218"/>
      <c r="F65" s="218"/>
      <c r="G65" s="218"/>
      <c r="H65" s="218"/>
      <c r="J65" s="218" t="s">
        <v>2461</v>
      </c>
      <c r="K65" s="218"/>
      <c r="L65" s="218"/>
      <c r="M65" s="218"/>
      <c r="N65" s="218"/>
      <c r="O65" s="218"/>
      <c r="Q65" s="1178">
        <v>7.0000000000000007E-2</v>
      </c>
      <c r="R65" s="1178"/>
    </row>
    <row r="66" spans="1:26" s="369" customFormat="1" ht="11.45" customHeight="1">
      <c r="A66" s="218"/>
      <c r="B66" s="218" t="s">
        <v>2463</v>
      </c>
      <c r="C66" s="218"/>
      <c r="D66" s="218"/>
      <c r="E66" s="218"/>
      <c r="F66" s="218"/>
      <c r="G66" s="218"/>
      <c r="H66" s="218"/>
      <c r="J66" s="218" t="s">
        <v>2461</v>
      </c>
      <c r="K66" s="218"/>
      <c r="L66" s="218"/>
      <c r="M66" s="218"/>
      <c r="N66" s="218"/>
      <c r="O66" s="218"/>
      <c r="Q66" s="1178">
        <v>7.0000000000000007E-2</v>
      </c>
      <c r="R66" s="1178"/>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78">
        <v>0.03</v>
      </c>
      <c r="R67" s="1178"/>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78">
        <v>0.03</v>
      </c>
      <c r="R68" s="1178"/>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78">
        <v>0</v>
      </c>
      <c r="R69" s="1178"/>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3533</v>
      </c>
      <c r="B71" s="218"/>
      <c r="C71" s="218"/>
      <c r="D71" s="216"/>
      <c r="E71" s="216"/>
      <c r="F71" s="218" t="s">
        <v>3398</v>
      </c>
      <c r="G71" s="218"/>
      <c r="H71" s="216"/>
      <c r="I71" s="216"/>
      <c r="J71" s="218" t="s">
        <v>3535</v>
      </c>
      <c r="K71" s="218"/>
      <c r="L71" s="218"/>
      <c r="M71" s="218"/>
      <c r="N71" s="218"/>
      <c r="O71" s="218"/>
      <c r="P71" s="216"/>
      <c r="Q71" s="1178">
        <v>0.1</v>
      </c>
      <c r="R71" s="1178"/>
      <c r="S71" s="216"/>
      <c r="T71" s="216"/>
      <c r="U71" s="216"/>
      <c r="V71" s="360"/>
      <c r="W71" s="360"/>
      <c r="X71" s="219"/>
    </row>
    <row r="72" spans="1:26" s="353" customFormat="1" ht="11.45" customHeight="1">
      <c r="A72" s="358"/>
      <c r="B72" s="218"/>
      <c r="C72" s="218"/>
      <c r="D72" s="216"/>
      <c r="E72" s="216"/>
      <c r="F72" s="218" t="s">
        <v>3397</v>
      </c>
      <c r="G72" s="218"/>
      <c r="H72" s="216"/>
      <c r="I72" s="216"/>
      <c r="J72" s="218" t="s">
        <v>3535</v>
      </c>
      <c r="K72" s="218"/>
      <c r="L72" s="218"/>
      <c r="M72" s="218"/>
      <c r="N72" s="218"/>
      <c r="O72" s="218"/>
      <c r="P72" s="216"/>
      <c r="Q72" s="1178">
        <v>0.3</v>
      </c>
      <c r="R72" s="1178"/>
      <c r="S72" s="216"/>
      <c r="T72" s="216"/>
      <c r="U72" s="216"/>
      <c r="V72" s="360"/>
      <c r="W72" s="360"/>
      <c r="X72" s="219"/>
    </row>
    <row r="73" spans="1:26" s="353" customFormat="1" ht="11.45" customHeight="1">
      <c r="A73" s="218"/>
      <c r="B73" s="218"/>
      <c r="C73" s="218"/>
      <c r="D73" s="216"/>
      <c r="E73" s="216"/>
      <c r="F73" s="218" t="s">
        <v>565</v>
      </c>
      <c r="G73" s="218"/>
      <c r="H73" s="216"/>
      <c r="I73" s="216"/>
      <c r="J73" s="218" t="s">
        <v>3535</v>
      </c>
      <c r="K73" s="218"/>
      <c r="L73" s="218"/>
      <c r="M73" s="218"/>
      <c r="N73" s="218"/>
      <c r="O73" s="218"/>
      <c r="P73" s="216"/>
      <c r="Q73" s="1178">
        <v>0.25</v>
      </c>
      <c r="R73" s="1178"/>
      <c r="S73" s="361"/>
      <c r="T73" s="361"/>
      <c r="U73" s="216"/>
      <c r="V73" s="362"/>
      <c r="W73" s="362"/>
      <c r="X73" s="362"/>
    </row>
    <row r="74" spans="1:26" s="353" customFormat="1" ht="11.45" customHeight="1">
      <c r="A74" s="218"/>
      <c r="B74" s="218"/>
      <c r="C74" s="218"/>
      <c r="D74" s="216"/>
      <c r="E74" s="216"/>
      <c r="F74" s="218" t="s">
        <v>3534</v>
      </c>
      <c r="G74" s="218"/>
      <c r="H74" s="216"/>
      <c r="I74" s="216"/>
      <c r="J74" s="218" t="s">
        <v>3536</v>
      </c>
      <c r="K74" s="218"/>
      <c r="L74" s="218"/>
      <c r="M74" s="218"/>
      <c r="N74" s="218"/>
      <c r="O74" s="218"/>
      <c r="P74" s="216"/>
      <c r="Q74" s="1178">
        <v>0.15</v>
      </c>
      <c r="R74" s="1178"/>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2757</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2618</v>
      </c>
      <c r="D174" s="612">
        <v>48200</v>
      </c>
      <c r="E174" s="369"/>
      <c r="F174" s="369"/>
    </row>
    <row r="175" spans="3:6" ht="10.5" customHeight="1">
      <c r="C175" s="492" t="s">
        <v>2620</v>
      </c>
      <c r="D175" s="612">
        <v>47000</v>
      </c>
      <c r="E175" s="369"/>
      <c r="F175" s="369"/>
    </row>
    <row r="176" spans="3:6" ht="10.5" customHeight="1">
      <c r="C176" s="492" t="s">
        <v>2622</v>
      </c>
      <c r="D176" s="612">
        <v>51000</v>
      </c>
      <c r="E176" s="369"/>
      <c r="F176" s="369"/>
    </row>
    <row r="177" spans="3:6" ht="10.5" customHeight="1">
      <c r="C177" s="492" t="s">
        <v>2624</v>
      </c>
      <c r="D177" s="612">
        <v>51100</v>
      </c>
      <c r="E177" s="369"/>
      <c r="F177" s="369"/>
    </row>
    <row r="178" spans="3:6" ht="10.5" customHeight="1">
      <c r="C178" s="493" t="s">
        <v>2626</v>
      </c>
      <c r="D178" s="612">
        <v>50200</v>
      </c>
      <c r="E178" s="369"/>
      <c r="F178" s="369"/>
    </row>
    <row r="179" spans="3:6" ht="10.5" customHeight="1">
      <c r="C179" s="492" t="s">
        <v>2628</v>
      </c>
      <c r="D179" s="612">
        <v>43000</v>
      </c>
      <c r="E179" s="369"/>
      <c r="F179" s="369"/>
    </row>
    <row r="180" spans="3:6" ht="10.5" customHeight="1">
      <c r="C180" s="492" t="s">
        <v>2631</v>
      </c>
      <c r="D180" s="612">
        <v>54000</v>
      </c>
      <c r="E180" s="369"/>
      <c r="F180" s="369"/>
    </row>
    <row r="181" spans="3:6" ht="10.5" customHeight="1">
      <c r="C181" s="493" t="s">
        <v>2719</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98" t="s">
        <v>1379</v>
      </c>
    </row>
    <row r="2" spans="1:6" ht="16.5">
      <c r="A2" s="1299" t="str">
        <f>'Part I-Project Information'!F23</f>
        <v>BTW-Chapman Phase I</v>
      </c>
    </row>
    <row r="3" spans="1:6" ht="16.5">
      <c r="A3" s="1299" t="str">
        <f>CONCATENATE('Part I-Project Information'!F26,", ", 'Part I-Project Information'!J27," County")</f>
        <v>Columbus, Muscogee County</v>
      </c>
    </row>
    <row r="4" spans="1:6" ht="12" customHeight="1"/>
    <row r="5" spans="1:6" ht="111" customHeight="1">
      <c r="A5" s="1300" t="s">
        <v>4168</v>
      </c>
      <c r="B5" s="826" t="s">
        <v>3595</v>
      </c>
      <c r="C5" s="826"/>
      <c r="D5" s="826"/>
      <c r="E5" s="826"/>
      <c r="F5" s="826"/>
    </row>
    <row r="6" spans="1:6" ht="6.6" customHeight="1">
      <c r="A6" s="1300"/>
      <c r="B6" s="826"/>
      <c r="C6" s="826"/>
      <c r="D6" s="826"/>
      <c r="E6" s="826"/>
      <c r="F6" s="826"/>
    </row>
    <row r="7" spans="1:6" ht="93" customHeight="1">
      <c r="A7" s="1300"/>
    </row>
    <row r="8" spans="1:6" ht="6.6" customHeight="1">
      <c r="A8" s="1300"/>
    </row>
    <row r="9" spans="1:6" ht="93" customHeight="1">
      <c r="A9" s="1300"/>
    </row>
    <row r="10" spans="1:6" ht="6.6" customHeight="1">
      <c r="A10" s="1300"/>
    </row>
    <row r="11" spans="1:6" ht="93" customHeight="1">
      <c r="A11" s="1300"/>
    </row>
    <row r="12" spans="1:6" ht="6.6" customHeight="1">
      <c r="A12" s="1300"/>
    </row>
    <row r="13" spans="1:6" ht="93" customHeight="1">
      <c r="A13" s="1300"/>
    </row>
    <row r="14" spans="1:6" ht="6.6" customHeight="1">
      <c r="A14" s="1300"/>
    </row>
    <row r="15" spans="1:6" ht="93" customHeight="1">
      <c r="A15" s="1300"/>
    </row>
    <row r="16" spans="1:6" ht="6.6" customHeight="1">
      <c r="A16" s="1300"/>
    </row>
    <row r="17" spans="1:1" ht="93" customHeight="1">
      <c r="A17" s="1300"/>
    </row>
    <row r="18" spans="1:1" ht="6.6" customHeight="1">
      <c r="A18" s="1300"/>
    </row>
    <row r="19" spans="1:1" ht="93" customHeight="1">
      <c r="A19" s="1300"/>
    </row>
    <row r="20" spans="1:1" ht="6.6" customHeight="1">
      <c r="A20" s="1300"/>
    </row>
    <row r="21" spans="1:1" ht="93" customHeight="1">
      <c r="A21" s="1300"/>
    </row>
    <row r="22" spans="1:1" ht="6.6" customHeight="1">
      <c r="A22" s="1300"/>
    </row>
    <row r="23" spans="1:1" ht="93" customHeight="1">
      <c r="A23" s="1300"/>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38" t="str">
        <f>CONCATENATE("PART ONE - PROJECT INFORMATION"," - ",$O$4," ",$F$23,", ",'Part I-Project Information'!F26,", ",'Part I-Project Information'!J27," County")</f>
        <v>PART ONE - PROJECT INFORMATION - 2013-019 BTW-Chapman Phase I, Columbus, Muscogee County</v>
      </c>
      <c r="B1" s="839"/>
      <c r="C1" s="839"/>
      <c r="D1" s="839"/>
      <c r="E1" s="839"/>
      <c r="F1" s="839"/>
      <c r="G1" s="839"/>
      <c r="H1" s="839"/>
      <c r="I1" s="839"/>
      <c r="J1" s="839"/>
      <c r="K1" s="839"/>
      <c r="L1" s="839"/>
      <c r="M1" s="839"/>
      <c r="N1" s="839"/>
      <c r="O1" s="839"/>
      <c r="P1" s="84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835" t="s">
        <v>3549</v>
      </c>
      <c r="P3" s="835"/>
    </row>
    <row r="4" spans="1:16" s="386" customFormat="1" ht="12" customHeight="1" thickBot="1">
      <c r="A4" s="687"/>
      <c r="B4" s="389"/>
      <c r="C4" s="389"/>
      <c r="F4" s="390"/>
      <c r="G4" s="352" t="s">
        <v>569</v>
      </c>
      <c r="H4" s="802"/>
      <c r="I4" s="802"/>
      <c r="J4" s="802"/>
      <c r="O4" s="1301" t="s">
        <v>4170</v>
      </c>
      <c r="P4" s="1302"/>
    </row>
    <row r="5" spans="1:16" s="386" customFormat="1" ht="9" customHeight="1">
      <c r="A5" s="687"/>
      <c r="B5" s="389"/>
      <c r="C5" s="389"/>
      <c r="D5" s="389"/>
      <c r="E5" s="802"/>
      <c r="H5" s="802"/>
      <c r="I5" s="802"/>
      <c r="J5" s="802"/>
      <c r="K5" s="350"/>
      <c r="M5" s="802"/>
    </row>
    <row r="6" spans="1:16" s="386" customFormat="1" ht="13.15" customHeight="1">
      <c r="A6" s="389" t="s">
        <v>796</v>
      </c>
      <c r="C6" s="389" t="s">
        <v>3132</v>
      </c>
      <c r="D6" s="353"/>
      <c r="E6" s="391"/>
      <c r="F6" s="392" t="s">
        <v>2407</v>
      </c>
      <c r="J6" s="843">
        <f>'Part IV-Uses of Funds'!J172</f>
        <v>770164.99999999988</v>
      </c>
      <c r="K6" s="844"/>
      <c r="M6" s="802"/>
    </row>
    <row r="7" spans="1:16" s="1" customFormat="1" ht="13.15" customHeight="1">
      <c r="A7" s="5"/>
      <c r="C7" s="5"/>
      <c r="D7" s="31"/>
      <c r="E7" s="481"/>
      <c r="F7" s="386" t="s">
        <v>1717</v>
      </c>
      <c r="J7" s="845">
        <f>'Part III-Sources of Funds'!J5</f>
        <v>0</v>
      </c>
      <c r="K7" s="846"/>
      <c r="L7" s="386"/>
      <c r="M7" s="802"/>
      <c r="N7" s="386"/>
      <c r="O7" s="386"/>
      <c r="P7" s="386"/>
    </row>
    <row r="8" spans="1:16" s="386" customFormat="1" ht="6" customHeight="1">
      <c r="A8" s="389"/>
      <c r="C8" s="389"/>
      <c r="D8" s="353"/>
      <c r="E8" s="391"/>
      <c r="F8" s="391"/>
      <c r="I8" s="393"/>
      <c r="N8" s="394"/>
    </row>
    <row r="9" spans="1:16" s="386" customFormat="1" ht="13.15" customHeight="1">
      <c r="A9" s="393" t="s">
        <v>1045</v>
      </c>
      <c r="C9" s="389" t="s">
        <v>2755</v>
      </c>
      <c r="F9" s="1303" t="s">
        <v>4066</v>
      </c>
      <c r="G9" s="1304"/>
      <c r="H9" s="1305"/>
      <c r="I9" s="426"/>
      <c r="J9" s="783" t="s">
        <v>3966</v>
      </c>
      <c r="K9" s="398"/>
      <c r="L9" s="802"/>
      <c r="O9" s="1306" t="s">
        <v>4088</v>
      </c>
      <c r="P9" s="1307"/>
    </row>
    <row r="10" spans="1:16" s="386" customFormat="1" ht="12.75" customHeight="1">
      <c r="A10" s="687"/>
      <c r="B10" s="389"/>
      <c r="H10" s="802"/>
      <c r="J10" s="784" t="s">
        <v>3732</v>
      </c>
      <c r="K10" s="350"/>
      <c r="M10" s="802"/>
      <c r="O10" s="1308" t="s">
        <v>4087</v>
      </c>
      <c r="P10" s="1309"/>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310" t="s">
        <v>4067</v>
      </c>
      <c r="G14" s="1311"/>
      <c r="H14" s="1311"/>
      <c r="I14" s="1311"/>
      <c r="J14" s="1311"/>
      <c r="K14" s="1311"/>
      <c r="L14" s="1312"/>
      <c r="M14" s="788" t="s">
        <v>2692</v>
      </c>
      <c r="N14" s="1310" t="s">
        <v>4068</v>
      </c>
      <c r="O14" s="1311"/>
      <c r="P14" s="1312"/>
    </row>
    <row r="15" spans="1:16" s="386" customFormat="1" ht="13.15" customHeight="1">
      <c r="C15" s="392" t="s">
        <v>2693</v>
      </c>
      <c r="F15" s="1310" t="s">
        <v>4069</v>
      </c>
      <c r="G15" s="1311"/>
      <c r="H15" s="1311"/>
      <c r="I15" s="1311"/>
      <c r="J15" s="1311"/>
      <c r="K15" s="1311"/>
      <c r="L15" s="1312"/>
      <c r="M15" s="788" t="s">
        <v>2413</v>
      </c>
      <c r="O15" s="1313">
        <v>9042410700</v>
      </c>
      <c r="P15" s="1314"/>
    </row>
    <row r="16" spans="1:16" s="386" customFormat="1" ht="13.15" customHeight="1">
      <c r="C16" s="392" t="s">
        <v>798</v>
      </c>
      <c r="F16" s="1315" t="s">
        <v>1626</v>
      </c>
      <c r="G16" s="1316"/>
      <c r="H16" s="1317"/>
      <c r="M16" s="788" t="s">
        <v>2498</v>
      </c>
      <c r="O16" s="1318">
        <v>4045069703</v>
      </c>
      <c r="P16" s="1319"/>
    </row>
    <row r="17" spans="1:16" s="386" customFormat="1" ht="13.15" customHeight="1">
      <c r="C17" s="392" t="s">
        <v>2495</v>
      </c>
      <c r="F17" s="1320" t="s">
        <v>1242</v>
      </c>
      <c r="I17" s="802" t="s">
        <v>2954</v>
      </c>
      <c r="J17" s="1321">
        <v>303092496</v>
      </c>
      <c r="K17" s="1322"/>
      <c r="M17" s="788" t="s">
        <v>2691</v>
      </c>
      <c r="O17" s="1318"/>
      <c r="P17" s="1319"/>
    </row>
    <row r="18" spans="1:16" s="386" customFormat="1" ht="13.15" customHeight="1">
      <c r="B18" s="796"/>
      <c r="C18" s="392" t="s">
        <v>2412</v>
      </c>
      <c r="F18" s="1318"/>
      <c r="G18" s="1323"/>
      <c r="H18" s="1319"/>
      <c r="I18" s="791" t="s">
        <v>2411</v>
      </c>
      <c r="J18" s="1324"/>
      <c r="K18" s="802" t="s">
        <v>2696</v>
      </c>
      <c r="L18" s="1310" t="s">
        <v>4070</v>
      </c>
      <c r="M18" s="1311"/>
      <c r="N18" s="1311"/>
      <c r="O18" s="1311"/>
      <c r="P18" s="1312"/>
    </row>
    <row r="19" spans="1:16" s="386" customFormat="1" ht="13.15" customHeight="1">
      <c r="A19" s="389"/>
      <c r="B19" s="391"/>
      <c r="C19" s="377" t="s">
        <v>839</v>
      </c>
      <c r="D19" s="391"/>
      <c r="G19" s="391"/>
      <c r="H19" s="391"/>
      <c r="I19" s="395"/>
    </row>
    <row r="20" spans="1:16" s="386" customFormat="1" ht="6" customHeight="1">
      <c r="A20" s="687"/>
      <c r="B20" s="687"/>
      <c r="C20" s="396"/>
      <c r="D20" s="796"/>
      <c r="E20" s="796"/>
      <c r="F20" s="796"/>
      <c r="H20" s="802"/>
      <c r="I20" s="796"/>
      <c r="J20" s="396"/>
      <c r="K20" s="79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25" t="s">
        <v>4071</v>
      </c>
      <c r="G23" s="1326"/>
      <c r="H23" s="1326"/>
      <c r="I23" s="1326"/>
      <c r="J23" s="1326"/>
      <c r="K23" s="1326"/>
      <c r="L23" s="1327"/>
      <c r="M23" s="788" t="s">
        <v>2911</v>
      </c>
      <c r="O23" s="1310" t="s">
        <v>4072</v>
      </c>
      <c r="P23" s="1312"/>
    </row>
    <row r="24" spans="1:16" s="386" customFormat="1" ht="13.15" customHeight="1">
      <c r="A24" s="399"/>
      <c r="B24" s="389"/>
      <c r="C24" s="386" t="s">
        <v>3602</v>
      </c>
      <c r="D24" s="400"/>
      <c r="F24" s="1310" t="s">
        <v>4077</v>
      </c>
      <c r="G24" s="1311"/>
      <c r="H24" s="1311"/>
      <c r="I24" s="1311"/>
      <c r="J24" s="1311"/>
      <c r="K24" s="1311"/>
      <c r="L24" s="1312"/>
      <c r="M24" s="788" t="s">
        <v>2766</v>
      </c>
      <c r="O24" s="1310" t="s">
        <v>4065</v>
      </c>
      <c r="P24" s="1312"/>
    </row>
    <row r="25" spans="1:16" s="386" customFormat="1" ht="13.15" customHeight="1">
      <c r="A25" s="399"/>
      <c r="B25" s="389"/>
      <c r="C25" s="386" t="s">
        <v>3746</v>
      </c>
      <c r="D25" s="400"/>
      <c r="F25" s="1310"/>
      <c r="G25" s="1311"/>
      <c r="H25" s="1311"/>
      <c r="I25" s="1311"/>
      <c r="J25" s="1311"/>
      <c r="K25" s="1311"/>
      <c r="L25" s="1312"/>
      <c r="M25" s="788" t="s">
        <v>3747</v>
      </c>
      <c r="O25" s="1328"/>
      <c r="P25" s="1329"/>
    </row>
    <row r="26" spans="1:16" s="386" customFormat="1" ht="13.15" customHeight="1">
      <c r="A26" s="687"/>
      <c r="B26" s="389"/>
      <c r="C26" s="386" t="s">
        <v>798</v>
      </c>
      <c r="F26" s="1310" t="s">
        <v>177</v>
      </c>
      <c r="G26" s="1311"/>
      <c r="H26" s="1312"/>
      <c r="I26" s="404" t="s">
        <v>3603</v>
      </c>
      <c r="J26" s="1321">
        <v>319032835</v>
      </c>
      <c r="K26" s="1322"/>
      <c r="L26" s="472" t="str">
        <f>IF(AND(NOT(F23=""),NOT(F26="Select from list"),J26=""),"Enter Zip!","")</f>
        <v/>
      </c>
      <c r="M26" s="788" t="s">
        <v>3011</v>
      </c>
      <c r="O26" s="1330">
        <v>8.7100000000000009</v>
      </c>
      <c r="P26" s="1331"/>
    </row>
    <row r="27" spans="1:16" s="386" customFormat="1" ht="13.15" customHeight="1">
      <c r="A27" s="687"/>
      <c r="B27" s="389"/>
      <c r="C27" s="834" t="s">
        <v>2765</v>
      </c>
      <c r="D27" s="834"/>
      <c r="F27" s="1332" t="s">
        <v>4064</v>
      </c>
      <c r="I27" s="401" t="s">
        <v>799</v>
      </c>
      <c r="J27" s="1333" t="str">
        <f>IF($F$26="","",VLOOKUP($F$26,$N$177:$O$780,2,FALSE))</f>
        <v>Muscogee</v>
      </c>
      <c r="K27" s="1334"/>
      <c r="M27" s="402" t="s">
        <v>3023</v>
      </c>
      <c r="O27" s="1310">
        <v>33.020000000000003</v>
      </c>
      <c r="P27" s="1335"/>
    </row>
    <row r="28" spans="1:16" s="386" customFormat="1" ht="13.15" customHeight="1">
      <c r="A28" s="687"/>
      <c r="B28" s="389"/>
      <c r="C28" s="386" t="s">
        <v>2018</v>
      </c>
      <c r="F28" s="1336" t="s">
        <v>4065</v>
      </c>
      <c r="H28" s="394" t="s">
        <v>3411</v>
      </c>
      <c r="I28" s="565" t="str">
        <f>VLOOKUP($J$27,$C$177:$F$336,4)</f>
        <v>MSA</v>
      </c>
      <c r="J28" s="1337" t="str">
        <f>IF($F$26="","",VLOOKUP($J$27,$C$177:$H$336,3,FALSE))</f>
        <v>Columbus</v>
      </c>
      <c r="K28" s="1338"/>
      <c r="L28" s="1339"/>
      <c r="M28" s="788" t="s">
        <v>578</v>
      </c>
      <c r="N28" s="1340" t="s">
        <v>4064</v>
      </c>
      <c r="O28" s="394" t="s">
        <v>579</v>
      </c>
      <c r="P28" s="1340"/>
    </row>
    <row r="29" spans="1:16" s="386" customFormat="1" ht="3" customHeight="1">
      <c r="A29" s="687"/>
      <c r="B29" s="389"/>
      <c r="C29" s="389"/>
      <c r="I29" s="392"/>
      <c r="J29" s="796"/>
      <c r="L29" s="806"/>
      <c r="M29" s="806"/>
      <c r="N29" s="806"/>
      <c r="O29" s="806"/>
      <c r="P29" s="806"/>
    </row>
    <row r="30" spans="1:16" s="386" customFormat="1" ht="13.15" customHeight="1">
      <c r="A30" s="687"/>
      <c r="B30" s="389"/>
      <c r="C30" s="434" t="s">
        <v>3764</v>
      </c>
      <c r="F30" s="842" t="s">
        <v>3957</v>
      </c>
      <c r="G30" s="842"/>
      <c r="H30" s="841" t="s">
        <v>1041</v>
      </c>
      <c r="I30" s="841"/>
      <c r="J30" s="841" t="s">
        <v>1042</v>
      </c>
      <c r="K30" s="841"/>
      <c r="L30" s="774" t="s">
        <v>3604</v>
      </c>
    </row>
    <row r="31" spans="1:16" s="386" customFormat="1" ht="13.15" customHeight="1">
      <c r="A31" s="687"/>
      <c r="B31" s="389"/>
      <c r="C31" s="386" t="s">
        <v>3956</v>
      </c>
      <c r="D31" s="389"/>
      <c r="F31" s="1341">
        <v>2</v>
      </c>
      <c r="G31" s="1342"/>
      <c r="H31" s="1341">
        <v>15</v>
      </c>
      <c r="I31" s="1342"/>
      <c r="J31" s="1341">
        <v>136</v>
      </c>
      <c r="K31" s="1342"/>
      <c r="L31" s="770" t="s">
        <v>1709</v>
      </c>
      <c r="N31" s="852" t="s">
        <v>1710</v>
      </c>
      <c r="O31" s="852"/>
      <c r="P31" s="852"/>
    </row>
    <row r="32" spans="1:16" s="386" customFormat="1" ht="12.75" customHeight="1">
      <c r="A32" s="687"/>
      <c r="B32" s="389"/>
      <c r="C32" s="392" t="s">
        <v>1043</v>
      </c>
      <c r="F32" s="1341"/>
      <c r="G32" s="1342"/>
      <c r="H32" s="1341"/>
      <c r="I32" s="1342"/>
      <c r="J32" s="1341"/>
      <c r="K32" s="1342"/>
      <c r="L32" s="770" t="s">
        <v>3955</v>
      </c>
      <c r="N32" s="853" t="s">
        <v>3953</v>
      </c>
      <c r="O32" s="853"/>
    </row>
    <row r="33" spans="1:19" s="386" customFormat="1" ht="3" customHeight="1">
      <c r="A33" s="687"/>
      <c r="B33" s="389"/>
      <c r="I33" s="806"/>
      <c r="J33" s="806"/>
      <c r="K33" s="806"/>
      <c r="L33" s="796"/>
      <c r="M33" s="796"/>
      <c r="N33" s="796"/>
      <c r="O33" s="796"/>
      <c r="P33" s="796"/>
    </row>
    <row r="34" spans="1:19" s="386" customFormat="1" ht="13.15" customHeight="1">
      <c r="A34" s="687"/>
      <c r="B34" s="687"/>
      <c r="C34" s="389" t="s">
        <v>817</v>
      </c>
      <c r="F34" s="1343" t="s">
        <v>4078</v>
      </c>
      <c r="G34" s="1344"/>
      <c r="H34" s="1344"/>
      <c r="I34" s="1344"/>
      <c r="J34" s="1345"/>
      <c r="K34" s="1346"/>
      <c r="M34" s="749" t="s">
        <v>3620</v>
      </c>
      <c r="N34" s="1347" t="s">
        <v>4079</v>
      </c>
      <c r="O34" s="1348"/>
      <c r="P34" s="1349"/>
    </row>
    <row r="35" spans="1:19" s="386" customFormat="1" ht="13.15" customHeight="1">
      <c r="A35" s="687"/>
      <c r="B35" s="687"/>
      <c r="C35" s="386" t="s">
        <v>818</v>
      </c>
      <c r="F35" s="1350" t="s">
        <v>4080</v>
      </c>
      <c r="G35" s="1351"/>
      <c r="H35" s="1352"/>
      <c r="I35" s="792" t="s">
        <v>2692</v>
      </c>
      <c r="J35" s="1347" t="s">
        <v>4081</v>
      </c>
      <c r="K35" s="1348"/>
      <c r="L35" s="1349"/>
      <c r="M35" s="392" t="s">
        <v>2496</v>
      </c>
      <c r="N35" s="1350" t="s">
        <v>4082</v>
      </c>
      <c r="O35" s="1351"/>
      <c r="P35" s="1352"/>
    </row>
    <row r="36" spans="1:19" s="386" customFormat="1" ht="13.15" customHeight="1">
      <c r="A36" s="687"/>
      <c r="B36" s="687"/>
      <c r="C36" s="386" t="s">
        <v>2693</v>
      </c>
      <c r="F36" s="1350" t="s">
        <v>4083</v>
      </c>
      <c r="G36" s="1351"/>
      <c r="H36" s="1351"/>
      <c r="I36" s="1351"/>
      <c r="J36" s="1353"/>
      <c r="K36" s="1354"/>
      <c r="M36" s="424" t="s">
        <v>798</v>
      </c>
      <c r="N36" s="1347" t="s">
        <v>177</v>
      </c>
      <c r="O36" s="1348"/>
      <c r="P36" s="1349"/>
    </row>
    <row r="37" spans="1:19" s="386" customFormat="1" ht="13.15" customHeight="1">
      <c r="A37" s="687"/>
      <c r="B37" s="687"/>
      <c r="C37" s="788" t="s">
        <v>2954</v>
      </c>
      <c r="F37" s="1355">
        <v>319012736</v>
      </c>
      <c r="G37" s="1356"/>
      <c r="H37" s="791" t="s">
        <v>2694</v>
      </c>
      <c r="I37" s="1357">
        <v>7066534712</v>
      </c>
      <c r="J37" s="1358"/>
      <c r="K37" s="1359"/>
      <c r="M37" s="392" t="s">
        <v>2498</v>
      </c>
      <c r="N37" s="1360">
        <v>7066534970</v>
      </c>
      <c r="O37" s="1361"/>
    </row>
    <row r="38" spans="1:19" s="386" customFormat="1" ht="6" customHeight="1">
      <c r="A38" s="687"/>
      <c r="B38" s="687"/>
      <c r="C38" s="403"/>
      <c r="D38" s="404"/>
      <c r="E38" s="404"/>
      <c r="F38" s="802"/>
      <c r="G38" s="802"/>
      <c r="H38" s="802"/>
      <c r="I38" s="802"/>
      <c r="J38" s="404"/>
      <c r="K38" s="802"/>
      <c r="L38" s="802"/>
      <c r="N38" s="796"/>
      <c r="O38" s="796"/>
      <c r="P38" s="397"/>
    </row>
    <row r="39" spans="1:19" s="386" customFormat="1" ht="12" customHeight="1">
      <c r="A39" s="393" t="s">
        <v>2490</v>
      </c>
      <c r="C39" s="389" t="s">
        <v>1923</v>
      </c>
      <c r="F39" s="405"/>
      <c r="I39" s="392"/>
      <c r="K39" s="796"/>
      <c r="L39" s="796"/>
      <c r="M39" s="796"/>
      <c r="N39" s="796"/>
      <c r="O39" s="796"/>
      <c r="P39" s="796"/>
    </row>
    <row r="40" spans="1:19" s="386" customFormat="1" ht="3" customHeight="1">
      <c r="A40" s="687"/>
      <c r="B40" s="389"/>
      <c r="C40" s="389"/>
      <c r="I40" s="392"/>
      <c r="J40" s="514"/>
      <c r="K40" s="796"/>
      <c r="L40" s="796"/>
      <c r="M40" s="796"/>
      <c r="N40" s="796"/>
      <c r="O40" s="796"/>
      <c r="P40" s="796"/>
      <c r="Q40" s="796"/>
    </row>
    <row r="41" spans="1:19" s="386" customFormat="1" ht="12.75">
      <c r="A41" s="687"/>
      <c r="B41" s="687" t="s">
        <v>2695</v>
      </c>
      <c r="C41" s="389" t="s">
        <v>3025</v>
      </c>
      <c r="F41" s="1324" t="s">
        <v>4065</v>
      </c>
      <c r="K41" s="796"/>
      <c r="L41" s="796"/>
      <c r="M41" s="773"/>
      <c r="N41" s="773"/>
      <c r="O41" s="773"/>
      <c r="P41" s="771"/>
      <c r="Q41" s="796"/>
    </row>
    <row r="42" spans="1:19" s="386" customFormat="1" ht="3" customHeight="1">
      <c r="A42" s="687"/>
      <c r="J42" s="770"/>
      <c r="K42" s="772"/>
      <c r="L42" s="771"/>
      <c r="M42" s="772"/>
      <c r="N42" s="772"/>
      <c r="O42" s="772"/>
      <c r="P42" s="772"/>
      <c r="Q42" s="796"/>
    </row>
    <row r="43" spans="1:19" s="386" customFormat="1" ht="13.15" customHeight="1">
      <c r="A43" s="687"/>
      <c r="B43" s="687" t="s">
        <v>2698</v>
      </c>
      <c r="C43" s="389" t="s">
        <v>909</v>
      </c>
      <c r="K43" s="771"/>
      <c r="L43" s="796"/>
      <c r="M43" s="773"/>
      <c r="N43" s="773"/>
      <c r="O43" s="773"/>
      <c r="P43" s="773"/>
      <c r="Q43" s="802"/>
    </row>
    <row r="44" spans="1:19" ht="13.15" customHeight="1">
      <c r="B44" s="687"/>
      <c r="C44" s="386" t="s">
        <v>3024</v>
      </c>
      <c r="D44" s="386"/>
      <c r="E44" s="386"/>
      <c r="F44" s="407">
        <f>'Part VI-Revenues &amp; Expenses'!$M$74</f>
        <v>100</v>
      </c>
      <c r="H44" s="392" t="s">
        <v>399</v>
      </c>
      <c r="J44" s="386"/>
      <c r="M44" s="407">
        <f>'Part VI-Revenues &amp; Expenses'!$M$81</f>
        <v>0</v>
      </c>
      <c r="Q44" s="80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96"/>
      <c r="F46" s="407">
        <f>'Part VI-Revenues &amp; Expenses'!$M$77</f>
        <v>0</v>
      </c>
      <c r="G46" s="694" t="s">
        <v>3741</v>
      </c>
      <c r="H46" s="386" t="s">
        <v>380</v>
      </c>
      <c r="M46" s="1362"/>
      <c r="Q46" s="802"/>
    </row>
    <row r="47" spans="1:19" s="386" customFormat="1" ht="3.6" customHeight="1">
      <c r="A47" s="687"/>
      <c r="P47" s="796"/>
    </row>
    <row r="48" spans="1:19" s="386" customFormat="1" ht="13.15" customHeight="1">
      <c r="A48" s="687"/>
      <c r="B48" s="399" t="s">
        <v>1054</v>
      </c>
      <c r="C48" s="398" t="s">
        <v>3004</v>
      </c>
      <c r="D48" s="796"/>
      <c r="I48" s="836" t="s">
        <v>1859</v>
      </c>
      <c r="J48" s="399" t="s">
        <v>2831</v>
      </c>
      <c r="K48" s="409" t="s">
        <v>3031</v>
      </c>
      <c r="M48" s="796"/>
      <c r="N48" s="796"/>
      <c r="O48" s="796"/>
      <c r="P48" s="802"/>
      <c r="Q48" s="802"/>
      <c r="R48" s="802"/>
      <c r="S48" s="796"/>
    </row>
    <row r="49" spans="1:16" s="386" customFormat="1" ht="13.15" customHeight="1">
      <c r="A49" s="687"/>
      <c r="B49" s="793"/>
      <c r="C49" s="396" t="s">
        <v>3005</v>
      </c>
      <c r="D49" s="796"/>
      <c r="E49" s="796"/>
      <c r="H49" s="410">
        <f>SUM(H50:H51)</f>
        <v>95</v>
      </c>
      <c r="I49" s="837"/>
      <c r="J49" s="687"/>
      <c r="K49" s="396" t="s">
        <v>3032</v>
      </c>
      <c r="M49" s="796"/>
      <c r="N49" s="796"/>
      <c r="O49" s="796"/>
      <c r="P49" s="410">
        <f>'Part VI-Revenues &amp; Expenses'!$M$96</f>
        <v>73492</v>
      </c>
    </row>
    <row r="50" spans="1:16" s="386" customFormat="1" ht="13.15" customHeight="1">
      <c r="A50" s="687"/>
      <c r="B50" s="406"/>
      <c r="D50" s="411" t="s">
        <v>419</v>
      </c>
      <c r="E50" s="411"/>
      <c r="H50" s="410">
        <f>'Part VI-Revenues &amp; Expenses'!$M$57</f>
        <v>15</v>
      </c>
      <c r="I50" s="410">
        <f>'Part VI-Revenues &amp; Expenses'!$M$65</f>
        <v>0</v>
      </c>
      <c r="K50" s="396" t="s">
        <v>277</v>
      </c>
      <c r="M50" s="796"/>
      <c r="N50" s="796"/>
      <c r="O50" s="796"/>
      <c r="P50" s="410">
        <f>'Part VI-Revenues &amp; Expenses'!$M$97</f>
        <v>3868</v>
      </c>
    </row>
    <row r="51" spans="1:16" s="386" customFormat="1" ht="13.15" customHeight="1">
      <c r="A51" s="687"/>
      <c r="D51" s="411" t="s">
        <v>2521</v>
      </c>
      <c r="E51" s="411"/>
      <c r="H51" s="410">
        <f>'Part VI-Revenues &amp; Expenses'!$M$56</f>
        <v>80</v>
      </c>
      <c r="I51" s="410">
        <f>'Part VI-Revenues &amp; Expenses'!$M$64</f>
        <v>80</v>
      </c>
      <c r="K51" s="396" t="s">
        <v>3033</v>
      </c>
      <c r="M51" s="796"/>
      <c r="N51" s="796"/>
      <c r="O51" s="796"/>
      <c r="P51" s="410">
        <f>+P49+P50</f>
        <v>77360</v>
      </c>
    </row>
    <row r="52" spans="1:16" s="386" customFormat="1" ht="13.15" customHeight="1">
      <c r="A52" s="687"/>
      <c r="C52" s="396" t="s">
        <v>278</v>
      </c>
      <c r="D52" s="796"/>
      <c r="E52" s="796"/>
      <c r="H52" s="410">
        <f>'Part VI-Revenues &amp; Expenses'!$M$59</f>
        <v>5</v>
      </c>
      <c r="J52" s="687"/>
      <c r="K52" s="396" t="s">
        <v>1862</v>
      </c>
      <c r="M52" s="796"/>
      <c r="N52" s="796"/>
      <c r="O52" s="796"/>
      <c r="P52" s="410">
        <f>'Part VI-Revenues &amp; Expenses'!$M$99</f>
        <v>0</v>
      </c>
    </row>
    <row r="53" spans="1:16" s="386" customFormat="1" ht="13.15" customHeight="1">
      <c r="A53" s="687"/>
      <c r="C53" s="396" t="s">
        <v>3172</v>
      </c>
      <c r="D53" s="796"/>
      <c r="E53" s="796"/>
      <c r="H53" s="410">
        <f>+H49+H52</f>
        <v>100</v>
      </c>
      <c r="J53" s="687"/>
      <c r="K53" s="396" t="s">
        <v>1861</v>
      </c>
      <c r="M53" s="796"/>
      <c r="N53" s="796"/>
      <c r="O53" s="796"/>
      <c r="P53" s="410">
        <f>+P51+P52</f>
        <v>77360</v>
      </c>
    </row>
    <row r="54" spans="1:16" s="386" customFormat="1" ht="13.15" customHeight="1">
      <c r="A54" s="687"/>
      <c r="C54" s="396" t="s">
        <v>3173</v>
      </c>
      <c r="D54" s="796"/>
      <c r="E54" s="796"/>
      <c r="H54" s="410">
        <f>'Part VI-Revenues &amp; Expenses'!$M$61</f>
        <v>0</v>
      </c>
      <c r="J54" s="687"/>
    </row>
    <row r="55" spans="1:16" s="386" customFormat="1" ht="13.15" customHeight="1">
      <c r="A55" s="687"/>
      <c r="C55" s="396" t="s">
        <v>2489</v>
      </c>
      <c r="D55" s="796"/>
      <c r="E55" s="796"/>
      <c r="H55" s="410">
        <f>+H53+H54</f>
        <v>100</v>
      </c>
      <c r="J55" s="796"/>
    </row>
    <row r="56" spans="1:16" s="386" customFormat="1" ht="3" customHeight="1">
      <c r="A56" s="687"/>
      <c r="I56" s="802"/>
      <c r="L56" s="802"/>
      <c r="M56" s="802"/>
      <c r="N56" s="796"/>
      <c r="P56" s="397"/>
    </row>
    <row r="57" spans="1:16" s="386" customFormat="1" ht="13.15" customHeight="1">
      <c r="A57" s="687"/>
      <c r="B57" s="687" t="s">
        <v>2428</v>
      </c>
      <c r="C57" s="398" t="s">
        <v>3026</v>
      </c>
      <c r="D57" s="411" t="s">
        <v>2709</v>
      </c>
      <c r="G57" s="796"/>
      <c r="H57" s="1363">
        <v>1</v>
      </c>
      <c r="K57" s="396" t="s">
        <v>1536</v>
      </c>
      <c r="O57" s="796"/>
      <c r="P57" s="1363">
        <v>5000</v>
      </c>
    </row>
    <row r="58" spans="1:16" s="386" customFormat="1" ht="13.15" customHeight="1">
      <c r="A58" s="687"/>
      <c r="B58" s="687"/>
      <c r="D58" s="793" t="s">
        <v>2710</v>
      </c>
      <c r="H58" s="1363"/>
      <c r="I58" s="796"/>
      <c r="K58" s="396" t="s">
        <v>276</v>
      </c>
      <c r="O58" s="796"/>
      <c r="P58" s="410">
        <f>+P53+P57</f>
        <v>82360</v>
      </c>
    </row>
    <row r="59" spans="1:16" s="386" customFormat="1" ht="13.15" customHeight="1">
      <c r="A59" s="687"/>
      <c r="B59" s="687"/>
      <c r="D59" s="793" t="s">
        <v>2711</v>
      </c>
      <c r="H59" s="410">
        <f>+H57+H58</f>
        <v>1</v>
      </c>
      <c r="I59" s="796"/>
    </row>
    <row r="60" spans="1:16" s="386" customFormat="1" ht="3" customHeight="1">
      <c r="A60" s="687"/>
      <c r="B60" s="687"/>
      <c r="C60" s="796"/>
      <c r="D60" s="796"/>
      <c r="E60" s="796"/>
      <c r="F60" s="796"/>
      <c r="G60" s="802"/>
      <c r="I60" s="396"/>
      <c r="J60" s="796"/>
      <c r="P60" s="397"/>
    </row>
    <row r="61" spans="1:16" s="386" customFormat="1" ht="13.15" customHeight="1">
      <c r="A61" s="687"/>
      <c r="B61" s="687" t="s">
        <v>2429</v>
      </c>
      <c r="C61" s="398" t="s">
        <v>910</v>
      </c>
      <c r="D61" s="796"/>
      <c r="E61" s="796"/>
      <c r="F61" s="796"/>
      <c r="G61" s="796"/>
      <c r="H61" s="1363">
        <v>188</v>
      </c>
    </row>
    <row r="62" spans="1:16" s="386" customFormat="1" ht="9" customHeight="1">
      <c r="A62" s="687"/>
      <c r="B62" s="687"/>
      <c r="C62" s="396"/>
      <c r="D62" s="796"/>
      <c r="E62" s="796"/>
      <c r="F62" s="796"/>
      <c r="G62" s="802"/>
      <c r="H62" s="796"/>
      <c r="I62" s="396"/>
      <c r="J62" s="396"/>
      <c r="K62" s="796"/>
      <c r="P62" s="397"/>
    </row>
    <row r="63" spans="1:16" s="386" customFormat="1" ht="13.15" customHeight="1">
      <c r="A63" s="687" t="s">
        <v>697</v>
      </c>
      <c r="C63" s="412" t="s">
        <v>1606</v>
      </c>
      <c r="D63" s="412"/>
      <c r="E63" s="412"/>
      <c r="F63" s="796"/>
      <c r="G63" s="802"/>
      <c r="K63" s="796"/>
      <c r="P63" s="397"/>
    </row>
    <row r="64" spans="1:16" s="386" customFormat="1" ht="3" customHeight="1">
      <c r="A64" s="687"/>
      <c r="C64" s="789"/>
      <c r="D64" s="789"/>
      <c r="E64" s="789"/>
      <c r="F64" s="796"/>
      <c r="G64" s="802"/>
      <c r="K64" s="796"/>
      <c r="P64" s="397"/>
    </row>
    <row r="65" spans="1:16" s="386" customFormat="1" ht="13.15" customHeight="1">
      <c r="A65" s="687"/>
      <c r="B65" s="687" t="s">
        <v>2695</v>
      </c>
      <c r="C65" s="350" t="s">
        <v>3594</v>
      </c>
      <c r="D65" s="789"/>
      <c r="E65" s="789"/>
      <c r="F65" s="796"/>
      <c r="G65" s="802"/>
      <c r="H65" s="1364" t="s">
        <v>4073</v>
      </c>
      <c r="I65" s="1365"/>
      <c r="K65" s="834" t="s">
        <v>2467</v>
      </c>
      <c r="L65" s="834"/>
      <c r="N65" s="1310"/>
      <c r="O65" s="1311"/>
      <c r="P65" s="1312"/>
    </row>
    <row r="66" spans="1:16" s="386" customFormat="1" ht="3" customHeight="1">
      <c r="A66" s="687"/>
      <c r="B66" s="687"/>
      <c r="D66" s="793"/>
      <c r="E66" s="793"/>
      <c r="F66" s="793"/>
      <c r="G66" s="793"/>
      <c r="I66" s="802"/>
      <c r="K66" s="788"/>
      <c r="L66" s="788"/>
      <c r="M66" s="802"/>
      <c r="N66" s="796"/>
      <c r="P66" s="397"/>
    </row>
    <row r="67" spans="1:16" s="386" customFormat="1" ht="13.15" customHeight="1">
      <c r="A67" s="687"/>
      <c r="B67" s="687" t="s">
        <v>2698</v>
      </c>
      <c r="C67" s="398" t="s">
        <v>1851</v>
      </c>
      <c r="D67" s="796"/>
      <c r="E67" s="411"/>
      <c r="F67" s="793" t="s">
        <v>1189</v>
      </c>
      <c r="H67" s="1363">
        <v>5</v>
      </c>
      <c r="K67" s="834" t="s">
        <v>687</v>
      </c>
      <c r="L67" s="834"/>
      <c r="P67" s="414">
        <f>IF('Part VI-Revenues &amp; Expenses'!$M$62=0,0,$H67/'Part VI-Revenues &amp; Expenses'!$M$62)</f>
        <v>0.05</v>
      </c>
    </row>
    <row r="68" spans="1:16" s="386" customFormat="1" ht="3" customHeight="1">
      <c r="A68" s="687"/>
      <c r="B68" s="687"/>
      <c r="D68" s="793"/>
      <c r="E68" s="793"/>
      <c r="F68" s="793"/>
      <c r="I68" s="802"/>
      <c r="K68" s="788"/>
      <c r="L68" s="788"/>
      <c r="M68" s="802"/>
      <c r="P68" s="802"/>
    </row>
    <row r="69" spans="1:16" s="386" customFormat="1" ht="13.15" customHeight="1">
      <c r="A69" s="687"/>
      <c r="B69" s="687" t="s">
        <v>1054</v>
      </c>
      <c r="C69" s="398" t="s">
        <v>2545</v>
      </c>
      <c r="D69" s="411"/>
      <c r="E69" s="411"/>
      <c r="F69" s="793" t="s">
        <v>1189</v>
      </c>
      <c r="H69" s="1363">
        <v>2</v>
      </c>
      <c r="K69" s="834" t="s">
        <v>687</v>
      </c>
      <c r="L69" s="834"/>
      <c r="P69" s="414">
        <f>IF('Part VI-Revenues &amp; Expenses'!$M$62=0,0,$H69/'Part VI-Revenues &amp; Expenses'!$M$62)</f>
        <v>0.02</v>
      </c>
    </row>
    <row r="70" spans="1:16" s="386" customFormat="1" ht="3" customHeight="1">
      <c r="A70" s="687"/>
      <c r="B70" s="687"/>
      <c r="D70" s="793"/>
      <c r="E70" s="793"/>
      <c r="F70" s="793"/>
      <c r="I70" s="802"/>
      <c r="K70" s="788"/>
      <c r="L70" s="788"/>
      <c r="M70" s="802"/>
      <c r="P70" s="802"/>
    </row>
    <row r="71" spans="1:16" s="386" customFormat="1" ht="13.15" customHeight="1">
      <c r="A71" s="687"/>
      <c r="B71" s="687" t="s">
        <v>2831</v>
      </c>
      <c r="C71" s="398" t="s">
        <v>1714</v>
      </c>
      <c r="D71" s="411"/>
      <c r="E71" s="411"/>
      <c r="F71" s="793" t="s">
        <v>1715</v>
      </c>
      <c r="H71" s="1363"/>
      <c r="K71" s="834" t="s">
        <v>687</v>
      </c>
      <c r="L71" s="834"/>
      <c r="P71" s="414">
        <f>IF('Part VI-Revenues &amp; Expenses'!$M$62=0,0,$H71/'Part VI-Revenues &amp; Expenses'!$M$62)</f>
        <v>0</v>
      </c>
    </row>
    <row r="72" spans="1:16" s="386" customFormat="1" ht="9" customHeight="1">
      <c r="A72" s="687"/>
      <c r="B72" s="687"/>
      <c r="D72" s="793"/>
      <c r="E72" s="793"/>
      <c r="F72" s="793"/>
      <c r="G72" s="793"/>
      <c r="I72" s="802"/>
      <c r="J72" s="802"/>
      <c r="K72" s="802"/>
      <c r="L72" s="802"/>
      <c r="M72" s="802"/>
      <c r="N72" s="796"/>
      <c r="P72" s="397"/>
    </row>
    <row r="73" spans="1:16" s="386" customFormat="1" ht="13.15" customHeight="1">
      <c r="A73" s="415" t="s">
        <v>1160</v>
      </c>
      <c r="B73" s="687"/>
      <c r="C73" s="789" t="s">
        <v>3134</v>
      </c>
      <c r="D73" s="793"/>
      <c r="E73" s="793"/>
      <c r="F73" s="793"/>
      <c r="G73" s="793"/>
      <c r="H73" s="793"/>
      <c r="I73" s="802"/>
      <c r="M73" s="802"/>
      <c r="N73" s="796"/>
      <c r="P73" s="397"/>
    </row>
    <row r="74" spans="1:16" s="386" customFormat="1" ht="3" customHeight="1">
      <c r="A74" s="687"/>
      <c r="B74" s="687"/>
      <c r="C74" s="789"/>
      <c r="D74" s="793"/>
      <c r="E74" s="793"/>
      <c r="F74" s="793"/>
      <c r="L74" s="802"/>
      <c r="M74" s="802"/>
      <c r="N74" s="796"/>
      <c r="P74" s="397"/>
    </row>
    <row r="75" spans="1:16" s="386" customFormat="1" ht="13.15" customHeight="1">
      <c r="A75" s="687"/>
      <c r="B75" s="687" t="s">
        <v>2695</v>
      </c>
      <c r="C75" s="350" t="s">
        <v>3133</v>
      </c>
      <c r="D75" s="793"/>
      <c r="E75" s="793"/>
      <c r="F75" s="793"/>
      <c r="H75" s="1366" t="s">
        <v>1264</v>
      </c>
      <c r="I75" s="1367"/>
      <c r="J75" s="1368"/>
      <c r="M75" s="802"/>
      <c r="N75" s="796"/>
      <c r="P75" s="397"/>
    </row>
    <row r="76" spans="1:16" s="386" customFormat="1" ht="3" customHeight="1">
      <c r="A76" s="687"/>
      <c r="B76" s="687"/>
      <c r="D76" s="793"/>
      <c r="E76" s="793"/>
      <c r="F76" s="793"/>
      <c r="G76" s="793"/>
      <c r="I76" s="802"/>
      <c r="J76" s="802"/>
      <c r="K76" s="802"/>
      <c r="L76" s="802"/>
      <c r="M76" s="802"/>
      <c r="N76" s="796"/>
      <c r="P76" s="397"/>
    </row>
    <row r="77" spans="1:16" s="386" customFormat="1" ht="13.15" customHeight="1">
      <c r="B77" s="687" t="s">
        <v>2698</v>
      </c>
      <c r="C77" s="389" t="s">
        <v>1991</v>
      </c>
      <c r="K77" s="392" t="s">
        <v>1263</v>
      </c>
      <c r="N77" s="416"/>
      <c r="P77" s="1324"/>
    </row>
    <row r="78" spans="1:16" s="386" customFormat="1" ht="9" customHeight="1">
      <c r="A78" s="687"/>
      <c r="B78" s="687"/>
      <c r="C78" s="389"/>
      <c r="D78" s="793"/>
      <c r="E78" s="793"/>
      <c r="F78" s="793"/>
      <c r="G78" s="793"/>
      <c r="I78" s="802"/>
      <c r="J78" s="802"/>
      <c r="K78" s="802"/>
      <c r="L78" s="802"/>
      <c r="M78" s="802"/>
      <c r="N78" s="796"/>
      <c r="P78" s="397"/>
    </row>
    <row r="79" spans="1:16" s="386" customFormat="1" ht="13.15" customHeight="1">
      <c r="A79" s="415" t="s">
        <v>322</v>
      </c>
      <c r="B79" s="687"/>
      <c r="C79" s="789" t="s">
        <v>2756</v>
      </c>
      <c r="D79" s="793"/>
    </row>
    <row r="80" spans="1:16" s="386" customFormat="1" ht="3" customHeight="1">
      <c r="A80" s="687"/>
      <c r="B80" s="687"/>
      <c r="D80" s="793"/>
      <c r="N80" s="796"/>
      <c r="P80" s="397"/>
    </row>
    <row r="81" spans="1:16" s="386" customFormat="1" ht="13.15" customHeight="1">
      <c r="A81" s="415"/>
      <c r="B81" s="687" t="s">
        <v>2695</v>
      </c>
      <c r="C81" s="389" t="s">
        <v>3638</v>
      </c>
      <c r="F81" s="411" t="s">
        <v>3398</v>
      </c>
      <c r="H81" s="1324"/>
      <c r="I81" s="394" t="s">
        <v>3397</v>
      </c>
      <c r="J81" s="1324"/>
      <c r="L81" s="394" t="s">
        <v>565</v>
      </c>
      <c r="M81" s="1324" t="s">
        <v>4064</v>
      </c>
    </row>
    <row r="82" spans="1:16" s="386" customFormat="1" ht="3" customHeight="1">
      <c r="A82" s="687"/>
      <c r="B82" s="687"/>
      <c r="C82" s="789"/>
      <c r="F82" s="793"/>
      <c r="H82" s="793"/>
      <c r="J82" s="802"/>
      <c r="K82" s="802"/>
      <c r="L82" s="802"/>
      <c r="M82" s="802"/>
      <c r="N82" s="802"/>
      <c r="P82" s="397"/>
    </row>
    <row r="83" spans="1:16" s="386" customFormat="1" ht="13.15" customHeight="1">
      <c r="A83" s="415"/>
      <c r="B83" s="687" t="s">
        <v>2698</v>
      </c>
      <c r="C83" s="389" t="s">
        <v>3639</v>
      </c>
      <c r="F83" s="788" t="s">
        <v>3534</v>
      </c>
      <c r="H83" s="1324"/>
      <c r="I83" s="672" t="s">
        <v>3640</v>
      </c>
      <c r="J83" s="802"/>
      <c r="K83" s="802"/>
      <c r="L83" s="802"/>
      <c r="M83" s="802"/>
      <c r="N83" s="802"/>
      <c r="O83" s="802"/>
    </row>
    <row r="84" spans="1:16" s="386" customFormat="1" ht="3" customHeight="1">
      <c r="A84" s="687"/>
      <c r="B84" s="687"/>
      <c r="D84" s="793"/>
      <c r="E84" s="793"/>
      <c r="F84" s="793"/>
      <c r="G84" s="793"/>
      <c r="I84" s="802"/>
      <c r="J84" s="802"/>
      <c r="K84" s="802"/>
      <c r="L84" s="802"/>
      <c r="M84" s="802"/>
      <c r="N84" s="796"/>
      <c r="P84" s="397"/>
    </row>
    <row r="85" spans="1:16" s="386" customFormat="1" ht="9" customHeight="1">
      <c r="A85" s="687"/>
      <c r="B85" s="687"/>
      <c r="D85" s="404"/>
      <c r="E85" s="796"/>
      <c r="I85" s="404"/>
      <c r="J85" s="396"/>
      <c r="K85" s="796"/>
      <c r="P85" s="397"/>
    </row>
    <row r="86" spans="1:16" s="386" customFormat="1" ht="13.15" customHeight="1">
      <c r="A86" s="415" t="s">
        <v>463</v>
      </c>
      <c r="B86" s="687"/>
      <c r="C86" s="409" t="s">
        <v>1604</v>
      </c>
      <c r="D86" s="796"/>
      <c r="E86" s="796"/>
      <c r="F86" s="796"/>
      <c r="G86" s="796"/>
      <c r="H86" s="796"/>
      <c r="I86" s="404"/>
      <c r="J86" s="396"/>
      <c r="K86" s="796"/>
      <c r="P86" s="397"/>
    </row>
    <row r="87" spans="1:16" s="386" customFormat="1" ht="3" customHeight="1">
      <c r="A87" s="415"/>
      <c r="B87" s="687"/>
      <c r="C87" s="409"/>
      <c r="D87" s="796"/>
      <c r="E87" s="796"/>
      <c r="F87" s="796"/>
      <c r="G87" s="796"/>
      <c r="H87" s="796"/>
      <c r="I87" s="404"/>
      <c r="J87" s="396"/>
      <c r="K87" s="796"/>
    </row>
    <row r="88" spans="1:16" s="386" customFormat="1" ht="13.15" customHeight="1">
      <c r="A88" s="687"/>
      <c r="B88" s="687"/>
      <c r="C88" s="396" t="s">
        <v>719</v>
      </c>
      <c r="D88" s="796"/>
      <c r="E88" s="1310"/>
      <c r="F88" s="1311"/>
      <c r="G88" s="1311"/>
      <c r="H88" s="1311"/>
      <c r="I88" s="1311"/>
      <c r="J88" s="1311"/>
      <c r="K88" s="1311"/>
      <c r="L88" s="1312"/>
      <c r="M88" s="833" t="s">
        <v>720</v>
      </c>
      <c r="N88" s="833"/>
      <c r="O88" s="1369"/>
      <c r="P88" s="1370"/>
    </row>
    <row r="89" spans="1:16" s="386" customFormat="1" ht="13.15" customHeight="1">
      <c r="C89" s="392" t="s">
        <v>1424</v>
      </c>
      <c r="D89" s="400"/>
      <c r="E89" s="1310"/>
      <c r="F89" s="1311"/>
      <c r="G89" s="1311"/>
      <c r="H89" s="1311"/>
      <c r="I89" s="1311"/>
      <c r="J89" s="1311"/>
      <c r="K89" s="1311"/>
      <c r="L89" s="1312"/>
      <c r="M89" s="833" t="s">
        <v>1201</v>
      </c>
      <c r="N89" s="833"/>
      <c r="O89" s="1325"/>
      <c r="P89" s="1327"/>
    </row>
    <row r="90" spans="1:16" s="386" customFormat="1" ht="13.15" customHeight="1">
      <c r="C90" s="392" t="s">
        <v>798</v>
      </c>
      <c r="E90" s="1310"/>
      <c r="F90" s="1371"/>
      <c r="G90" s="1372"/>
      <c r="H90" s="791" t="s">
        <v>2495</v>
      </c>
      <c r="I90" s="1324"/>
      <c r="J90" s="417" t="s">
        <v>2954</v>
      </c>
      <c r="K90" s="1321"/>
      <c r="L90" s="1372"/>
      <c r="M90" s="353"/>
      <c r="N90" s="353"/>
      <c r="O90" s="353"/>
      <c r="P90" s="353"/>
    </row>
    <row r="91" spans="1:16" s="386" customFormat="1" ht="13.15" customHeight="1">
      <c r="C91" s="386" t="s">
        <v>2913</v>
      </c>
      <c r="E91" s="1310"/>
      <c r="F91" s="1371"/>
      <c r="G91" s="1372"/>
      <c r="H91" s="802" t="s">
        <v>2692</v>
      </c>
      <c r="I91" s="1310"/>
      <c r="J91" s="1371"/>
      <c r="K91" s="1372"/>
      <c r="L91" s="809" t="s">
        <v>2696</v>
      </c>
      <c r="M91" s="1310"/>
      <c r="N91" s="1371"/>
      <c r="O91" s="1371"/>
      <c r="P91" s="1372"/>
    </row>
    <row r="92" spans="1:16" s="386" customFormat="1" ht="13.15" customHeight="1">
      <c r="C92" s="392" t="s">
        <v>2912</v>
      </c>
      <c r="E92" s="1318"/>
      <c r="F92" s="1323"/>
      <c r="G92" s="1319"/>
      <c r="H92" s="802" t="s">
        <v>2498</v>
      </c>
      <c r="I92" s="1357"/>
      <c r="J92" s="1372"/>
      <c r="K92" s="417" t="s">
        <v>2499</v>
      </c>
      <c r="L92" s="1357"/>
      <c r="M92" s="1372"/>
      <c r="N92" s="417" t="s">
        <v>2691</v>
      </c>
      <c r="O92" s="1357"/>
      <c r="P92" s="1372"/>
    </row>
    <row r="93" spans="1:16" s="386" customFormat="1" ht="3" customHeight="1">
      <c r="A93" s="687"/>
      <c r="B93" s="687"/>
      <c r="G93" s="404"/>
      <c r="H93" s="802"/>
      <c r="I93" s="802"/>
      <c r="M93" s="397"/>
    </row>
    <row r="94" spans="1:16" s="386" customFormat="1" ht="13.15" customHeight="1">
      <c r="A94" s="415" t="s">
        <v>396</v>
      </c>
      <c r="B94" s="687"/>
      <c r="C94" s="789" t="s">
        <v>2350</v>
      </c>
      <c r="D94" s="404"/>
      <c r="E94" s="404"/>
      <c r="F94" s="802"/>
      <c r="G94" s="802"/>
      <c r="H94" s="802"/>
      <c r="I94" s="802"/>
      <c r="J94" s="404"/>
      <c r="K94" s="802"/>
      <c r="L94" s="802"/>
      <c r="N94" s="796"/>
      <c r="O94" s="796"/>
      <c r="P94" s="397"/>
    </row>
    <row r="95" spans="1:16" s="386" customFormat="1" ht="3.6" customHeight="1">
      <c r="A95" s="415"/>
      <c r="B95" s="687"/>
      <c r="C95" s="789"/>
      <c r="D95" s="404"/>
      <c r="E95" s="404"/>
      <c r="F95" s="802"/>
      <c r="G95" s="802"/>
      <c r="H95" s="802"/>
      <c r="I95" s="802"/>
      <c r="J95" s="404"/>
      <c r="K95" s="802"/>
      <c r="L95" s="802"/>
      <c r="N95" s="796"/>
      <c r="O95" s="796"/>
      <c r="P95" s="397"/>
    </row>
    <row r="96" spans="1:16" s="386" customFormat="1" ht="13.15" customHeight="1">
      <c r="C96" s="411" t="s">
        <v>2870</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2695</v>
      </c>
      <c r="C98" s="789" t="s">
        <v>1852</v>
      </c>
      <c r="D98" s="793"/>
      <c r="E98" s="793"/>
      <c r="F98" s="802"/>
      <c r="G98" s="802"/>
      <c r="H98" s="1373">
        <v>2</v>
      </c>
      <c r="N98" s="796"/>
      <c r="O98" s="79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2698</v>
      </c>
      <c r="C100" s="789" t="s">
        <v>451</v>
      </c>
      <c r="D100" s="793"/>
      <c r="E100" s="793"/>
      <c r="F100" s="802"/>
      <c r="G100" s="802"/>
      <c r="H100" s="1374">
        <v>1700000</v>
      </c>
      <c r="J100" s="404"/>
      <c r="K100" s="788"/>
      <c r="N100" s="79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89" t="s">
        <v>332</v>
      </c>
      <c r="D102" s="793"/>
      <c r="E102" s="793"/>
      <c r="F102" s="802"/>
      <c r="G102" s="802"/>
      <c r="H102" s="802"/>
      <c r="I102" s="802"/>
      <c r="J102" s="404"/>
      <c r="K102" s="802"/>
      <c r="L102" s="802"/>
      <c r="N102" s="796"/>
      <c r="O102" s="796"/>
    </row>
    <row r="103" spans="1:16" s="386" customFormat="1" ht="13.15" customHeight="1">
      <c r="B103" s="687"/>
      <c r="C103" s="793" t="s">
        <v>2851</v>
      </c>
      <c r="D103" s="793"/>
      <c r="F103" s="793" t="s">
        <v>1546</v>
      </c>
      <c r="G103" s="802"/>
      <c r="H103" s="802"/>
      <c r="I103" s="802"/>
      <c r="J103" s="793" t="s">
        <v>2851</v>
      </c>
      <c r="K103" s="793"/>
      <c r="M103" s="793" t="s">
        <v>1546</v>
      </c>
      <c r="N103" s="802"/>
      <c r="O103" s="802"/>
      <c r="P103" s="802"/>
    </row>
    <row r="104" spans="1:16" s="386" customFormat="1" ht="13.15" customHeight="1">
      <c r="A104" s="687"/>
      <c r="B104" s="687"/>
      <c r="C104" s="1375" t="s">
        <v>4074</v>
      </c>
      <c r="D104" s="1376"/>
      <c r="E104" s="1376"/>
      <c r="F104" s="1376" t="s">
        <v>4071</v>
      </c>
      <c r="G104" s="1376"/>
      <c r="H104" s="1376"/>
      <c r="I104" s="1377"/>
      <c r="J104" s="1375">
        <v>6</v>
      </c>
      <c r="K104" s="1376"/>
      <c r="L104" s="1376"/>
      <c r="M104" s="1376"/>
      <c r="N104" s="1376"/>
      <c r="O104" s="1376"/>
      <c r="P104" s="1377"/>
    </row>
    <row r="105" spans="1:16" s="386" customFormat="1" ht="13.15" customHeight="1">
      <c r="A105" s="687"/>
      <c r="B105" s="687"/>
      <c r="C105" s="1378" t="s">
        <v>4075</v>
      </c>
      <c r="D105" s="1379"/>
      <c r="E105" s="1379"/>
      <c r="F105" s="1379" t="s">
        <v>4071</v>
      </c>
      <c r="G105" s="1379"/>
      <c r="H105" s="1379"/>
      <c r="I105" s="1380"/>
      <c r="J105" s="1378">
        <v>7</v>
      </c>
      <c r="K105" s="1379"/>
      <c r="L105" s="1379"/>
      <c r="M105" s="1379"/>
      <c r="N105" s="1379"/>
      <c r="O105" s="1379"/>
      <c r="P105" s="1380"/>
    </row>
    <row r="106" spans="1:16" s="386" customFormat="1" ht="13.15" customHeight="1">
      <c r="A106" s="687"/>
      <c r="B106" s="687"/>
      <c r="C106" s="1378" t="s">
        <v>4075</v>
      </c>
      <c r="D106" s="1379"/>
      <c r="E106" s="1379"/>
      <c r="F106" s="1379" t="s">
        <v>4076</v>
      </c>
      <c r="G106" s="1379"/>
      <c r="H106" s="1379"/>
      <c r="I106" s="1380"/>
      <c r="J106" s="1378">
        <v>8</v>
      </c>
      <c r="K106" s="1379"/>
      <c r="L106" s="1379"/>
      <c r="M106" s="1379"/>
      <c r="N106" s="1379"/>
      <c r="O106" s="1379"/>
      <c r="P106" s="1380"/>
    </row>
    <row r="107" spans="1:16" s="386" customFormat="1" ht="13.15" customHeight="1">
      <c r="A107" s="687"/>
      <c r="B107" s="687"/>
      <c r="C107" s="1378">
        <v>4</v>
      </c>
      <c r="D107" s="1379"/>
      <c r="E107" s="1379"/>
      <c r="F107" s="1379"/>
      <c r="G107" s="1379"/>
      <c r="H107" s="1379"/>
      <c r="I107" s="1380"/>
      <c r="J107" s="1378">
        <v>9</v>
      </c>
      <c r="K107" s="1379"/>
      <c r="L107" s="1379"/>
      <c r="M107" s="1379"/>
      <c r="N107" s="1379"/>
      <c r="O107" s="1379"/>
      <c r="P107" s="1380"/>
    </row>
    <row r="108" spans="1:16" s="386" customFormat="1" ht="13.15" customHeight="1">
      <c r="A108" s="687"/>
      <c r="B108" s="687"/>
      <c r="C108" s="1381">
        <v>5</v>
      </c>
      <c r="D108" s="1382"/>
      <c r="E108" s="1382"/>
      <c r="F108" s="1382"/>
      <c r="G108" s="1382"/>
      <c r="H108" s="1382"/>
      <c r="I108" s="1383"/>
      <c r="J108" s="1381">
        <v>10</v>
      </c>
      <c r="K108" s="1382"/>
      <c r="L108" s="1382"/>
      <c r="M108" s="1382"/>
      <c r="N108" s="1382"/>
      <c r="O108" s="1382"/>
      <c r="P108" s="1383"/>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2831</v>
      </c>
      <c r="C110" s="832" t="s">
        <v>2552</v>
      </c>
      <c r="D110" s="832"/>
      <c r="E110" s="832"/>
      <c r="F110" s="832"/>
      <c r="G110" s="832"/>
      <c r="H110" s="832"/>
      <c r="I110" s="832"/>
      <c r="J110" s="832"/>
      <c r="K110" s="832"/>
      <c r="L110" s="832"/>
      <c r="M110" s="832"/>
      <c r="N110" s="832"/>
      <c r="O110" s="832"/>
      <c r="P110" s="832"/>
    </row>
    <row r="111" spans="1:16" s="386" customFormat="1" ht="13.15" customHeight="1">
      <c r="A111" s="687"/>
      <c r="B111" s="687"/>
      <c r="C111" s="832"/>
      <c r="D111" s="832"/>
      <c r="E111" s="832"/>
      <c r="F111" s="832"/>
      <c r="G111" s="832"/>
      <c r="H111" s="832"/>
      <c r="I111" s="832"/>
      <c r="J111" s="832"/>
      <c r="K111" s="832"/>
      <c r="L111" s="832"/>
      <c r="M111" s="832"/>
      <c r="N111" s="832"/>
      <c r="O111" s="832"/>
      <c r="P111" s="832"/>
    </row>
    <row r="112" spans="1:16" s="386" customFormat="1" ht="13.15" customHeight="1">
      <c r="B112" s="687"/>
      <c r="C112" s="793" t="s">
        <v>2851</v>
      </c>
      <c r="D112" s="793"/>
      <c r="F112" s="793" t="s">
        <v>1546</v>
      </c>
      <c r="G112" s="802"/>
      <c r="H112" s="802"/>
      <c r="I112" s="802"/>
      <c r="J112" s="793" t="s">
        <v>2851</v>
      </c>
      <c r="K112" s="793"/>
      <c r="M112" s="793" t="s">
        <v>1546</v>
      </c>
      <c r="N112" s="802"/>
      <c r="O112" s="802"/>
      <c r="P112" s="802"/>
    </row>
    <row r="113" spans="1:16" s="386" customFormat="1" ht="13.15" customHeight="1">
      <c r="A113" s="687"/>
      <c r="B113" s="687"/>
      <c r="C113" s="1375">
        <v>1</v>
      </c>
      <c r="D113" s="1376"/>
      <c r="E113" s="1376"/>
      <c r="F113" s="1376"/>
      <c r="G113" s="1376"/>
      <c r="H113" s="1376"/>
      <c r="I113" s="1377"/>
      <c r="J113" s="1375">
        <v>6</v>
      </c>
      <c r="K113" s="1376"/>
      <c r="L113" s="1376"/>
      <c r="M113" s="1376"/>
      <c r="N113" s="1376"/>
      <c r="O113" s="1376"/>
      <c r="P113" s="1377"/>
    </row>
    <row r="114" spans="1:16" s="386" customFormat="1" ht="13.15" customHeight="1">
      <c r="A114" s="687"/>
      <c r="B114" s="687"/>
      <c r="C114" s="1378">
        <v>2</v>
      </c>
      <c r="D114" s="1379"/>
      <c r="E114" s="1379"/>
      <c r="F114" s="1379"/>
      <c r="G114" s="1379"/>
      <c r="H114" s="1379"/>
      <c r="I114" s="1380"/>
      <c r="J114" s="1378">
        <v>7</v>
      </c>
      <c r="K114" s="1379"/>
      <c r="L114" s="1379"/>
      <c r="M114" s="1379"/>
      <c r="N114" s="1379"/>
      <c r="O114" s="1379"/>
      <c r="P114" s="1380"/>
    </row>
    <row r="115" spans="1:16" s="386" customFormat="1" ht="13.15" customHeight="1">
      <c r="A115" s="687"/>
      <c r="B115" s="687"/>
      <c r="C115" s="1378">
        <v>3</v>
      </c>
      <c r="D115" s="1379"/>
      <c r="E115" s="1379"/>
      <c r="F115" s="1379"/>
      <c r="G115" s="1379"/>
      <c r="H115" s="1379"/>
      <c r="I115" s="1380"/>
      <c r="J115" s="1378">
        <v>8</v>
      </c>
      <c r="K115" s="1379"/>
      <c r="L115" s="1379"/>
      <c r="M115" s="1379"/>
      <c r="N115" s="1379"/>
      <c r="O115" s="1379"/>
      <c r="P115" s="1380"/>
    </row>
    <row r="116" spans="1:16" s="386" customFormat="1" ht="13.15" customHeight="1">
      <c r="A116" s="687"/>
      <c r="B116" s="687"/>
      <c r="C116" s="1378">
        <v>4</v>
      </c>
      <c r="D116" s="1379"/>
      <c r="E116" s="1379"/>
      <c r="F116" s="1379"/>
      <c r="G116" s="1379"/>
      <c r="H116" s="1379"/>
      <c r="I116" s="1380"/>
      <c r="J116" s="1378">
        <v>9</v>
      </c>
      <c r="K116" s="1379"/>
      <c r="L116" s="1379"/>
      <c r="M116" s="1379"/>
      <c r="N116" s="1379"/>
      <c r="O116" s="1379"/>
      <c r="P116" s="1380"/>
    </row>
    <row r="117" spans="1:16" s="386" customFormat="1" ht="13.15" customHeight="1">
      <c r="A117" s="687"/>
      <c r="B117" s="687"/>
      <c r="C117" s="1381">
        <v>5</v>
      </c>
      <c r="D117" s="1382"/>
      <c r="E117" s="1382"/>
      <c r="F117" s="1382"/>
      <c r="G117" s="1382"/>
      <c r="H117" s="1382"/>
      <c r="I117" s="1383"/>
      <c r="J117" s="1381">
        <v>10</v>
      </c>
      <c r="K117" s="1382"/>
      <c r="L117" s="1382"/>
      <c r="M117" s="1382"/>
      <c r="N117" s="1382"/>
      <c r="O117" s="1382"/>
      <c r="P117" s="1383"/>
    </row>
    <row r="118" spans="1:16" s="386" customFormat="1" ht="6.6" customHeight="1">
      <c r="A118" s="687"/>
      <c r="B118" s="687"/>
      <c r="C118" s="793"/>
      <c r="D118" s="793"/>
      <c r="E118" s="793"/>
      <c r="F118" s="802"/>
      <c r="G118" s="802"/>
      <c r="H118" s="802"/>
      <c r="I118" s="802"/>
      <c r="J118" s="404"/>
      <c r="K118" s="802"/>
      <c r="L118" s="802"/>
      <c r="N118" s="796"/>
      <c r="O118" s="796"/>
      <c r="P118" s="397"/>
    </row>
    <row r="119" spans="1:16" s="386" customFormat="1" ht="13.15" customHeight="1">
      <c r="A119" s="415" t="s">
        <v>397</v>
      </c>
      <c r="B119" s="687"/>
      <c r="C119" s="412" t="s">
        <v>3185</v>
      </c>
      <c r="D119" s="412"/>
      <c r="E119" s="412"/>
      <c r="F119" s="412"/>
      <c r="H119" s="1324" t="s">
        <v>4064</v>
      </c>
      <c r="M119" s="802"/>
      <c r="N119" s="796"/>
      <c r="O119" s="796"/>
      <c r="P119" s="397"/>
    </row>
    <row r="120" spans="1:16" s="386" customFormat="1" ht="3" customHeight="1">
      <c r="A120" s="415"/>
      <c r="B120" s="687"/>
      <c r="C120" s="789"/>
      <c r="D120" s="789"/>
      <c r="E120" s="789"/>
      <c r="F120" s="789"/>
      <c r="G120" s="802"/>
      <c r="M120" s="802"/>
      <c r="N120" s="796"/>
      <c r="O120" s="796"/>
    </row>
    <row r="121" spans="1:16" s="386" customFormat="1" ht="13.15" customHeight="1">
      <c r="A121" s="687"/>
      <c r="B121" s="687" t="s">
        <v>2695</v>
      </c>
      <c r="C121" s="393" t="s">
        <v>2403</v>
      </c>
      <c r="H121" s="1324"/>
      <c r="M121" s="802"/>
      <c r="N121" s="796"/>
      <c r="O121" s="796"/>
      <c r="P121" s="397"/>
    </row>
    <row r="122" spans="1:16" s="386" customFormat="1" ht="13.15" customHeight="1">
      <c r="A122" s="687"/>
      <c r="B122" s="687"/>
      <c r="C122" s="793" t="s">
        <v>3187</v>
      </c>
      <c r="D122" s="793"/>
      <c r="E122" s="793"/>
      <c r="F122" s="802"/>
      <c r="H122" s="1384"/>
      <c r="N122" s="796"/>
      <c r="O122" s="796"/>
      <c r="P122" s="397"/>
    </row>
    <row r="123" spans="1:16" s="386" customFormat="1" ht="13.15" customHeight="1">
      <c r="A123" s="687"/>
      <c r="B123" s="687"/>
      <c r="C123" s="420" t="s">
        <v>2402</v>
      </c>
      <c r="D123" s="392"/>
      <c r="H123" s="1310"/>
      <c r="I123" s="1312"/>
      <c r="P123" s="397"/>
    </row>
    <row r="124" spans="1:16" s="386" customFormat="1" ht="13.15" customHeight="1">
      <c r="A124" s="687"/>
      <c r="B124" s="687"/>
      <c r="C124" s="793" t="s">
        <v>3188</v>
      </c>
      <c r="D124" s="793"/>
      <c r="E124" s="793"/>
      <c r="F124" s="802"/>
      <c r="H124" s="1384"/>
      <c r="K124" s="353" t="s">
        <v>2973</v>
      </c>
      <c r="O124" s="1310" t="s">
        <v>617</v>
      </c>
      <c r="P124" s="1312"/>
    </row>
    <row r="125" spans="1:16" s="386" customFormat="1" ht="13.15" customHeight="1">
      <c r="A125" s="687"/>
      <c r="B125" s="687"/>
      <c r="C125" s="793" t="s">
        <v>3186</v>
      </c>
      <c r="F125" s="802"/>
      <c r="H125" s="1373"/>
      <c r="K125" s="353" t="s">
        <v>2974</v>
      </c>
      <c r="O125" s="1310" t="s">
        <v>617</v>
      </c>
      <c r="P125" s="1312"/>
    </row>
    <row r="126" spans="1:16" s="386" customFormat="1" ht="13.15" customHeight="1">
      <c r="A126" s="687"/>
      <c r="B126" s="687"/>
      <c r="C126" s="793" t="s">
        <v>2884</v>
      </c>
      <c r="D126" s="793"/>
      <c r="E126" s="793"/>
      <c r="F126" s="802"/>
      <c r="H126" s="1369"/>
      <c r="I126" s="1370"/>
      <c r="N126" s="796"/>
      <c r="O126" s="796"/>
      <c r="P126" s="397"/>
    </row>
    <row r="127" spans="1:16" s="386" customFormat="1" ht="3" customHeight="1">
      <c r="A127" s="687"/>
      <c r="B127" s="687"/>
      <c r="C127" s="793"/>
      <c r="D127" s="793"/>
      <c r="E127" s="793"/>
      <c r="F127" s="802"/>
      <c r="N127" s="796"/>
      <c r="O127" s="796"/>
      <c r="P127" s="397"/>
    </row>
    <row r="128" spans="1:16" s="386" customFormat="1" ht="13.15" customHeight="1">
      <c r="A128" s="687"/>
      <c r="B128" s="687" t="s">
        <v>2698</v>
      </c>
      <c r="C128" s="789" t="s">
        <v>3272</v>
      </c>
      <c r="D128" s="793"/>
      <c r="E128" s="793"/>
      <c r="F128" s="802"/>
      <c r="H128" s="1373"/>
      <c r="N128" s="796"/>
      <c r="O128" s="796"/>
      <c r="P128" s="397"/>
    </row>
    <row r="129" spans="1:16" s="386" customFormat="1" ht="3" customHeight="1">
      <c r="A129" s="687"/>
      <c r="B129" s="687"/>
      <c r="C129" s="793"/>
      <c r="D129" s="793"/>
      <c r="E129" s="793"/>
      <c r="F129" s="802"/>
      <c r="G129" s="802"/>
      <c r="M129" s="802"/>
      <c r="N129" s="796"/>
      <c r="O129" s="796"/>
      <c r="P129" s="397"/>
    </row>
    <row r="130" spans="1:16" s="386" customFormat="1" ht="13.15" customHeight="1">
      <c r="A130" s="687"/>
      <c r="B130" s="687" t="s">
        <v>1054</v>
      </c>
      <c r="C130" s="789" t="s">
        <v>3605</v>
      </c>
      <c r="D130" s="793"/>
      <c r="E130" s="793"/>
      <c r="F130" s="802"/>
      <c r="G130" s="802"/>
      <c r="N130" s="796"/>
      <c r="O130" s="796"/>
      <c r="P130" s="397"/>
    </row>
    <row r="131" spans="1:16" s="386" customFormat="1" ht="13.15" customHeight="1">
      <c r="A131" s="687"/>
      <c r="B131" s="687"/>
      <c r="C131" s="793" t="s">
        <v>911</v>
      </c>
      <c r="D131" s="793"/>
      <c r="E131" s="793"/>
      <c r="F131" s="802"/>
      <c r="G131" s="802"/>
      <c r="H131" s="1373" t="s">
        <v>4064</v>
      </c>
      <c r="K131" s="793" t="s">
        <v>1992</v>
      </c>
      <c r="L131" s="793"/>
      <c r="M131" s="802"/>
      <c r="N131" s="802"/>
      <c r="O131" s="1373"/>
      <c r="P131" s="397"/>
    </row>
    <row r="132" spans="1:16" s="386" customFormat="1" ht="6" customHeight="1">
      <c r="A132" s="687"/>
      <c r="B132" s="687"/>
      <c r="C132" s="793"/>
      <c r="D132" s="793"/>
      <c r="E132" s="793"/>
      <c r="F132" s="802"/>
      <c r="G132" s="802"/>
      <c r="H132" s="802"/>
      <c r="I132" s="802"/>
      <c r="J132" s="404"/>
      <c r="K132" s="802"/>
      <c r="L132" s="802"/>
      <c r="N132" s="796"/>
      <c r="O132" s="796"/>
      <c r="P132" s="397"/>
    </row>
    <row r="133" spans="1:16" s="386" customFormat="1" ht="13.15" customHeight="1">
      <c r="A133" s="415" t="s">
        <v>398</v>
      </c>
      <c r="B133" s="687"/>
      <c r="C133" s="412" t="s">
        <v>1605</v>
      </c>
      <c r="D133" s="412"/>
      <c r="E133" s="412"/>
      <c r="F133" s="412"/>
      <c r="G133" s="802"/>
      <c r="H133" s="802"/>
      <c r="I133" s="802"/>
      <c r="J133" s="404"/>
      <c r="K133" s="802"/>
      <c r="L133" s="802"/>
      <c r="N133" s="796"/>
      <c r="O133" s="796"/>
      <c r="P133" s="397"/>
    </row>
    <row r="134" spans="1:16" s="386" customFormat="1" ht="1.9" customHeight="1">
      <c r="A134" s="415"/>
      <c r="B134" s="687"/>
      <c r="C134" s="789"/>
      <c r="D134" s="789"/>
      <c r="E134" s="789"/>
      <c r="F134" s="789"/>
      <c r="G134" s="802"/>
      <c r="H134" s="802"/>
      <c r="I134" s="802"/>
      <c r="J134" s="404"/>
      <c r="K134" s="802"/>
      <c r="L134" s="802"/>
      <c r="N134" s="796"/>
      <c r="O134" s="796"/>
    </row>
    <row r="135" spans="1:16" s="386" customFormat="1" ht="13.15" customHeight="1">
      <c r="A135" s="687"/>
      <c r="B135" s="687" t="s">
        <v>2695</v>
      </c>
      <c r="C135" s="403" t="s">
        <v>2522</v>
      </c>
      <c r="F135" s="802"/>
      <c r="G135" s="802"/>
      <c r="H135" s="802"/>
      <c r="I135" s="802"/>
      <c r="J135" s="404"/>
      <c r="K135" s="802"/>
      <c r="L135" s="802"/>
      <c r="N135" s="796"/>
      <c r="O135" s="796"/>
      <c r="P135" s="397"/>
    </row>
    <row r="136" spans="1:16" s="386" customFormat="1" ht="12.6" customHeight="1">
      <c r="A136" s="687"/>
      <c r="B136" s="687"/>
      <c r="C136" s="411" t="s">
        <v>1984</v>
      </c>
      <c r="D136" s="404"/>
      <c r="E136" s="404"/>
      <c r="F136" s="802"/>
      <c r="G136" s="802"/>
      <c r="H136" s="802"/>
      <c r="I136" s="802"/>
      <c r="K136" s="1373" t="s">
        <v>4064</v>
      </c>
      <c r="N136" s="796"/>
      <c r="O136" s="796"/>
      <c r="P136" s="397"/>
    </row>
    <row r="137" spans="1:16" s="386" customFormat="1" ht="12.6" customHeight="1">
      <c r="A137" s="687"/>
      <c r="B137" s="687"/>
      <c r="C137" s="386" t="s">
        <v>795</v>
      </c>
      <c r="K137" s="1363">
        <v>15</v>
      </c>
      <c r="L137" s="392" t="s">
        <v>2491</v>
      </c>
      <c r="P137" s="421">
        <f>IF('Part VI-Revenues &amp; Expenses'!$M$60=0,0,$K137/'Part VI-Revenues &amp; Expenses'!$M$60)</f>
        <v>0.15</v>
      </c>
    </row>
    <row r="138" spans="1:16" s="386" customFormat="1" ht="12.6" customHeight="1">
      <c r="A138" s="687"/>
      <c r="B138" s="687"/>
      <c r="C138" s="386" t="s">
        <v>2885</v>
      </c>
      <c r="K138" s="1363">
        <v>80</v>
      </c>
      <c r="L138" s="392" t="s">
        <v>2491</v>
      </c>
      <c r="P138" s="421">
        <f>IF('Part VI-Revenues &amp; Expenses'!$M$60=0,0,$K138/'Part VI-Revenues &amp; Expenses'!$M$60)</f>
        <v>0.8</v>
      </c>
    </row>
    <row r="139" spans="1:16" s="386" customFormat="1" ht="12.6" customHeight="1">
      <c r="A139" s="687"/>
      <c r="B139" s="687"/>
      <c r="C139" s="386" t="s">
        <v>2492</v>
      </c>
      <c r="E139" s="1310" t="s">
        <v>4084</v>
      </c>
      <c r="F139" s="1311"/>
      <c r="G139" s="1311"/>
      <c r="H139" s="1311"/>
      <c r="I139" s="1311"/>
      <c r="J139" s="1311"/>
      <c r="K139" s="1312"/>
      <c r="L139" s="422" t="s">
        <v>2493</v>
      </c>
      <c r="M139" s="1310" t="s">
        <v>4085</v>
      </c>
      <c r="N139" s="1311"/>
      <c r="O139" s="1311"/>
      <c r="P139" s="1312"/>
    </row>
    <row r="140" spans="1:16" s="386" customFormat="1" ht="12.6" customHeight="1">
      <c r="A140" s="687"/>
      <c r="B140" s="687"/>
      <c r="C140" s="392" t="s">
        <v>2494</v>
      </c>
      <c r="D140" s="400"/>
      <c r="E140" s="1310" t="s">
        <v>4092</v>
      </c>
      <c r="F140" s="1311"/>
      <c r="G140" s="1311"/>
      <c r="H140" s="1311"/>
      <c r="I140" s="1311"/>
      <c r="J140" s="1311"/>
      <c r="K140" s="1385"/>
      <c r="L140" s="788" t="s">
        <v>2496</v>
      </c>
      <c r="M140" s="1325" t="s">
        <v>4086</v>
      </c>
      <c r="N140" s="1326"/>
      <c r="O140" s="1326"/>
      <c r="P140" s="1327"/>
    </row>
    <row r="141" spans="1:16" s="386" customFormat="1" ht="12.6" customHeight="1">
      <c r="A141" s="687"/>
      <c r="B141" s="687"/>
      <c r="C141" s="392" t="s">
        <v>798</v>
      </c>
      <c r="E141" s="1310" t="s">
        <v>177</v>
      </c>
      <c r="F141" s="1311"/>
      <c r="G141" s="1311"/>
      <c r="H141" s="1312"/>
      <c r="I141" s="417" t="s">
        <v>2954</v>
      </c>
      <c r="J141" s="1321">
        <v>319062898</v>
      </c>
      <c r="K141" s="1322"/>
      <c r="L141" s="422" t="s">
        <v>2499</v>
      </c>
      <c r="M141" s="1318">
        <v>7065712807</v>
      </c>
      <c r="N141" s="1323"/>
      <c r="O141" s="1319"/>
    </row>
    <row r="142" spans="1:16" s="386" customFormat="1" ht="12.6" customHeight="1">
      <c r="A142" s="687"/>
      <c r="B142" s="687"/>
      <c r="C142" s="392" t="s">
        <v>2497</v>
      </c>
      <c r="E142" s="1318">
        <v>7065712800</v>
      </c>
      <c r="F142" s="1323"/>
      <c r="G142" s="1319"/>
      <c r="H142" s="423" t="s">
        <v>2498</v>
      </c>
      <c r="I142" s="1318">
        <v>7065712849</v>
      </c>
      <c r="J142" s="1323"/>
      <c r="K142" s="1319"/>
      <c r="L142" s="424" t="s">
        <v>2691</v>
      </c>
      <c r="M142" s="1318"/>
      <c r="N142" s="1323"/>
      <c r="O142" s="1319"/>
    </row>
    <row r="143" spans="1:16" s="386" customFormat="1" ht="6" customHeight="1">
      <c r="A143" s="687"/>
      <c r="B143" s="687"/>
      <c r="C143" s="392"/>
      <c r="E143" s="425"/>
      <c r="F143" s="425"/>
      <c r="G143" s="425"/>
      <c r="H143" s="802"/>
      <c r="I143" s="425"/>
      <c r="J143" s="425"/>
      <c r="K143" s="802"/>
      <c r="L143" s="425"/>
      <c r="M143" s="425"/>
      <c r="N143" s="802"/>
      <c r="O143" s="425"/>
      <c r="P143" s="425"/>
    </row>
    <row r="144" spans="1:16" s="386" customFormat="1" ht="12.6" customHeight="1">
      <c r="A144" s="687"/>
      <c r="B144" s="687" t="s">
        <v>2698</v>
      </c>
      <c r="C144" s="789" t="s">
        <v>3618</v>
      </c>
      <c r="D144" s="789"/>
      <c r="E144" s="789"/>
      <c r="F144" s="789"/>
      <c r="G144" s="789"/>
      <c r="I144" s="1373" t="s">
        <v>4065</v>
      </c>
      <c r="J144" s="830" t="s">
        <v>1067</v>
      </c>
      <c r="K144" s="831"/>
      <c r="L144" s="1373"/>
      <c r="M144" s="827" t="s">
        <v>3057</v>
      </c>
      <c r="N144" s="828"/>
      <c r="O144" s="829"/>
      <c r="P144" s="1384"/>
    </row>
    <row r="145" spans="1:16" s="386" customFormat="1" ht="6" customHeight="1">
      <c r="A145" s="687"/>
      <c r="B145" s="687"/>
      <c r="C145" s="789"/>
      <c r="D145" s="789"/>
      <c r="E145" s="389"/>
      <c r="F145" s="789"/>
      <c r="G145" s="789"/>
      <c r="J145" s="396"/>
      <c r="K145" s="426"/>
      <c r="M145" s="796"/>
      <c r="O145" s="802"/>
      <c r="P145" s="397"/>
    </row>
    <row r="146" spans="1:16" s="386" customFormat="1" ht="12.6" customHeight="1">
      <c r="A146" s="687"/>
      <c r="B146" s="687"/>
      <c r="C146" s="789" t="s">
        <v>3619</v>
      </c>
      <c r="D146" s="789"/>
      <c r="E146" s="789"/>
      <c r="F146" s="789"/>
      <c r="G146" s="789"/>
      <c r="I146" s="1373" t="s">
        <v>4064</v>
      </c>
      <c r="J146" s="830" t="s">
        <v>1067</v>
      </c>
      <c r="K146" s="831"/>
      <c r="L146" s="1373">
        <v>2030</v>
      </c>
      <c r="M146" s="827" t="s">
        <v>3057</v>
      </c>
      <c r="N146" s="828"/>
      <c r="O146" s="829"/>
      <c r="P146" s="1384">
        <v>15</v>
      </c>
    </row>
    <row r="147" spans="1:16" s="386" customFormat="1" ht="6" customHeight="1">
      <c r="A147" s="687"/>
      <c r="B147" s="687"/>
      <c r="C147" s="789"/>
      <c r="D147" s="789"/>
      <c r="E147" s="389"/>
      <c r="F147" s="789"/>
      <c r="G147" s="789"/>
      <c r="J147" s="396"/>
      <c r="K147" s="426"/>
      <c r="M147" s="796"/>
      <c r="O147" s="802"/>
      <c r="P147" s="397"/>
    </row>
    <row r="148" spans="1:16" s="386" customFormat="1" ht="12.6" customHeight="1">
      <c r="A148" s="687"/>
      <c r="B148" s="687" t="s">
        <v>1054</v>
      </c>
      <c r="C148" s="789" t="s">
        <v>2451</v>
      </c>
      <c r="D148" s="789"/>
      <c r="E148" s="789"/>
      <c r="F148" s="789"/>
      <c r="G148" s="789"/>
      <c r="I148" s="1373" t="s">
        <v>4065</v>
      </c>
      <c r="L148" s="353"/>
      <c r="M148" s="353"/>
      <c r="P148" s="397"/>
    </row>
    <row r="149" spans="1:16" s="386" customFormat="1" ht="6" customHeight="1">
      <c r="A149" s="687"/>
      <c r="B149" s="687"/>
      <c r="C149" s="392"/>
      <c r="E149" s="425"/>
      <c r="F149" s="425"/>
      <c r="G149" s="425"/>
      <c r="I149" s="425"/>
      <c r="J149" s="425"/>
      <c r="K149" s="802"/>
      <c r="L149" s="425"/>
      <c r="M149" s="425"/>
      <c r="N149" s="802"/>
      <c r="O149" s="425"/>
      <c r="P149" s="425"/>
    </row>
    <row r="150" spans="1:16" s="386" customFormat="1" ht="12.6" customHeight="1">
      <c r="A150" s="687"/>
      <c r="B150" s="687" t="s">
        <v>2831</v>
      </c>
      <c r="C150" s="851" t="s">
        <v>2690</v>
      </c>
      <c r="D150" s="851"/>
      <c r="E150" s="851"/>
      <c r="F150" s="851"/>
      <c r="G150" s="789"/>
      <c r="I150" s="1373" t="s">
        <v>4065</v>
      </c>
      <c r="J150" s="428" t="s">
        <v>3938</v>
      </c>
      <c r="L150" s="850" t="s">
        <v>1924</v>
      </c>
      <c r="M150" s="850"/>
      <c r="N150" s="789"/>
      <c r="O150" s="789"/>
      <c r="P150" s="1386"/>
    </row>
    <row r="151" spans="1:16" s="386" customFormat="1" ht="12.6" customHeight="1">
      <c r="B151" s="687"/>
      <c r="L151" s="834" t="s">
        <v>1190</v>
      </c>
      <c r="M151" s="834"/>
      <c r="N151" s="789"/>
      <c r="O151" s="789"/>
      <c r="P151" s="1386"/>
    </row>
    <row r="152" spans="1:16" s="386" customFormat="1" ht="12.6" customHeight="1">
      <c r="A152" s="687"/>
      <c r="B152" s="687"/>
      <c r="L152" s="834" t="s">
        <v>2487</v>
      </c>
      <c r="M152" s="834"/>
      <c r="N152" s="789"/>
      <c r="O152" s="789"/>
      <c r="P152" s="427" t="str">
        <f>IF(P150="","",P151/P150)</f>
        <v/>
      </c>
    </row>
    <row r="153" spans="1:16" s="386" customFormat="1" ht="13.15" customHeight="1">
      <c r="A153" s="687"/>
      <c r="B153" s="687" t="s">
        <v>2428</v>
      </c>
      <c r="C153" s="350" t="s">
        <v>2075</v>
      </c>
      <c r="D153" s="793"/>
      <c r="E153" s="793"/>
      <c r="F153" s="793"/>
      <c r="G153" s="793"/>
      <c r="H153" s="802"/>
      <c r="J153" s="396"/>
      <c r="K153" s="404"/>
      <c r="M153" s="796"/>
      <c r="O153" s="802"/>
      <c r="P153" s="397"/>
    </row>
    <row r="154" spans="1:16" s="386" customFormat="1" ht="12.6" customHeight="1">
      <c r="A154" s="687"/>
      <c r="B154" s="687"/>
      <c r="C154" s="796" t="s">
        <v>2934</v>
      </c>
      <c r="D154" s="398"/>
      <c r="E154" s="796"/>
      <c r="F154" s="796"/>
      <c r="I154" s="1373"/>
      <c r="L154" s="796" t="s">
        <v>3672</v>
      </c>
      <c r="M154" s="796"/>
      <c r="P154" s="1373"/>
    </row>
    <row r="155" spans="1:16" s="386" customFormat="1" ht="12.6" customHeight="1">
      <c r="A155" s="687"/>
      <c r="B155" s="687"/>
      <c r="C155" s="796" t="s">
        <v>2936</v>
      </c>
      <c r="I155" s="1373"/>
      <c r="L155" s="796" t="s">
        <v>2076</v>
      </c>
      <c r="M155" s="796"/>
      <c r="N155" s="796"/>
      <c r="P155" s="1373" t="s">
        <v>4064</v>
      </c>
    </row>
    <row r="156" spans="1:16" s="386" customFormat="1" ht="12.6" customHeight="1">
      <c r="A156" s="687"/>
      <c r="C156" s="796" t="s">
        <v>3671</v>
      </c>
      <c r="I156" s="1373"/>
      <c r="L156" s="796" t="s">
        <v>1995</v>
      </c>
      <c r="M156" s="796"/>
      <c r="N156" s="796"/>
      <c r="P156" s="1373"/>
    </row>
    <row r="157" spans="1:16" s="386" customFormat="1" ht="12.6" customHeight="1">
      <c r="A157" s="687"/>
      <c r="B157" s="687"/>
      <c r="C157" s="796" t="s">
        <v>1716</v>
      </c>
      <c r="D157" s="429"/>
      <c r="I157" s="1373"/>
      <c r="K157" s="398"/>
      <c r="L157" s="796" t="s">
        <v>3591</v>
      </c>
      <c r="N157" s="1387"/>
      <c r="O157" s="1388"/>
      <c r="P157" s="1373"/>
    </row>
    <row r="158" spans="1:16" s="386" customFormat="1" ht="12.6" customHeight="1">
      <c r="A158" s="687"/>
      <c r="B158" s="389"/>
      <c r="C158" s="796" t="s">
        <v>2506</v>
      </c>
      <c r="I158" s="1373"/>
      <c r="J158" s="428" t="s">
        <v>3939</v>
      </c>
      <c r="O158" s="1389"/>
      <c r="P158" s="1390"/>
    </row>
    <row r="159" spans="1:16" s="386" customFormat="1" ht="12.6" customHeight="1">
      <c r="A159" s="687"/>
      <c r="B159" s="687"/>
      <c r="C159" s="796" t="s">
        <v>3670</v>
      </c>
      <c r="I159" s="1373"/>
      <c r="J159" s="428" t="s">
        <v>3939</v>
      </c>
      <c r="O159" s="1389"/>
      <c r="P159" s="1390"/>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93"/>
      <c r="E162" s="793"/>
      <c r="F162" s="802"/>
      <c r="G162" s="802"/>
      <c r="H162" s="1369"/>
      <c r="I162" s="1370"/>
      <c r="N162" s="796"/>
      <c r="O162" s="796"/>
      <c r="P162" s="397"/>
    </row>
    <row r="163" spans="1:21" s="386" customFormat="1" ht="12.6" customHeight="1">
      <c r="A163" s="687"/>
      <c r="B163" s="687"/>
      <c r="C163" s="392" t="s">
        <v>305</v>
      </c>
      <c r="D163" s="793"/>
      <c r="E163" s="793"/>
      <c r="F163" s="802"/>
      <c r="G163" s="802"/>
      <c r="H163" s="1369"/>
      <c r="I163" s="1370"/>
      <c r="N163" s="796"/>
      <c r="O163" s="796"/>
      <c r="P163" s="397"/>
    </row>
    <row r="164" spans="1:21" s="386" customFormat="1" ht="12.6" customHeight="1">
      <c r="A164" s="687"/>
      <c r="B164" s="687"/>
      <c r="C164" s="392" t="s">
        <v>3024</v>
      </c>
      <c r="D164" s="793"/>
      <c r="E164" s="793"/>
      <c r="F164" s="802"/>
      <c r="G164" s="802"/>
      <c r="H164" s="1369">
        <v>42368</v>
      </c>
      <c r="I164" s="1370"/>
      <c r="N164" s="796"/>
      <c r="O164" s="796"/>
      <c r="P164" s="397"/>
    </row>
    <row r="165" spans="1:21" s="386" customFormat="1" ht="6" customHeight="1">
      <c r="B165" s="389"/>
      <c r="C165" s="796"/>
      <c r="H165" s="796"/>
      <c r="L165" s="406"/>
      <c r="M165" s="406"/>
      <c r="N165" s="406"/>
      <c r="O165" s="406"/>
      <c r="P165" s="394"/>
    </row>
    <row r="166" spans="1:21" ht="12" customHeight="1">
      <c r="A166" s="415" t="s">
        <v>2418</v>
      </c>
      <c r="C166" s="415" t="s">
        <v>744</v>
      </c>
      <c r="K166" s="415" t="s">
        <v>2979</v>
      </c>
      <c r="L166" s="415" t="s">
        <v>83</v>
      </c>
    </row>
    <row r="167" spans="1:21" ht="114" customHeight="1">
      <c r="A167" s="1391" t="s">
        <v>4119</v>
      </c>
      <c r="B167" s="1392"/>
      <c r="C167" s="1392"/>
      <c r="D167" s="1392"/>
      <c r="E167" s="1392"/>
      <c r="F167" s="1392"/>
      <c r="G167" s="1392"/>
      <c r="H167" s="1392"/>
      <c r="I167" s="1392"/>
      <c r="J167" s="1393"/>
      <c r="K167" s="1394"/>
      <c r="L167" s="1395"/>
      <c r="M167" s="1395"/>
      <c r="N167" s="1395"/>
      <c r="O167" s="1395"/>
      <c r="P167" s="1396"/>
      <c r="Q167" s="826" t="s">
        <v>3595</v>
      </c>
      <c r="R167" s="826"/>
      <c r="S167" s="826"/>
      <c r="T167" s="826"/>
      <c r="U167" s="826"/>
    </row>
    <row r="168" spans="1:21" ht="12" customHeight="1">
      <c r="Q168" s="826"/>
      <c r="R168" s="826"/>
      <c r="S168" s="826"/>
      <c r="T168" s="826"/>
      <c r="U168" s="82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2858</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2662</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176</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2796</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172</v>
      </c>
      <c r="F181" s="738" t="s">
        <v>3412</v>
      </c>
      <c r="G181" s="732" t="s">
        <v>1576</v>
      </c>
      <c r="H181" s="733" t="s">
        <v>458</v>
      </c>
      <c r="I181" s="739"/>
      <c r="J181" s="735" t="s">
        <v>2798</v>
      </c>
      <c r="K181" s="736"/>
      <c r="L181" s="727"/>
      <c r="M181" s="728"/>
      <c r="N181" s="737" t="s">
        <v>2797</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3412</v>
      </c>
      <c r="G182" s="732" t="s">
        <v>2523</v>
      </c>
      <c r="H182" s="733" t="s">
        <v>458</v>
      </c>
      <c r="I182" s="734"/>
      <c r="J182" s="735" t="s">
        <v>2800</v>
      </c>
      <c r="K182" s="736"/>
      <c r="L182" s="727"/>
      <c r="M182" s="728"/>
      <c r="N182" s="737" t="s">
        <v>2799</v>
      </c>
      <c r="O182" s="737" t="s">
        <v>201</v>
      </c>
      <c r="P182" s="626" t="s">
        <v>2083</v>
      </c>
      <c r="T182" s="737" t="s">
        <v>2841</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2802</v>
      </c>
      <c r="K183" s="736"/>
      <c r="L183" s="727"/>
      <c r="M183" s="728"/>
      <c r="N183" s="737" t="s">
        <v>2801</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2804</v>
      </c>
      <c r="K184" s="736"/>
      <c r="L184" s="727"/>
      <c r="M184" s="728"/>
      <c r="N184" s="737" t="s">
        <v>2803</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2674</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197</v>
      </c>
      <c r="K186" s="627"/>
      <c r="L186" s="626"/>
      <c r="M186" s="728"/>
      <c r="N186" s="737" t="s">
        <v>2675</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200</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2553</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173</v>
      </c>
      <c r="D200" s="626" t="s">
        <v>1632</v>
      </c>
      <c r="E200" s="731" t="s">
        <v>174</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175</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176</v>
      </c>
      <c r="D202" s="626" t="s">
        <v>1769</v>
      </c>
      <c r="E202" s="738" t="s">
        <v>177</v>
      </c>
      <c r="F202" s="738" t="s">
        <v>3413</v>
      </c>
      <c r="G202" s="732" t="s">
        <v>2372</v>
      </c>
      <c r="H202" s="733" t="s">
        <v>459</v>
      </c>
      <c r="I202" s="739"/>
      <c r="J202" s="735" t="s">
        <v>3354</v>
      </c>
      <c r="K202" s="736"/>
      <c r="L202" s="727"/>
      <c r="M202" s="728"/>
      <c r="N202" s="737" t="s">
        <v>3357</v>
      </c>
      <c r="O202" s="737" t="s">
        <v>2627</v>
      </c>
      <c r="P202" s="626" t="s">
        <v>2103</v>
      </c>
      <c r="Q202" s="732"/>
    </row>
    <row r="203" spans="2:17" s="723" customFormat="1" ht="12" customHeight="1">
      <c r="B203" s="626" t="s">
        <v>1777</v>
      </c>
      <c r="C203" s="626" t="s">
        <v>178</v>
      </c>
      <c r="D203" s="626" t="s">
        <v>1745</v>
      </c>
      <c r="E203" s="731" t="s">
        <v>179</v>
      </c>
      <c r="F203" s="731" t="s">
        <v>3412</v>
      </c>
      <c r="G203" s="732" t="s">
        <v>2373</v>
      </c>
      <c r="H203" s="733" t="s">
        <v>458</v>
      </c>
      <c r="I203" s="734"/>
      <c r="J203" s="735" t="s">
        <v>3356</v>
      </c>
      <c r="K203" s="736"/>
      <c r="L203" s="727"/>
      <c r="M203" s="728"/>
      <c r="N203" s="737" t="s">
        <v>182</v>
      </c>
      <c r="O203" s="737" t="s">
        <v>181</v>
      </c>
      <c r="P203" s="1397" t="s">
        <v>1218</v>
      </c>
    </row>
    <row r="204" spans="2:17" s="723" customFormat="1" ht="12" customHeight="1">
      <c r="B204" s="626" t="s">
        <v>1778</v>
      </c>
      <c r="C204" s="626" t="s">
        <v>180</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2758</v>
      </c>
      <c r="F205" s="731" t="s">
        <v>3413</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2787</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1397" t="s">
        <v>1218</v>
      </c>
    </row>
    <row r="208" spans="2:17" s="723" customFormat="1" ht="12" customHeight="1">
      <c r="B208" s="626" t="s">
        <v>1782</v>
      </c>
      <c r="C208" s="626" t="s">
        <v>3266</v>
      </c>
      <c r="D208" s="626" t="s">
        <v>1632</v>
      </c>
      <c r="E208" s="731" t="s">
        <v>3267</v>
      </c>
      <c r="F208" s="731" t="s">
        <v>3412</v>
      </c>
      <c r="G208" s="732" t="s">
        <v>802</v>
      </c>
      <c r="H208" s="733" t="s">
        <v>458</v>
      </c>
      <c r="I208" s="734"/>
      <c r="J208" s="735" t="s">
        <v>2788</v>
      </c>
      <c r="K208" s="627"/>
      <c r="L208" s="727"/>
      <c r="M208" s="728"/>
      <c r="N208" s="737" t="s">
        <v>2790</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2789</v>
      </c>
      <c r="K209" s="627"/>
      <c r="L209" s="727"/>
      <c r="M209" s="728"/>
      <c r="N209" s="737" t="s">
        <v>2712</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2791</v>
      </c>
      <c r="K210" s="627"/>
      <c r="L210" s="727"/>
      <c r="M210" s="728"/>
      <c r="N210" s="737" t="s">
        <v>2792</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2822</v>
      </c>
      <c r="K211" s="627"/>
      <c r="L211" s="727"/>
      <c r="M211" s="728"/>
      <c r="N211" s="737" t="s">
        <v>2823</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2824</v>
      </c>
      <c r="K212" s="627"/>
      <c r="L212" s="727"/>
      <c r="M212" s="728"/>
      <c r="N212" s="737" t="s">
        <v>2825</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2826</v>
      </c>
      <c r="K213" s="627"/>
      <c r="L213" s="727"/>
      <c r="M213" s="728"/>
      <c r="N213" s="737" t="s">
        <v>2827</v>
      </c>
      <c r="O213" s="737" t="s">
        <v>214</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2828</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180</v>
      </c>
      <c r="P215" s="626" t="s">
        <v>2114</v>
      </c>
      <c r="Q215" s="732"/>
    </row>
    <row r="216" spans="2:19" s="723" customFormat="1" ht="12" customHeight="1">
      <c r="B216" s="626" t="s">
        <v>1790</v>
      </c>
      <c r="C216" s="626" t="s">
        <v>3322</v>
      </c>
      <c r="D216" s="626" t="s">
        <v>1632</v>
      </c>
      <c r="E216" s="731" t="s">
        <v>211</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3413</v>
      </c>
      <c r="G217" s="732" t="s">
        <v>2370</v>
      </c>
      <c r="H217" s="733" t="s">
        <v>459</v>
      </c>
      <c r="I217" s="739"/>
      <c r="J217" s="735" t="s">
        <v>2715</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216</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217</v>
      </c>
      <c r="D221" s="626" t="s">
        <v>1632</v>
      </c>
      <c r="E221" s="731" t="s">
        <v>1349</v>
      </c>
      <c r="F221" s="731" t="s">
        <v>3412</v>
      </c>
      <c r="G221" s="732" t="s">
        <v>2670</v>
      </c>
      <c r="H221" s="733" t="s">
        <v>458</v>
      </c>
      <c r="I221" s="734"/>
      <c r="J221" s="735" t="s">
        <v>2967</v>
      </c>
      <c r="K221" s="627"/>
      <c r="L221" s="727"/>
      <c r="M221" s="728"/>
      <c r="N221" s="626" t="s">
        <v>3359</v>
      </c>
      <c r="O221" s="626" t="s">
        <v>808</v>
      </c>
      <c r="P221" s="1398" t="s">
        <v>2857</v>
      </c>
      <c r="Q221" s="732"/>
      <c r="R221" s="626"/>
      <c r="S221" s="626"/>
    </row>
    <row r="222" spans="2:19" s="723" customFormat="1" ht="12" customHeight="1">
      <c r="B222" s="626" t="s">
        <v>1796</v>
      </c>
      <c r="C222" s="626" t="s">
        <v>1350</v>
      </c>
      <c r="D222" s="626" t="s">
        <v>1632</v>
      </c>
      <c r="E222" s="731" t="s">
        <v>1351</v>
      </c>
      <c r="F222" s="731" t="s">
        <v>3412</v>
      </c>
      <c r="G222" s="732" t="s">
        <v>2671</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2672</v>
      </c>
      <c r="H225" s="733" t="s">
        <v>458</v>
      </c>
      <c r="I225" s="734"/>
      <c r="J225" s="735" t="s">
        <v>2876</v>
      </c>
      <c r="K225" s="627"/>
      <c r="L225" s="727"/>
      <c r="M225" s="728"/>
      <c r="N225" s="737" t="s">
        <v>2471</v>
      </c>
      <c r="O225" s="737" t="s">
        <v>2721</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1397"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1398" t="s">
        <v>2857</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2630</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175</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1398" t="s">
        <v>2857</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214</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177</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2758</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2585</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2586</v>
      </c>
      <c r="D274" s="626" t="s">
        <v>1632</v>
      </c>
      <c r="E274" s="731" t="s">
        <v>12</v>
      </c>
      <c r="F274" s="731" t="s">
        <v>3413</v>
      </c>
      <c r="G274" s="732" t="s">
        <v>3379</v>
      </c>
      <c r="H274" s="733" t="s">
        <v>459</v>
      </c>
      <c r="I274" s="734"/>
      <c r="J274" s="735" t="s">
        <v>259</v>
      </c>
      <c r="K274" s="736"/>
      <c r="L274" s="727"/>
      <c r="M274" s="728"/>
      <c r="N274" s="737" t="s">
        <v>2776</v>
      </c>
      <c r="O274" s="737" t="s">
        <v>352</v>
      </c>
      <c r="P274" s="626" t="s">
        <v>2169</v>
      </c>
      <c r="Q274" s="732"/>
    </row>
    <row r="275" spans="2:17" s="723" customFormat="1" ht="12" customHeight="1">
      <c r="B275" s="740"/>
      <c r="C275" s="626" t="s">
        <v>2587</v>
      </c>
      <c r="D275" s="626" t="s">
        <v>1769</v>
      </c>
      <c r="E275" s="738" t="s">
        <v>1157</v>
      </c>
      <c r="F275" s="738" t="s">
        <v>3413</v>
      </c>
      <c r="G275" s="732" t="s">
        <v>884</v>
      </c>
      <c r="H275" s="733" t="s">
        <v>459</v>
      </c>
      <c r="I275" s="739"/>
      <c r="J275" s="735" t="s">
        <v>261</v>
      </c>
      <c r="K275" s="736"/>
      <c r="L275" s="727"/>
      <c r="M275" s="728"/>
      <c r="N275" s="737" t="s">
        <v>2778</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2780</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2775</v>
      </c>
      <c r="K277" s="736"/>
      <c r="L277" s="727"/>
      <c r="M277" s="728"/>
      <c r="N277" s="737" t="s">
        <v>2782</v>
      </c>
      <c r="O277" s="737" t="s">
        <v>3384</v>
      </c>
      <c r="P277" s="626" t="s">
        <v>2172</v>
      </c>
      <c r="Q277" s="732"/>
    </row>
    <row r="278" spans="2:17" s="723" customFormat="1" ht="12" customHeight="1">
      <c r="B278" s="740"/>
      <c r="C278" s="626" t="s">
        <v>2238</v>
      </c>
      <c r="D278" s="626" t="s">
        <v>1769</v>
      </c>
      <c r="E278" s="738" t="s">
        <v>2757</v>
      </c>
      <c r="F278" s="738" t="s">
        <v>3413</v>
      </c>
      <c r="G278" s="732" t="s">
        <v>887</v>
      </c>
      <c r="H278" s="733" t="s">
        <v>459</v>
      </c>
      <c r="I278" s="739"/>
      <c r="J278" s="735" t="s">
        <v>2777</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3412</v>
      </c>
      <c r="G279" s="732" t="s">
        <v>888</v>
      </c>
      <c r="H279" s="733" t="s">
        <v>458</v>
      </c>
      <c r="I279" s="734"/>
      <c r="J279" s="735" t="s">
        <v>2779</v>
      </c>
      <c r="K279" s="736"/>
      <c r="L279" s="727"/>
      <c r="M279" s="728"/>
      <c r="N279" s="626" t="s">
        <v>3363</v>
      </c>
      <c r="O279" s="626" t="s">
        <v>2720</v>
      </c>
      <c r="P279" s="1398" t="s">
        <v>2857</v>
      </c>
      <c r="Q279" s="732"/>
    </row>
    <row r="280" spans="2:17" s="723" customFormat="1" ht="12" customHeight="1">
      <c r="B280" s="740"/>
      <c r="C280" s="626" t="s">
        <v>3382</v>
      </c>
      <c r="D280" s="626" t="s">
        <v>1769</v>
      </c>
      <c r="E280" s="738" t="s">
        <v>3383</v>
      </c>
      <c r="F280" s="738" t="s">
        <v>3412</v>
      </c>
      <c r="G280" s="732" t="s">
        <v>889</v>
      </c>
      <c r="H280" s="733" t="s">
        <v>458</v>
      </c>
      <c r="I280" s="739"/>
      <c r="J280" s="735" t="s">
        <v>2781</v>
      </c>
      <c r="K280" s="736"/>
      <c r="L280" s="727"/>
      <c r="M280" s="728"/>
      <c r="N280" s="737" t="s">
        <v>2784</v>
      </c>
      <c r="O280" s="737" t="s">
        <v>217</v>
      </c>
      <c r="P280" s="626" t="s">
        <v>2174</v>
      </c>
      <c r="Q280" s="732"/>
    </row>
    <row r="281" spans="2:17" s="723" customFormat="1" ht="12" customHeight="1">
      <c r="B281" s="740"/>
      <c r="C281" s="626" t="s">
        <v>3384</v>
      </c>
      <c r="D281" s="626" t="s">
        <v>1745</v>
      </c>
      <c r="E281" s="731" t="s">
        <v>3385</v>
      </c>
      <c r="F281" s="731" t="s">
        <v>3413</v>
      </c>
      <c r="G281" s="732" t="s">
        <v>2663</v>
      </c>
      <c r="H281" s="733" t="s">
        <v>459</v>
      </c>
      <c r="I281" s="734"/>
      <c r="J281" s="735" t="s">
        <v>2783</v>
      </c>
      <c r="K281" s="736"/>
      <c r="L281" s="727"/>
      <c r="M281" s="728"/>
      <c r="N281" s="737" t="s">
        <v>2786</v>
      </c>
      <c r="O281" s="737" t="s">
        <v>217</v>
      </c>
      <c r="P281" s="626" t="s">
        <v>2175</v>
      </c>
      <c r="Q281" s="732"/>
    </row>
    <row r="282" spans="2:17" s="723" customFormat="1" ht="12" customHeight="1">
      <c r="B282" s="740"/>
      <c r="C282" s="626" t="s">
        <v>3386</v>
      </c>
      <c r="D282" s="626" t="s">
        <v>1769</v>
      </c>
      <c r="E282" s="738" t="s">
        <v>177</v>
      </c>
      <c r="F282" s="738" t="s">
        <v>3413</v>
      </c>
      <c r="G282" s="732" t="s">
        <v>2372</v>
      </c>
      <c r="H282" s="733" t="s">
        <v>459</v>
      </c>
      <c r="I282" s="739"/>
      <c r="J282" s="735" t="s">
        <v>2785</v>
      </c>
      <c r="K282" s="736"/>
      <c r="L282" s="727"/>
      <c r="M282" s="728"/>
      <c r="N282" s="737" t="s">
        <v>862</v>
      </c>
      <c r="O282" s="737" t="s">
        <v>2720</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2758</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2758</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2664</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2665</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2666</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2667</v>
      </c>
      <c r="H292" s="733" t="s">
        <v>458</v>
      </c>
      <c r="I292" s="739"/>
      <c r="J292" s="735" t="s">
        <v>86</v>
      </c>
      <c r="K292" s="736"/>
      <c r="L292" s="727"/>
      <c r="M292" s="728"/>
      <c r="N292" s="737" t="s">
        <v>1649</v>
      </c>
      <c r="O292" s="737" t="s">
        <v>2661</v>
      </c>
      <c r="P292" s="626" t="s">
        <v>2186</v>
      </c>
      <c r="Q292" s="732"/>
    </row>
    <row r="293" spans="2:17" s="723" customFormat="1" ht="12" customHeight="1">
      <c r="B293" s="740"/>
      <c r="C293" s="626" t="s">
        <v>1509</v>
      </c>
      <c r="D293" s="626" t="s">
        <v>1769</v>
      </c>
      <c r="E293" s="738" t="s">
        <v>1510</v>
      </c>
      <c r="F293" s="738" t="s">
        <v>3412</v>
      </c>
      <c r="G293" s="732" t="s">
        <v>2668</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3412</v>
      </c>
      <c r="G294" s="732" t="s">
        <v>2480</v>
      </c>
      <c r="H294" s="733" t="s">
        <v>458</v>
      </c>
      <c r="I294" s="734"/>
      <c r="J294" s="735" t="s">
        <v>88</v>
      </c>
      <c r="K294" s="736"/>
      <c r="L294" s="727"/>
      <c r="M294" s="728"/>
      <c r="N294" s="737" t="s">
        <v>1653</v>
      </c>
      <c r="O294" s="737" t="s">
        <v>1515</v>
      </c>
      <c r="P294" s="1397" t="s">
        <v>1218</v>
      </c>
    </row>
    <row r="295" spans="2:17" s="723" customFormat="1" ht="12" customHeight="1">
      <c r="B295" s="740"/>
      <c r="C295" s="626" t="s">
        <v>1513</v>
      </c>
      <c r="D295" s="626" t="s">
        <v>1745</v>
      </c>
      <c r="E295" s="731" t="s">
        <v>1514</v>
      </c>
      <c r="F295" s="731" t="s">
        <v>3412</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2482</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177</v>
      </c>
      <c r="O298" s="737" t="s">
        <v>3386</v>
      </c>
      <c r="P298" s="1397" t="s">
        <v>1218</v>
      </c>
    </row>
    <row r="299" spans="2:17" s="723" customFormat="1" ht="12" customHeight="1">
      <c r="B299" s="740"/>
      <c r="C299" s="626" t="s">
        <v>1519</v>
      </c>
      <c r="D299" s="626" t="s">
        <v>1769</v>
      </c>
      <c r="E299" s="731" t="s">
        <v>2886</v>
      </c>
      <c r="F299" s="731" t="s">
        <v>3412</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2887</v>
      </c>
      <c r="D300" s="626" t="s">
        <v>1632</v>
      </c>
      <c r="E300" s="731" t="s">
        <v>2888</v>
      </c>
      <c r="F300" s="731" t="s">
        <v>3412</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1398" t="s">
        <v>2857</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2856</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2772</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2774</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2854</v>
      </c>
      <c r="K306" s="736"/>
      <c r="L306" s="727"/>
      <c r="M306" s="728"/>
      <c r="N306" s="737" t="s">
        <v>1220</v>
      </c>
      <c r="O306" s="737" t="s">
        <v>350</v>
      </c>
      <c r="P306" s="1397" t="s">
        <v>1218</v>
      </c>
    </row>
    <row r="307" spans="2:17" s="723" customFormat="1" ht="12" customHeight="1">
      <c r="B307" s="740"/>
      <c r="C307" s="626" t="s">
        <v>2898</v>
      </c>
      <c r="D307" s="626" t="s">
        <v>1769</v>
      </c>
      <c r="E307" s="731" t="s">
        <v>2899</v>
      </c>
      <c r="F307" s="731" t="s">
        <v>3412</v>
      </c>
      <c r="G307" s="732" t="s">
        <v>1865</v>
      </c>
      <c r="H307" s="733" t="s">
        <v>458</v>
      </c>
      <c r="I307" s="734"/>
      <c r="J307" s="735" t="s">
        <v>2855</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2725</v>
      </c>
      <c r="H308" s="733" t="s">
        <v>458</v>
      </c>
      <c r="I308" s="734"/>
      <c r="J308" s="735" t="s">
        <v>2771</v>
      </c>
      <c r="K308" s="736"/>
      <c r="L308" s="727"/>
      <c r="M308" s="728"/>
      <c r="N308" s="626" t="s">
        <v>3365</v>
      </c>
      <c r="O308" s="626" t="s">
        <v>1761</v>
      </c>
      <c r="P308" s="1398" t="s">
        <v>2857</v>
      </c>
      <c r="Q308" s="732"/>
    </row>
    <row r="309" spans="2:17" s="723" customFormat="1" ht="12" customHeight="1">
      <c r="B309" s="740"/>
      <c r="C309" s="626" t="s">
        <v>2902</v>
      </c>
      <c r="D309" s="626" t="s">
        <v>1632</v>
      </c>
      <c r="E309" s="731" t="s">
        <v>2903</v>
      </c>
      <c r="F309" s="731" t="s">
        <v>3412</v>
      </c>
      <c r="G309" s="732" t="s">
        <v>2726</v>
      </c>
      <c r="H309" s="733" t="s">
        <v>458</v>
      </c>
      <c r="I309" s="734"/>
      <c r="J309" s="735" t="s">
        <v>2773</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2727</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2728</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2729</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2618</v>
      </c>
      <c r="F314" s="738" t="s">
        <v>3412</v>
      </c>
      <c r="G314" s="732" t="s">
        <v>1580</v>
      </c>
      <c r="H314" s="733" t="s">
        <v>458</v>
      </c>
      <c r="I314" s="739"/>
      <c r="J314" s="735" t="s">
        <v>783</v>
      </c>
      <c r="K314" s="736"/>
      <c r="L314" s="727"/>
      <c r="M314" s="728"/>
      <c r="N314" s="737" t="s">
        <v>715</v>
      </c>
      <c r="O314" s="737" t="s">
        <v>176</v>
      </c>
      <c r="P314" s="1397" t="s">
        <v>1218</v>
      </c>
      <c r="Q314" s="732"/>
    </row>
    <row r="315" spans="2:17" s="723" customFormat="1" ht="12" customHeight="1">
      <c r="B315" s="740"/>
      <c r="C315" s="626" t="s">
        <v>2619</v>
      </c>
      <c r="D315" s="626" t="s">
        <v>1632</v>
      </c>
      <c r="E315" s="738" t="s">
        <v>2620</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2621</v>
      </c>
      <c r="D316" s="626" t="s">
        <v>1745</v>
      </c>
      <c r="E316" s="738" t="s">
        <v>2622</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2623</v>
      </c>
      <c r="D317" s="626" t="s">
        <v>1632</v>
      </c>
      <c r="E317" s="738" t="s">
        <v>2624</v>
      </c>
      <c r="F317" s="738" t="s">
        <v>3412</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2625</v>
      </c>
      <c r="D318" s="626" t="s">
        <v>1769</v>
      </c>
      <c r="E318" s="731" t="s">
        <v>2626</v>
      </c>
      <c r="F318" s="738" t="s">
        <v>3412</v>
      </c>
      <c r="G318" s="732" t="s">
        <v>1584</v>
      </c>
      <c r="H318" s="733" t="s">
        <v>458</v>
      </c>
      <c r="I318" s="739"/>
      <c r="J318" s="735" t="s">
        <v>714</v>
      </c>
      <c r="K318" s="736"/>
      <c r="L318" s="727"/>
      <c r="M318" s="728"/>
      <c r="N318" s="737" t="s">
        <v>2677</v>
      </c>
      <c r="O318" s="737" t="s">
        <v>2972</v>
      </c>
      <c r="P318" s="626" t="s">
        <v>2206</v>
      </c>
      <c r="Q318" s="732"/>
    </row>
    <row r="319" spans="2:17" s="723" customFormat="1" ht="12" customHeight="1">
      <c r="B319" s="740"/>
      <c r="C319" s="626" t="s">
        <v>2627</v>
      </c>
      <c r="D319" s="626" t="s">
        <v>1632</v>
      </c>
      <c r="E319" s="738" t="s">
        <v>2628</v>
      </c>
      <c r="F319" s="731" t="s">
        <v>3412</v>
      </c>
      <c r="G319" s="732" t="s">
        <v>1585</v>
      </c>
      <c r="H319" s="733" t="s">
        <v>458</v>
      </c>
      <c r="I319" s="739"/>
      <c r="J319" s="735" t="s">
        <v>1570</v>
      </c>
      <c r="K319" s="736"/>
      <c r="L319" s="727"/>
      <c r="M319" s="728"/>
      <c r="N319" s="737" t="s">
        <v>2679</v>
      </c>
      <c r="O319" s="737" t="s">
        <v>3390</v>
      </c>
      <c r="P319" s="626" t="s">
        <v>2207</v>
      </c>
      <c r="Q319" s="732"/>
    </row>
    <row r="320" spans="2:17" s="723" customFormat="1" ht="12" customHeight="1">
      <c r="B320" s="740"/>
      <c r="C320" s="626" t="s">
        <v>2629</v>
      </c>
      <c r="D320" s="626" t="s">
        <v>1769</v>
      </c>
      <c r="E320" s="738" t="s">
        <v>1754</v>
      </c>
      <c r="F320" s="738" t="s">
        <v>3413</v>
      </c>
      <c r="G320" s="732" t="s">
        <v>3377</v>
      </c>
      <c r="H320" s="733" t="s">
        <v>459</v>
      </c>
      <c r="I320" s="739"/>
      <c r="J320" s="735" t="s">
        <v>1052</v>
      </c>
      <c r="K320" s="736"/>
      <c r="L320" s="727"/>
      <c r="M320" s="728"/>
      <c r="N320" s="737" t="s">
        <v>367</v>
      </c>
      <c r="O320" s="737" t="s">
        <v>2661</v>
      </c>
      <c r="P320" s="626" t="s">
        <v>2208</v>
      </c>
      <c r="Q320" s="732"/>
    </row>
    <row r="321" spans="2:19" s="723" customFormat="1" ht="12" customHeight="1">
      <c r="B321" s="740"/>
      <c r="C321" s="626" t="s">
        <v>2630</v>
      </c>
      <c r="D321" s="626" t="s">
        <v>1745</v>
      </c>
      <c r="E321" s="738" t="s">
        <v>2631</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2718</v>
      </c>
      <c r="D322" s="626" t="s">
        <v>1769</v>
      </c>
      <c r="E322" s="731" t="s">
        <v>2719</v>
      </c>
      <c r="F322" s="738" t="s">
        <v>3412</v>
      </c>
      <c r="G322" s="732" t="s">
        <v>1587</v>
      </c>
      <c r="H322" s="733" t="s">
        <v>458</v>
      </c>
      <c r="I322" s="739"/>
      <c r="J322" s="735" t="s">
        <v>2676</v>
      </c>
      <c r="K322" s="736"/>
      <c r="L322" s="727"/>
      <c r="M322" s="728"/>
      <c r="N322" s="737" t="s">
        <v>371</v>
      </c>
      <c r="O322" s="737" t="s">
        <v>196</v>
      </c>
      <c r="P322" s="626" t="s">
        <v>2210</v>
      </c>
      <c r="Q322" s="732"/>
    </row>
    <row r="323" spans="2:19" s="723" customFormat="1" ht="12" customHeight="1">
      <c r="B323" s="740"/>
      <c r="C323" s="626" t="s">
        <v>2720</v>
      </c>
      <c r="D323" s="626" t="s">
        <v>1745</v>
      </c>
      <c r="E323" s="738" t="s">
        <v>1978</v>
      </c>
      <c r="F323" s="731" t="s">
        <v>3413</v>
      </c>
      <c r="G323" s="732" t="s">
        <v>2370</v>
      </c>
      <c r="H323" s="733" t="s">
        <v>459</v>
      </c>
      <c r="I323" s="739"/>
      <c r="J323" s="735" t="s">
        <v>2678</v>
      </c>
      <c r="K323" s="736"/>
      <c r="L323" s="727"/>
      <c r="M323" s="728"/>
      <c r="N323" s="737" t="s">
        <v>373</v>
      </c>
      <c r="O323" s="737" t="s">
        <v>3159</v>
      </c>
      <c r="P323" s="626" t="s">
        <v>2211</v>
      </c>
      <c r="Q323" s="732"/>
    </row>
    <row r="324" spans="2:19" s="723" customFormat="1" ht="12" customHeight="1">
      <c r="B324" s="740"/>
      <c r="C324" s="626" t="s">
        <v>2721</v>
      </c>
      <c r="D324" s="626" t="s">
        <v>1769</v>
      </c>
      <c r="E324" s="738" t="s">
        <v>1152</v>
      </c>
      <c r="F324" s="738" t="s">
        <v>3413</v>
      </c>
      <c r="G324" s="732" t="s">
        <v>3374</v>
      </c>
      <c r="H324" s="733" t="s">
        <v>459</v>
      </c>
      <c r="I324" s="739"/>
      <c r="J324" s="735" t="s">
        <v>366</v>
      </c>
      <c r="K324" s="736"/>
      <c r="L324" s="727"/>
      <c r="M324" s="728"/>
      <c r="N324" s="737" t="s">
        <v>375</v>
      </c>
      <c r="O324" s="737" t="s">
        <v>2586</v>
      </c>
      <c r="P324" s="626" t="s">
        <v>2212</v>
      </c>
      <c r="Q324" s="732"/>
    </row>
    <row r="325" spans="2:19" s="723" customFormat="1" ht="12" customHeight="1">
      <c r="B325" s="740"/>
      <c r="C325" s="626" t="s">
        <v>2722</v>
      </c>
      <c r="D325" s="626" t="s">
        <v>1632</v>
      </c>
      <c r="E325" s="738" t="s">
        <v>109</v>
      </c>
      <c r="F325" s="738" t="s">
        <v>3412</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2652</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2872</v>
      </c>
      <c r="O328" s="737" t="s">
        <v>213</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2651</v>
      </c>
      <c r="K330" s="736"/>
      <c r="L330" s="727"/>
      <c r="M330" s="728"/>
      <c r="N330" s="737" t="s">
        <v>171</v>
      </c>
      <c r="O330" s="737" t="s">
        <v>2585</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2653</v>
      </c>
      <c r="K331" s="736"/>
      <c r="L331" s="727"/>
      <c r="M331" s="728"/>
      <c r="N331" s="737" t="s">
        <v>214</v>
      </c>
      <c r="O331" s="737" t="s">
        <v>808</v>
      </c>
      <c r="P331" s="626" t="s">
        <v>1075</v>
      </c>
      <c r="Q331" s="732"/>
    </row>
    <row r="332" spans="2:19" s="723" customFormat="1" ht="12" customHeight="1">
      <c r="B332" s="740"/>
      <c r="C332" s="626" t="s">
        <v>2661</v>
      </c>
      <c r="D332" s="626" t="s">
        <v>1745</v>
      </c>
      <c r="E332" s="731" t="s">
        <v>367</v>
      </c>
      <c r="F332" s="738" t="s">
        <v>3413</v>
      </c>
      <c r="G332" s="732" t="s">
        <v>3114</v>
      </c>
      <c r="H332" s="733" t="s">
        <v>459</v>
      </c>
      <c r="I332" s="739"/>
      <c r="J332" s="735" t="s">
        <v>2871</v>
      </c>
      <c r="K332" s="736"/>
      <c r="L332" s="727"/>
      <c r="M332" s="728"/>
      <c r="N332" s="626" t="s">
        <v>3366</v>
      </c>
      <c r="O332" s="626" t="s">
        <v>2722</v>
      </c>
      <c r="P332" s="1398" t="s">
        <v>2857</v>
      </c>
      <c r="Q332" s="732"/>
    </row>
    <row r="333" spans="2:19" s="723" customFormat="1" ht="12" customHeight="1">
      <c r="B333" s="740"/>
      <c r="C333" s="626" t="s">
        <v>2662</v>
      </c>
      <c r="D333" s="626" t="s">
        <v>1632</v>
      </c>
      <c r="E333" s="738" t="s">
        <v>3156</v>
      </c>
      <c r="F333" s="731" t="s">
        <v>3412</v>
      </c>
      <c r="G333" s="732" t="s">
        <v>3115</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1398" t="s">
        <v>2857</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2634</v>
      </c>
      <c r="O344" s="737" t="s">
        <v>1268</v>
      </c>
      <c r="P344" s="626" t="s">
        <v>1086</v>
      </c>
    </row>
    <row r="345" spans="2:19" s="723" customFormat="1" ht="12" customHeight="1">
      <c r="B345" s="722"/>
      <c r="J345" s="735" t="s">
        <v>51</v>
      </c>
      <c r="K345" s="736"/>
      <c r="L345" s="727"/>
      <c r="M345" s="728"/>
      <c r="N345" s="626" t="s">
        <v>3368</v>
      </c>
      <c r="O345" s="626" t="s">
        <v>808</v>
      </c>
      <c r="P345" s="1398" t="s">
        <v>2857</v>
      </c>
    </row>
    <row r="346" spans="2:19" s="723" customFormat="1" ht="12" customHeight="1">
      <c r="B346" s="722"/>
      <c r="J346" s="735" t="s">
        <v>53</v>
      </c>
      <c r="K346" s="736"/>
      <c r="L346" s="727"/>
      <c r="M346" s="728"/>
      <c r="N346" s="737" t="s">
        <v>2639</v>
      </c>
      <c r="O346" s="737" t="s">
        <v>1899</v>
      </c>
      <c r="P346" s="626" t="s">
        <v>1087</v>
      </c>
    </row>
    <row r="347" spans="2:19" s="723" customFormat="1" ht="12" customHeight="1">
      <c r="B347" s="722"/>
      <c r="J347" s="735" t="s">
        <v>2632</v>
      </c>
      <c r="K347" s="736"/>
      <c r="L347" s="727"/>
      <c r="M347" s="728"/>
      <c r="N347" s="737" t="s">
        <v>2641</v>
      </c>
      <c r="O347" s="737" t="s">
        <v>1899</v>
      </c>
      <c r="P347" s="626" t="s">
        <v>1088</v>
      </c>
    </row>
    <row r="348" spans="2:19" s="723" customFormat="1" ht="12" customHeight="1">
      <c r="B348" s="722"/>
      <c r="J348" s="735" t="s">
        <v>2633</v>
      </c>
      <c r="K348" s="736"/>
      <c r="L348" s="727"/>
      <c r="M348" s="728"/>
      <c r="N348" s="737" t="s">
        <v>906</v>
      </c>
      <c r="O348" s="737" t="s">
        <v>127</v>
      </c>
      <c r="P348" s="626" t="s">
        <v>1089</v>
      </c>
    </row>
    <row r="349" spans="2:19" s="723" customFormat="1" ht="12" customHeight="1">
      <c r="B349" s="722"/>
      <c r="J349" s="735" t="s">
        <v>2635</v>
      </c>
      <c r="K349" s="736"/>
      <c r="L349" s="727"/>
      <c r="M349" s="728"/>
      <c r="N349" s="741" t="s">
        <v>878</v>
      </c>
      <c r="O349" s="737" t="s">
        <v>808</v>
      </c>
      <c r="P349" s="626" t="s">
        <v>1090</v>
      </c>
    </row>
    <row r="350" spans="2:19" s="723" customFormat="1" ht="12" customHeight="1">
      <c r="B350" s="722"/>
      <c r="J350" s="735" t="s">
        <v>2636</v>
      </c>
      <c r="K350" s="736"/>
      <c r="L350" s="727"/>
      <c r="M350" s="728"/>
      <c r="N350" s="737" t="s">
        <v>2637</v>
      </c>
      <c r="O350" s="737" t="s">
        <v>3266</v>
      </c>
      <c r="P350" s="626" t="s">
        <v>1091</v>
      </c>
    </row>
    <row r="351" spans="2:19" s="723" customFormat="1" ht="12" customHeight="1">
      <c r="B351" s="722"/>
      <c r="J351" s="735" t="s">
        <v>2638</v>
      </c>
      <c r="K351" s="736"/>
      <c r="L351" s="727"/>
      <c r="M351" s="728"/>
      <c r="N351" s="737" t="s">
        <v>1553</v>
      </c>
      <c r="O351" s="737" t="s">
        <v>1899</v>
      </c>
      <c r="P351" s="626" t="s">
        <v>1092</v>
      </c>
    </row>
    <row r="352" spans="2:19" s="723" customFormat="1" ht="12" customHeight="1">
      <c r="B352" s="722"/>
      <c r="J352" s="735" t="s">
        <v>2640</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1398" t="s">
        <v>2857</v>
      </c>
    </row>
    <row r="354" spans="2:16" s="723" customFormat="1" ht="12" customHeight="1">
      <c r="B354" s="722"/>
      <c r="J354" s="735" t="s">
        <v>1552</v>
      </c>
      <c r="K354" s="736"/>
      <c r="L354" s="727"/>
      <c r="M354" s="728"/>
      <c r="N354" s="626" t="s">
        <v>3370</v>
      </c>
      <c r="O354" s="626" t="s">
        <v>3320</v>
      </c>
      <c r="P354" s="1398" t="s">
        <v>2857</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217</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2601</v>
      </c>
      <c r="O362" s="737" t="s">
        <v>3271</v>
      </c>
      <c r="P362" s="728" t="s">
        <v>1101</v>
      </c>
    </row>
    <row r="363" spans="2:16" s="723" customFormat="1" ht="12" customHeight="1">
      <c r="B363" s="722"/>
      <c r="J363" s="735" t="s">
        <v>2600</v>
      </c>
      <c r="K363" s="736"/>
      <c r="L363" s="727"/>
      <c r="M363" s="728"/>
      <c r="N363" s="737" t="s">
        <v>2604</v>
      </c>
      <c r="O363" s="737" t="s">
        <v>848</v>
      </c>
      <c r="P363" s="728" t="s">
        <v>1102</v>
      </c>
    </row>
    <row r="364" spans="2:16" s="723" customFormat="1" ht="12" customHeight="1">
      <c r="B364" s="722"/>
      <c r="J364" s="735" t="s">
        <v>2602</v>
      </c>
      <c r="K364" s="736"/>
      <c r="L364" s="727"/>
      <c r="M364" s="728"/>
      <c r="N364" s="737" t="s">
        <v>2606</v>
      </c>
      <c r="O364" s="737" t="s">
        <v>1748</v>
      </c>
      <c r="P364" s="728" t="s">
        <v>1103</v>
      </c>
    </row>
    <row r="365" spans="2:16" s="723" customFormat="1" ht="12" customHeight="1">
      <c r="B365" s="722"/>
      <c r="J365" s="735" t="s">
        <v>2603</v>
      </c>
      <c r="K365" s="736"/>
      <c r="L365" s="727"/>
      <c r="M365" s="728"/>
      <c r="N365" s="737" t="s">
        <v>2608</v>
      </c>
      <c r="O365" s="737" t="s">
        <v>1751</v>
      </c>
      <c r="P365" s="728" t="s">
        <v>1104</v>
      </c>
    </row>
    <row r="366" spans="2:16" s="723" customFormat="1" ht="12" customHeight="1">
      <c r="B366" s="722"/>
      <c r="J366" s="735" t="s">
        <v>2605</v>
      </c>
      <c r="K366" s="736"/>
      <c r="L366" s="727"/>
      <c r="M366" s="728"/>
      <c r="N366" s="737" t="s">
        <v>2644</v>
      </c>
      <c r="O366" s="737" t="s">
        <v>350</v>
      </c>
      <c r="P366" s="728" t="s">
        <v>1105</v>
      </c>
    </row>
    <row r="367" spans="2:16" s="723" customFormat="1" ht="12" customHeight="1">
      <c r="B367" s="722"/>
      <c r="J367" s="735" t="s">
        <v>2607</v>
      </c>
      <c r="K367" s="736"/>
      <c r="L367" s="727"/>
      <c r="M367" s="728"/>
      <c r="N367" s="737" t="s">
        <v>2647</v>
      </c>
      <c r="O367" s="737" t="s">
        <v>3384</v>
      </c>
      <c r="P367" s="728" t="s">
        <v>1106</v>
      </c>
    </row>
    <row r="368" spans="2:16" s="723" customFormat="1" ht="12" customHeight="1">
      <c r="B368" s="722"/>
      <c r="J368" s="735" t="s">
        <v>2643</v>
      </c>
      <c r="K368" s="736"/>
      <c r="L368" s="727"/>
      <c r="M368" s="728"/>
      <c r="N368" s="737" t="s">
        <v>2649</v>
      </c>
      <c r="O368" s="737" t="s">
        <v>1748</v>
      </c>
      <c r="P368" s="728" t="s">
        <v>1107</v>
      </c>
    </row>
    <row r="369" spans="2:16" s="723" customFormat="1" ht="12" customHeight="1">
      <c r="B369" s="722"/>
      <c r="J369" s="735" t="s">
        <v>2645</v>
      </c>
      <c r="K369" s="736"/>
      <c r="L369" s="727"/>
      <c r="M369" s="728"/>
      <c r="N369" s="626" t="s">
        <v>2972</v>
      </c>
      <c r="O369" s="626" t="s">
        <v>3317</v>
      </c>
      <c r="P369" s="1398" t="s">
        <v>2857</v>
      </c>
    </row>
    <row r="370" spans="2:16" s="723" customFormat="1" ht="12" customHeight="1">
      <c r="B370" s="722"/>
      <c r="J370" s="735" t="s">
        <v>2646</v>
      </c>
      <c r="K370" s="736"/>
      <c r="L370" s="727"/>
      <c r="M370" s="728"/>
      <c r="N370" s="626" t="s">
        <v>3371</v>
      </c>
      <c r="O370" s="626" t="s">
        <v>2891</v>
      </c>
      <c r="P370" s="1398" t="s">
        <v>2857</v>
      </c>
    </row>
    <row r="371" spans="2:16" s="723" customFormat="1" ht="12" customHeight="1">
      <c r="B371" s="722"/>
      <c r="J371" s="735" t="s">
        <v>2648</v>
      </c>
      <c r="K371" s="736"/>
      <c r="L371" s="727"/>
      <c r="M371" s="728"/>
      <c r="N371" s="626" t="s">
        <v>3372</v>
      </c>
      <c r="O371" s="626" t="s">
        <v>3268</v>
      </c>
      <c r="P371" s="1398" t="s">
        <v>2857</v>
      </c>
    </row>
    <row r="372" spans="2:16" s="723" customFormat="1" ht="12" customHeight="1">
      <c r="B372" s="722"/>
      <c r="J372" s="735" t="s">
        <v>2650</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2720</v>
      </c>
      <c r="P374" s="1398" t="s">
        <v>2857</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173</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98" t="s">
        <v>2857</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2587</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1397"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2721</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2587</v>
      </c>
      <c r="P409" s="728" t="s">
        <v>1141</v>
      </c>
    </row>
    <row r="410" spans="2:16" s="723" customFormat="1" ht="12" customHeight="1">
      <c r="B410" s="722"/>
      <c r="J410" s="735" t="s">
        <v>1380</v>
      </c>
      <c r="K410" s="736"/>
      <c r="L410" s="727"/>
      <c r="M410" s="728"/>
      <c r="N410" s="626" t="s">
        <v>1454</v>
      </c>
      <c r="O410" s="626" t="s">
        <v>808</v>
      </c>
      <c r="P410" s="1398" t="s">
        <v>2857</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2621</v>
      </c>
      <c r="P414" s="1398" t="s">
        <v>2857</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2718</v>
      </c>
      <c r="P420" s="1398" t="s">
        <v>2857</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2717</v>
      </c>
      <c r="O430" s="737" t="s">
        <v>1517</v>
      </c>
      <c r="P430" s="728" t="s">
        <v>2255</v>
      </c>
    </row>
    <row r="431" spans="2:16" s="723" customFormat="1" ht="12" customHeight="1">
      <c r="B431" s="722"/>
      <c r="J431" s="735" t="s">
        <v>2414</v>
      </c>
      <c r="K431" s="736"/>
      <c r="L431" s="727"/>
      <c r="M431" s="728"/>
      <c r="N431" s="737" t="s">
        <v>1437</v>
      </c>
      <c r="O431" s="737" t="s">
        <v>2621</v>
      </c>
      <c r="P431" s="728" t="s">
        <v>2256</v>
      </c>
    </row>
    <row r="432" spans="2:16" s="723" customFormat="1" ht="12" customHeight="1">
      <c r="B432" s="722"/>
      <c r="J432" s="735" t="s">
        <v>3015</v>
      </c>
      <c r="K432" s="736"/>
      <c r="L432" s="727"/>
      <c r="M432" s="728"/>
      <c r="N432" s="737" t="s">
        <v>447</v>
      </c>
      <c r="O432" s="737" t="s">
        <v>201</v>
      </c>
      <c r="P432" s="728" t="s">
        <v>2257</v>
      </c>
    </row>
    <row r="433" spans="2:16" s="723" customFormat="1" ht="12" customHeight="1">
      <c r="B433" s="722"/>
      <c r="J433" s="735" t="s">
        <v>2716</v>
      </c>
      <c r="K433" s="736"/>
      <c r="L433" s="727"/>
      <c r="M433" s="728"/>
      <c r="N433" s="626" t="s">
        <v>1457</v>
      </c>
      <c r="O433" s="626" t="s">
        <v>1504</v>
      </c>
      <c r="P433" s="1398" t="s">
        <v>2857</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2655</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2654</v>
      </c>
      <c r="K438" s="736"/>
      <c r="L438" s="727"/>
      <c r="M438" s="728"/>
      <c r="N438" s="737" t="s">
        <v>2325</v>
      </c>
      <c r="O438" s="737" t="s">
        <v>2625</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2879</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196</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196</v>
      </c>
      <c r="P446" s="728" t="s">
        <v>2270</v>
      </c>
    </row>
    <row r="447" spans="2:16" s="723" customFormat="1" ht="12" customHeight="1">
      <c r="B447" s="722"/>
      <c r="J447" s="735" t="s">
        <v>3053</v>
      </c>
      <c r="K447" s="736"/>
      <c r="L447" s="727"/>
      <c r="M447" s="728"/>
      <c r="N447" s="626" t="s">
        <v>1458</v>
      </c>
      <c r="O447" s="626" t="s">
        <v>1977</v>
      </c>
      <c r="P447" s="1398" t="s">
        <v>2857</v>
      </c>
    </row>
    <row r="448" spans="2:16" s="723" customFormat="1" ht="12" customHeight="1">
      <c r="B448" s="722"/>
      <c r="J448" s="735" t="s">
        <v>3034</v>
      </c>
      <c r="K448" s="736"/>
      <c r="L448" s="727"/>
      <c r="M448" s="728"/>
      <c r="N448" s="737" t="s">
        <v>204</v>
      </c>
      <c r="O448" s="737" t="s">
        <v>2889</v>
      </c>
      <c r="P448" s="728" t="s">
        <v>204</v>
      </c>
    </row>
    <row r="449" spans="2:16" s="723" customFormat="1" ht="12" customHeight="1">
      <c r="B449" s="722"/>
      <c r="J449" s="735" t="s">
        <v>3035</v>
      </c>
      <c r="K449" s="736"/>
      <c r="L449" s="727"/>
      <c r="M449" s="728"/>
      <c r="N449" s="626" t="s">
        <v>1459</v>
      </c>
      <c r="O449" s="626" t="s">
        <v>3265</v>
      </c>
      <c r="P449" s="1398" t="s">
        <v>2857</v>
      </c>
    </row>
    <row r="450" spans="2:16" s="723" customFormat="1" ht="12" customHeight="1">
      <c r="B450" s="722"/>
      <c r="J450" s="735" t="s">
        <v>3037</v>
      </c>
      <c r="K450" s="736"/>
      <c r="L450" s="727"/>
      <c r="M450" s="728"/>
      <c r="N450" s="737" t="s">
        <v>2686</v>
      </c>
      <c r="O450" s="737" t="s">
        <v>3159</v>
      </c>
      <c r="P450" s="728" t="s">
        <v>2271</v>
      </c>
    </row>
    <row r="451" spans="2:16" s="723" customFormat="1" ht="12" customHeight="1">
      <c r="B451" s="722"/>
      <c r="J451" s="735" t="s">
        <v>676</v>
      </c>
      <c r="K451" s="736"/>
      <c r="L451" s="727"/>
      <c r="M451" s="728"/>
      <c r="N451" s="626" t="s">
        <v>1460</v>
      </c>
      <c r="O451" s="626" t="s">
        <v>175</v>
      </c>
      <c r="P451" s="1398" t="s">
        <v>2857</v>
      </c>
    </row>
    <row r="452" spans="2:16" s="723" customFormat="1" ht="12" customHeight="1">
      <c r="B452" s="722"/>
      <c r="J452" s="735" t="s">
        <v>203</v>
      </c>
      <c r="K452" s="736"/>
      <c r="L452" s="727"/>
      <c r="M452" s="728"/>
      <c r="N452" s="737" t="s">
        <v>2688</v>
      </c>
      <c r="O452" s="737" t="s">
        <v>3159</v>
      </c>
      <c r="P452" s="728" t="s">
        <v>2272</v>
      </c>
    </row>
    <row r="453" spans="2:16" s="723" customFormat="1" ht="12" customHeight="1">
      <c r="B453" s="722"/>
      <c r="J453" s="735" t="s">
        <v>2830</v>
      </c>
      <c r="K453" s="736"/>
      <c r="L453" s="727"/>
      <c r="M453" s="728"/>
      <c r="N453" s="737" t="s">
        <v>355</v>
      </c>
      <c r="O453" s="737" t="s">
        <v>1765</v>
      </c>
      <c r="P453" s="728" t="s">
        <v>2273</v>
      </c>
    </row>
    <row r="454" spans="2:16" s="723" customFormat="1" ht="12" customHeight="1">
      <c r="B454" s="722"/>
      <c r="J454" s="735" t="s">
        <v>2687</v>
      </c>
      <c r="K454" s="736"/>
      <c r="L454" s="727"/>
      <c r="M454" s="728"/>
      <c r="N454" s="737" t="s">
        <v>1559</v>
      </c>
      <c r="O454" s="737" t="s">
        <v>1266</v>
      </c>
      <c r="P454" s="728" t="s">
        <v>2274</v>
      </c>
    </row>
    <row r="455" spans="2:16" s="723" customFormat="1" ht="12" customHeight="1">
      <c r="B455" s="722"/>
      <c r="J455" s="735" t="s">
        <v>2689</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2629</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2721</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2517</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98" t="s">
        <v>2857</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2708</v>
      </c>
      <c r="O471" s="737" t="s">
        <v>2720</v>
      </c>
      <c r="P471" s="728" t="s">
        <v>2289</v>
      </c>
    </row>
    <row r="472" spans="2:16" s="723" customFormat="1" ht="12" customHeight="1">
      <c r="B472" s="722"/>
      <c r="J472" s="735" t="s">
        <v>1664</v>
      </c>
      <c r="K472" s="736"/>
      <c r="L472" s="727"/>
      <c r="M472" s="728"/>
      <c r="N472" s="737" t="s">
        <v>80</v>
      </c>
      <c r="O472" s="737" t="s">
        <v>2625</v>
      </c>
      <c r="P472" s="728" t="s">
        <v>2290</v>
      </c>
    </row>
    <row r="473" spans="2:16" s="723" customFormat="1" ht="12" customHeight="1">
      <c r="B473" s="722"/>
      <c r="J473" s="735" t="s">
        <v>2706</v>
      </c>
      <c r="K473" s="736"/>
      <c r="L473" s="727"/>
      <c r="M473" s="728"/>
      <c r="N473" s="737" t="s">
        <v>812</v>
      </c>
      <c r="O473" s="737" t="s">
        <v>3265</v>
      </c>
      <c r="P473" s="728" t="s">
        <v>812</v>
      </c>
    </row>
    <row r="474" spans="2:16" s="723" customFormat="1" ht="12" customHeight="1">
      <c r="B474" s="722"/>
      <c r="J474" s="735" t="s">
        <v>2707</v>
      </c>
      <c r="K474" s="736"/>
      <c r="L474" s="727"/>
      <c r="M474" s="728"/>
      <c r="N474" s="737" t="s">
        <v>82</v>
      </c>
      <c r="O474" s="737" t="s">
        <v>192</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1398" t="s">
        <v>2857</v>
      </c>
    </row>
    <row r="477" spans="2:16" s="723" customFormat="1" ht="12" customHeight="1">
      <c r="B477" s="722"/>
      <c r="J477" s="735" t="s">
        <v>3177</v>
      </c>
      <c r="K477" s="736"/>
      <c r="L477" s="727"/>
      <c r="M477" s="728"/>
      <c r="N477" s="626" t="s">
        <v>1463</v>
      </c>
      <c r="O477" s="626" t="s">
        <v>1518</v>
      </c>
      <c r="P477" s="1398" t="s">
        <v>2857</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2718</v>
      </c>
      <c r="P487" s="1398" t="s">
        <v>2857</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2720</v>
      </c>
      <c r="P489" s="1397" t="s">
        <v>1218</v>
      </c>
    </row>
    <row r="490" spans="2:16" s="723" customFormat="1" ht="12" customHeight="1">
      <c r="B490" s="722"/>
      <c r="J490" s="735" t="s">
        <v>1965</v>
      </c>
      <c r="K490" s="736"/>
      <c r="L490" s="727"/>
      <c r="M490" s="728"/>
      <c r="N490" s="737" t="s">
        <v>1222</v>
      </c>
      <c r="O490" s="737" t="s">
        <v>1268</v>
      </c>
      <c r="P490" s="1397"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2721</v>
      </c>
      <c r="P493" s="728" t="s">
        <v>2305</v>
      </c>
    </row>
    <row r="494" spans="2:16" s="723" customFormat="1" ht="12" customHeight="1">
      <c r="B494" s="722"/>
      <c r="J494" s="735" t="s">
        <v>1216</v>
      </c>
      <c r="K494" s="736"/>
      <c r="L494" s="727"/>
      <c r="M494" s="728"/>
      <c r="N494" s="737" t="s">
        <v>273</v>
      </c>
      <c r="O494" s="737" t="s">
        <v>2587</v>
      </c>
      <c r="P494" s="728" t="s">
        <v>2306</v>
      </c>
    </row>
    <row r="495" spans="2:16" s="723" customFormat="1" ht="12" customHeight="1">
      <c r="B495" s="722"/>
      <c r="J495" s="735" t="s">
        <v>125</v>
      </c>
      <c r="K495" s="736"/>
      <c r="L495" s="727"/>
      <c r="M495" s="728"/>
      <c r="N495" s="737" t="s">
        <v>1962</v>
      </c>
      <c r="O495" s="737" t="s">
        <v>2720</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2894</v>
      </c>
      <c r="P501" s="728" t="s">
        <v>2312</v>
      </c>
    </row>
    <row r="502" spans="2:16" s="723" customFormat="1" ht="12" customHeight="1">
      <c r="B502" s="722"/>
      <c r="J502" s="735" t="s">
        <v>1832</v>
      </c>
      <c r="K502" s="736"/>
      <c r="L502" s="727"/>
      <c r="M502" s="728"/>
      <c r="N502" s="737" t="s">
        <v>1836</v>
      </c>
      <c r="O502" s="737" t="s">
        <v>2587</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3274</v>
      </c>
      <c r="O504" s="737" t="s">
        <v>2619</v>
      </c>
      <c r="P504" s="728" t="s">
        <v>2315</v>
      </c>
    </row>
    <row r="505" spans="2:16" s="723" customFormat="1" ht="12" customHeight="1">
      <c r="B505" s="722"/>
      <c r="J505" s="735" t="s">
        <v>1837</v>
      </c>
      <c r="K505" s="736"/>
      <c r="L505" s="727"/>
      <c r="M505" s="728"/>
      <c r="N505" s="626" t="s">
        <v>1465</v>
      </c>
      <c r="O505" s="626" t="s">
        <v>3268</v>
      </c>
      <c r="P505" s="1398" t="s">
        <v>2857</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2587</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1398" t="s">
        <v>2857</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97"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2794</v>
      </c>
      <c r="O534" s="737" t="s">
        <v>1504</v>
      </c>
      <c r="P534" s="728" t="s">
        <v>939</v>
      </c>
    </row>
    <row r="535" spans="2:16" s="723" customFormat="1" ht="12" customHeight="1">
      <c r="B535" s="722"/>
      <c r="J535" s="735" t="s">
        <v>708</v>
      </c>
      <c r="K535" s="736"/>
      <c r="L535" s="727"/>
      <c r="M535" s="728"/>
      <c r="N535" s="737" t="s">
        <v>2238</v>
      </c>
      <c r="O535" s="737" t="s">
        <v>2721</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98" t="s">
        <v>2857</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2793</v>
      </c>
      <c r="K540" s="736"/>
      <c r="L540" s="727"/>
      <c r="M540" s="728"/>
      <c r="N540" s="626" t="s">
        <v>1467</v>
      </c>
      <c r="O540" s="626" t="s">
        <v>192</v>
      </c>
      <c r="P540" s="1398" t="s">
        <v>2857</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2811</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2810</v>
      </c>
      <c r="K551" s="736"/>
      <c r="L551" s="727"/>
      <c r="M551" s="728"/>
      <c r="N551" s="737" t="s">
        <v>3013</v>
      </c>
      <c r="O551" s="737" t="s">
        <v>1627</v>
      </c>
      <c r="P551" s="728" t="s">
        <v>953</v>
      </c>
    </row>
    <row r="552" spans="2:16" s="723" customFormat="1" ht="12" customHeight="1">
      <c r="B552" s="722"/>
      <c r="J552" s="735" t="s">
        <v>2812</v>
      </c>
      <c r="K552" s="736"/>
      <c r="L552" s="727"/>
      <c r="M552" s="728"/>
      <c r="N552" s="626" t="s">
        <v>3013</v>
      </c>
      <c r="O552" s="626" t="s">
        <v>1627</v>
      </c>
      <c r="P552" s="1398" t="s">
        <v>2857</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192</v>
      </c>
      <c r="P555" s="1397"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1398" t="s">
        <v>2857</v>
      </c>
    </row>
    <row r="566" spans="2:16" s="723" customFormat="1" ht="12" customHeight="1">
      <c r="B566" s="722"/>
      <c r="J566" s="735" t="s">
        <v>2043</v>
      </c>
      <c r="K566" s="736"/>
      <c r="L566" s="727"/>
      <c r="M566" s="728"/>
      <c r="N566" s="626" t="s">
        <v>1469</v>
      </c>
      <c r="O566" s="626" t="s">
        <v>808</v>
      </c>
      <c r="P566" s="1398" t="s">
        <v>2857</v>
      </c>
    </row>
    <row r="567" spans="2:16" s="723" customFormat="1" ht="12" customHeight="1">
      <c r="B567" s="722"/>
      <c r="J567" s="735" t="s">
        <v>2045</v>
      </c>
      <c r="K567" s="736"/>
      <c r="L567" s="727"/>
      <c r="M567" s="728"/>
      <c r="N567" s="626" t="s">
        <v>1470</v>
      </c>
      <c r="O567" s="626" t="s">
        <v>808</v>
      </c>
      <c r="P567" s="1398" t="s">
        <v>2857</v>
      </c>
    </row>
    <row r="568" spans="2:16" s="723" customFormat="1" ht="12" customHeight="1">
      <c r="B568" s="722"/>
      <c r="J568" s="735" t="s">
        <v>2047</v>
      </c>
      <c r="K568" s="736"/>
      <c r="L568" s="727"/>
      <c r="M568" s="728"/>
      <c r="N568" s="737" t="s">
        <v>2518</v>
      </c>
      <c r="O568" s="737" t="s">
        <v>3388</v>
      </c>
      <c r="P568" s="728" t="s">
        <v>965</v>
      </c>
    </row>
    <row r="569" spans="2:16" s="723" customFormat="1" ht="12" customHeight="1">
      <c r="B569" s="722"/>
      <c r="J569" s="735" t="s">
        <v>3391</v>
      </c>
      <c r="K569" s="736"/>
      <c r="L569" s="727"/>
      <c r="M569" s="728"/>
      <c r="N569" s="737" t="s">
        <v>2529</v>
      </c>
      <c r="O569" s="737" t="s">
        <v>110</v>
      </c>
      <c r="P569" s="728" t="s">
        <v>966</v>
      </c>
    </row>
    <row r="570" spans="2:16" s="723" customFormat="1" ht="12" customHeight="1">
      <c r="B570" s="722"/>
      <c r="J570" s="735" t="s">
        <v>3221</v>
      </c>
      <c r="K570" s="736"/>
      <c r="L570" s="727"/>
      <c r="M570" s="728"/>
      <c r="N570" s="737" t="s">
        <v>2531</v>
      </c>
      <c r="O570" s="737" t="s">
        <v>2970</v>
      </c>
      <c r="P570" s="728" t="s">
        <v>967</v>
      </c>
    </row>
    <row r="571" spans="2:16" s="723" customFormat="1" ht="12" customHeight="1">
      <c r="B571" s="722"/>
      <c r="J571" s="735" t="s">
        <v>2528</v>
      </c>
      <c r="K571" s="736"/>
      <c r="L571" s="727"/>
      <c r="M571" s="728"/>
      <c r="N571" s="737" t="s">
        <v>2534</v>
      </c>
      <c r="O571" s="737" t="s">
        <v>2970</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3388</v>
      </c>
      <c r="O575" s="737" t="s">
        <v>112</v>
      </c>
      <c r="P575" s="728" t="s">
        <v>972</v>
      </c>
    </row>
    <row r="576" spans="2:16" s="723" customFormat="1" ht="12" customHeight="1">
      <c r="B576" s="722"/>
      <c r="J576" s="735" t="s">
        <v>2537</v>
      </c>
      <c r="K576" s="736"/>
      <c r="L576" s="727"/>
      <c r="M576" s="728"/>
      <c r="N576" s="737" t="s">
        <v>2657</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3389</v>
      </c>
      <c r="O578" s="737" t="s">
        <v>1754</v>
      </c>
      <c r="P578" s="728" t="s">
        <v>975</v>
      </c>
    </row>
    <row r="579" spans="2:16" s="723" customFormat="1" ht="12" customHeight="1">
      <c r="B579" s="722"/>
      <c r="J579" s="735" t="s">
        <v>2542</v>
      </c>
      <c r="K579" s="736"/>
      <c r="L579" s="727"/>
      <c r="M579" s="728"/>
      <c r="N579" s="737" t="s">
        <v>2322</v>
      </c>
      <c r="O579" s="737" t="s">
        <v>2887</v>
      </c>
      <c r="P579" s="728" t="s">
        <v>976</v>
      </c>
    </row>
    <row r="580" spans="2:16" s="723" customFormat="1" ht="12" customHeight="1">
      <c r="B580" s="722"/>
      <c r="J580" s="735" t="s">
        <v>2508</v>
      </c>
      <c r="K580" s="736"/>
      <c r="L580" s="727"/>
      <c r="M580" s="728"/>
      <c r="N580" s="737" t="s">
        <v>1225</v>
      </c>
      <c r="O580" s="737" t="s">
        <v>2894</v>
      </c>
      <c r="P580" s="1397"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98" t="s">
        <v>2857</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2769</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2836</v>
      </c>
      <c r="O592" s="737" t="s">
        <v>2236</v>
      </c>
      <c r="P592" s="728" t="s">
        <v>985</v>
      </c>
    </row>
    <row r="593" spans="2:20" s="723" customFormat="1" ht="12" customHeight="1">
      <c r="B593" s="722"/>
      <c r="J593" s="735" t="s">
        <v>2835</v>
      </c>
      <c r="K593" s="736"/>
      <c r="L593" s="727"/>
      <c r="M593" s="728"/>
      <c r="N593" s="737" t="s">
        <v>2838</v>
      </c>
      <c r="O593" s="737" t="s">
        <v>1759</v>
      </c>
      <c r="P593" s="728" t="s">
        <v>986</v>
      </c>
    </row>
    <row r="594" spans="2:20" s="723" customFormat="1" ht="12" customHeight="1">
      <c r="B594" s="722"/>
      <c r="J594" s="735" t="s">
        <v>2837</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2839</v>
      </c>
      <c r="K595" s="736"/>
      <c r="L595" s="727"/>
      <c r="M595" s="728"/>
      <c r="N595" s="737" t="s">
        <v>1885</v>
      </c>
      <c r="O595" s="737" t="s">
        <v>352</v>
      </c>
      <c r="P595" s="728" t="s">
        <v>988</v>
      </c>
      <c r="R595" s="626" t="s">
        <v>3359</v>
      </c>
      <c r="S595" s="626" t="s">
        <v>808</v>
      </c>
      <c r="T595" s="1398" t="s">
        <v>2857</v>
      </c>
    </row>
    <row r="596" spans="2:20" s="723" customFormat="1" ht="12" customHeight="1">
      <c r="B596" s="722"/>
      <c r="J596" s="735" t="s">
        <v>1884</v>
      </c>
      <c r="K596" s="736"/>
      <c r="L596" s="727"/>
      <c r="M596" s="728"/>
      <c r="N596" s="626" t="s">
        <v>1472</v>
      </c>
      <c r="O596" s="626" t="s">
        <v>2349</v>
      </c>
      <c r="P596" s="1398" t="s">
        <v>2857</v>
      </c>
      <c r="R596" s="626" t="s">
        <v>3360</v>
      </c>
      <c r="S596" s="626" t="s">
        <v>351</v>
      </c>
      <c r="T596" s="1398" t="s">
        <v>2857</v>
      </c>
    </row>
    <row r="597" spans="2:20" s="723" customFormat="1" ht="12" customHeight="1">
      <c r="B597" s="722"/>
      <c r="J597" s="735" t="s">
        <v>1886</v>
      </c>
      <c r="K597" s="736"/>
      <c r="L597" s="727"/>
      <c r="M597" s="728"/>
      <c r="N597" s="737" t="s">
        <v>1887</v>
      </c>
      <c r="O597" s="737" t="s">
        <v>808</v>
      </c>
      <c r="P597" s="728" t="s">
        <v>989</v>
      </c>
      <c r="R597" s="626" t="s">
        <v>3361</v>
      </c>
      <c r="S597" s="626" t="s">
        <v>3265</v>
      </c>
      <c r="T597" s="1398" t="s">
        <v>2857</v>
      </c>
    </row>
    <row r="598" spans="2:20" s="723" customFormat="1" ht="12" customHeight="1">
      <c r="B598" s="722"/>
      <c r="J598" s="735" t="s">
        <v>2015</v>
      </c>
      <c r="K598" s="736"/>
      <c r="L598" s="727"/>
      <c r="M598" s="728"/>
      <c r="N598" s="737" t="s">
        <v>2016</v>
      </c>
      <c r="O598" s="737" t="s">
        <v>347</v>
      </c>
      <c r="P598" s="728" t="s">
        <v>990</v>
      </c>
      <c r="R598" s="626" t="s">
        <v>3362</v>
      </c>
      <c r="S598" s="626"/>
      <c r="T598" s="1398" t="s">
        <v>2857</v>
      </c>
    </row>
    <row r="599" spans="2:20" s="723" customFormat="1" ht="12" customHeight="1">
      <c r="B599" s="722"/>
      <c r="J599" s="735" t="s">
        <v>2017</v>
      </c>
      <c r="K599" s="736"/>
      <c r="L599" s="727"/>
      <c r="M599" s="728"/>
      <c r="N599" s="737" t="s">
        <v>2768</v>
      </c>
      <c r="O599" s="737" t="s">
        <v>1350</v>
      </c>
      <c r="P599" s="728" t="s">
        <v>991</v>
      </c>
      <c r="R599" s="626" t="s">
        <v>3363</v>
      </c>
      <c r="S599" s="626" t="s">
        <v>2720</v>
      </c>
      <c r="T599" s="1398" t="s">
        <v>2857</v>
      </c>
    </row>
    <row r="600" spans="2:20" s="723" customFormat="1" ht="12" customHeight="1">
      <c r="B600" s="722"/>
      <c r="J600" s="735" t="s">
        <v>2767</v>
      </c>
      <c r="K600" s="736"/>
      <c r="L600" s="727"/>
      <c r="M600" s="728"/>
      <c r="N600" s="737" t="s">
        <v>2579</v>
      </c>
      <c r="O600" s="737" t="s">
        <v>2662</v>
      </c>
      <c r="P600" s="728" t="s">
        <v>992</v>
      </c>
      <c r="R600" s="626" t="s">
        <v>3364</v>
      </c>
      <c r="S600" s="626" t="s">
        <v>3265</v>
      </c>
      <c r="T600" s="1398" t="s">
        <v>2857</v>
      </c>
    </row>
    <row r="601" spans="2:20" s="723" customFormat="1" ht="12" customHeight="1">
      <c r="B601" s="722"/>
      <c r="J601" s="735" t="s">
        <v>2578</v>
      </c>
      <c r="K601" s="736"/>
      <c r="L601" s="727"/>
      <c r="M601" s="728"/>
      <c r="N601" s="737" t="s">
        <v>307</v>
      </c>
      <c r="O601" s="737" t="s">
        <v>2662</v>
      </c>
      <c r="P601" s="728" t="s">
        <v>993</v>
      </c>
      <c r="R601" s="626" t="s">
        <v>3365</v>
      </c>
      <c r="S601" s="626" t="s">
        <v>1761</v>
      </c>
      <c r="T601" s="1398" t="s">
        <v>2857</v>
      </c>
    </row>
    <row r="602" spans="2:20" s="723" customFormat="1" ht="12" customHeight="1">
      <c r="B602" s="722"/>
      <c r="J602" s="735" t="s">
        <v>306</v>
      </c>
      <c r="K602" s="736"/>
      <c r="L602" s="727"/>
      <c r="M602" s="728"/>
      <c r="N602" s="737" t="s">
        <v>2375</v>
      </c>
      <c r="O602" s="737" t="s">
        <v>2896</v>
      </c>
      <c r="P602" s="728" t="s">
        <v>994</v>
      </c>
      <c r="R602" s="626" t="s">
        <v>3366</v>
      </c>
      <c r="S602" s="626" t="s">
        <v>2722</v>
      </c>
      <c r="T602" s="1398" t="s">
        <v>2857</v>
      </c>
    </row>
    <row r="603" spans="2:20" s="723" customFormat="1" ht="12" customHeight="1">
      <c r="B603" s="722"/>
      <c r="J603" s="735" t="s">
        <v>2374</v>
      </c>
      <c r="K603" s="736"/>
      <c r="L603" s="727"/>
      <c r="M603" s="728"/>
      <c r="N603" s="737" t="s">
        <v>288</v>
      </c>
      <c r="O603" s="737" t="s">
        <v>853</v>
      </c>
      <c r="P603" s="728" t="s">
        <v>995</v>
      </c>
      <c r="R603" s="626" t="s">
        <v>3367</v>
      </c>
      <c r="S603" s="626" t="s">
        <v>852</v>
      </c>
      <c r="T603" s="1398" t="s">
        <v>2857</v>
      </c>
    </row>
    <row r="604" spans="2:20" s="723" customFormat="1" ht="12" customHeight="1">
      <c r="B604" s="722"/>
      <c r="J604" s="735" t="s">
        <v>287</v>
      </c>
      <c r="K604" s="736"/>
      <c r="L604" s="727"/>
      <c r="M604" s="728"/>
      <c r="N604" s="737" t="s">
        <v>1598</v>
      </c>
      <c r="O604" s="737" t="s">
        <v>175</v>
      </c>
      <c r="P604" s="728" t="s">
        <v>996</v>
      </c>
      <c r="R604" s="626" t="s">
        <v>3368</v>
      </c>
      <c r="S604" s="626" t="s">
        <v>808</v>
      </c>
      <c r="T604" s="1398" t="s">
        <v>2857</v>
      </c>
    </row>
    <row r="605" spans="2:20" s="723" customFormat="1" ht="12" customHeight="1">
      <c r="B605" s="722"/>
      <c r="J605" s="735" t="s">
        <v>303</v>
      </c>
      <c r="K605" s="736"/>
      <c r="L605" s="727"/>
      <c r="M605" s="728"/>
      <c r="N605" s="737" t="s">
        <v>1600</v>
      </c>
      <c r="O605" s="737" t="s">
        <v>175</v>
      </c>
      <c r="P605" s="728" t="s">
        <v>997</v>
      </c>
      <c r="R605" s="626" t="s">
        <v>3369</v>
      </c>
      <c r="S605" s="626" t="s">
        <v>2891</v>
      </c>
      <c r="T605" s="1398" t="s">
        <v>2857</v>
      </c>
    </row>
    <row r="606" spans="2:20" s="723" customFormat="1" ht="12" customHeight="1">
      <c r="B606" s="722"/>
      <c r="J606" s="735" t="s">
        <v>1599</v>
      </c>
      <c r="K606" s="736"/>
      <c r="L606" s="727"/>
      <c r="M606" s="728"/>
      <c r="N606" s="737" t="s">
        <v>1049</v>
      </c>
      <c r="O606" s="737" t="s">
        <v>1761</v>
      </c>
      <c r="P606" s="728" t="s">
        <v>998</v>
      </c>
      <c r="R606" s="626" t="s">
        <v>3370</v>
      </c>
      <c r="S606" s="626" t="s">
        <v>3320</v>
      </c>
      <c r="T606" s="1398" t="s">
        <v>2857</v>
      </c>
    </row>
    <row r="607" spans="2:20" s="723" customFormat="1" ht="12" customHeight="1">
      <c r="B607" s="722"/>
      <c r="J607" s="735" t="s">
        <v>1048</v>
      </c>
      <c r="K607" s="736"/>
      <c r="L607" s="727"/>
      <c r="M607" s="728"/>
      <c r="N607" s="737" t="s">
        <v>268</v>
      </c>
      <c r="O607" s="737" t="s">
        <v>3387</v>
      </c>
      <c r="P607" s="728" t="s">
        <v>999</v>
      </c>
      <c r="R607" s="626" t="s">
        <v>2972</v>
      </c>
      <c r="S607" s="626" t="s">
        <v>3317</v>
      </c>
      <c r="T607" s="1398" t="s">
        <v>2857</v>
      </c>
    </row>
    <row r="608" spans="2:20" s="723" customFormat="1" ht="12" customHeight="1">
      <c r="B608" s="722"/>
      <c r="J608" s="735" t="s">
        <v>1050</v>
      </c>
      <c r="K608" s="736"/>
      <c r="L608" s="727"/>
      <c r="M608" s="728"/>
      <c r="N608" s="737" t="s">
        <v>1431</v>
      </c>
      <c r="O608" s="737" t="s">
        <v>3161</v>
      </c>
      <c r="P608" s="728" t="s">
        <v>1000</v>
      </c>
      <c r="R608" s="626" t="s">
        <v>3371</v>
      </c>
      <c r="S608" s="626" t="s">
        <v>2891</v>
      </c>
      <c r="T608" s="1398" t="s">
        <v>2857</v>
      </c>
    </row>
    <row r="609" spans="2:20" s="723" customFormat="1" ht="12" customHeight="1">
      <c r="B609" s="722"/>
      <c r="J609" s="735" t="s">
        <v>1430</v>
      </c>
      <c r="K609" s="736"/>
      <c r="L609" s="727"/>
      <c r="M609" s="728"/>
      <c r="N609" s="737" t="s">
        <v>2444</v>
      </c>
      <c r="O609" s="737" t="s">
        <v>3268</v>
      </c>
      <c r="P609" s="728" t="s">
        <v>1001</v>
      </c>
      <c r="R609" s="626" t="s">
        <v>3372</v>
      </c>
      <c r="S609" s="626" t="s">
        <v>3268</v>
      </c>
      <c r="T609" s="1398" t="s">
        <v>2857</v>
      </c>
    </row>
    <row r="610" spans="2:20" s="723" customFormat="1" ht="12" customHeight="1">
      <c r="B610" s="722"/>
      <c r="J610" s="735" t="s">
        <v>1432</v>
      </c>
      <c r="K610" s="736"/>
      <c r="L610" s="727"/>
      <c r="M610" s="728"/>
      <c r="N610" s="737" t="s">
        <v>2514</v>
      </c>
      <c r="O610" s="737" t="s">
        <v>116</v>
      </c>
      <c r="P610" s="1397" t="s">
        <v>1218</v>
      </c>
      <c r="R610" s="626" t="s">
        <v>3373</v>
      </c>
      <c r="S610" s="626" t="s">
        <v>2720</v>
      </c>
      <c r="T610" s="1398" t="s">
        <v>2857</v>
      </c>
    </row>
    <row r="611" spans="2:20" s="723" customFormat="1" ht="12" customHeight="1">
      <c r="B611" s="722"/>
      <c r="J611" s="735" t="s">
        <v>2513</v>
      </c>
      <c r="K611" s="736"/>
      <c r="L611" s="727"/>
      <c r="M611" s="728"/>
      <c r="N611" s="737" t="s">
        <v>1507</v>
      </c>
      <c r="O611" s="737" t="s">
        <v>1036</v>
      </c>
      <c r="P611" s="728" t="s">
        <v>1002</v>
      </c>
      <c r="R611" s="626" t="s">
        <v>1453</v>
      </c>
      <c r="S611" s="626" t="s">
        <v>1902</v>
      </c>
      <c r="T611" s="1398" t="s">
        <v>2857</v>
      </c>
    </row>
    <row r="612" spans="2:20" s="723" customFormat="1" ht="12" customHeight="1">
      <c r="B612" s="722"/>
      <c r="J612" s="735" t="s">
        <v>2515</v>
      </c>
      <c r="K612" s="736"/>
      <c r="L612" s="727"/>
      <c r="M612" s="728"/>
      <c r="N612" s="626" t="s">
        <v>1473</v>
      </c>
      <c r="O612" s="626" t="s">
        <v>1352</v>
      </c>
      <c r="P612" s="1398" t="s">
        <v>2857</v>
      </c>
      <c r="R612" s="626" t="s">
        <v>1300</v>
      </c>
      <c r="S612" s="626" t="s">
        <v>1511</v>
      </c>
      <c r="T612" s="1398" t="s">
        <v>2857</v>
      </c>
    </row>
    <row r="613" spans="2:20" s="723" customFormat="1" ht="12" customHeight="1">
      <c r="B613" s="722"/>
      <c r="J613" s="735" t="s">
        <v>2516</v>
      </c>
      <c r="K613" s="736"/>
      <c r="L613" s="727"/>
      <c r="M613" s="728"/>
      <c r="N613" s="737" t="s">
        <v>1511</v>
      </c>
      <c r="O613" s="737" t="s">
        <v>1758</v>
      </c>
      <c r="P613" s="728" t="s">
        <v>1003</v>
      </c>
      <c r="R613" s="626" t="s">
        <v>1454</v>
      </c>
      <c r="S613" s="626" t="s">
        <v>808</v>
      </c>
      <c r="T613" s="1398" t="s">
        <v>2857</v>
      </c>
    </row>
    <row r="614" spans="2:20" s="723" customFormat="1" ht="12" customHeight="1">
      <c r="B614" s="722"/>
      <c r="J614" s="735" t="s">
        <v>1547</v>
      </c>
      <c r="K614" s="736"/>
      <c r="L614" s="727"/>
      <c r="M614" s="728"/>
      <c r="N614" s="737" t="s">
        <v>437</v>
      </c>
      <c r="O614" s="737" t="s">
        <v>853</v>
      </c>
      <c r="P614" s="728" t="s">
        <v>1004</v>
      </c>
      <c r="R614" s="626" t="s">
        <v>1455</v>
      </c>
      <c r="S614" s="626" t="s">
        <v>2621</v>
      </c>
      <c r="T614" s="1398" t="s">
        <v>2857</v>
      </c>
    </row>
    <row r="615" spans="2:20" s="723" customFormat="1" ht="12" customHeight="1">
      <c r="B615" s="722"/>
      <c r="J615" s="735" t="s">
        <v>436</v>
      </c>
      <c r="K615" s="736"/>
      <c r="L615" s="727"/>
      <c r="M615" s="728"/>
      <c r="N615" s="626" t="s">
        <v>1474</v>
      </c>
      <c r="O615" s="626" t="s">
        <v>128</v>
      </c>
      <c r="P615" s="1398" t="s">
        <v>2857</v>
      </c>
      <c r="R615" s="626" t="s">
        <v>1456</v>
      </c>
      <c r="S615" s="626" t="s">
        <v>2718</v>
      </c>
      <c r="T615" s="1398" t="s">
        <v>2857</v>
      </c>
    </row>
    <row r="616" spans="2:20" s="723" customFormat="1" ht="12" customHeight="1">
      <c r="B616" s="722"/>
      <c r="J616" s="735" t="s">
        <v>4</v>
      </c>
      <c r="K616" s="736"/>
      <c r="L616" s="727"/>
      <c r="M616" s="728"/>
      <c r="N616" s="737" t="s">
        <v>5</v>
      </c>
      <c r="O616" s="737" t="s">
        <v>1751</v>
      </c>
      <c r="P616" s="728" t="s">
        <v>5</v>
      </c>
      <c r="R616" s="626" t="s">
        <v>1457</v>
      </c>
      <c r="S616" s="626" t="s">
        <v>1504</v>
      </c>
      <c r="T616" s="1398" t="s">
        <v>2857</v>
      </c>
    </row>
    <row r="617" spans="2:20" s="723" customFormat="1" ht="12" customHeight="1">
      <c r="B617" s="722"/>
      <c r="J617" s="735" t="s">
        <v>6</v>
      </c>
      <c r="K617" s="736"/>
      <c r="L617" s="727"/>
      <c r="M617" s="728"/>
      <c r="N617" s="737" t="s">
        <v>7</v>
      </c>
      <c r="O617" s="737" t="s">
        <v>3157</v>
      </c>
      <c r="P617" s="728" t="s">
        <v>1005</v>
      </c>
      <c r="Q617" s="1399"/>
      <c r="R617" s="626" t="s">
        <v>1458</v>
      </c>
      <c r="S617" s="626" t="s">
        <v>1977</v>
      </c>
      <c r="T617" s="1398" t="s">
        <v>2857</v>
      </c>
    </row>
    <row r="618" spans="2:20" s="723" customFormat="1" ht="12" customHeight="1">
      <c r="B618" s="722"/>
      <c r="J618" s="735" t="s">
        <v>8</v>
      </c>
      <c r="K618" s="736"/>
      <c r="L618" s="727"/>
      <c r="M618" s="728"/>
      <c r="N618" s="737" t="s">
        <v>9</v>
      </c>
      <c r="O618" s="737" t="s">
        <v>2627</v>
      </c>
      <c r="P618" s="728" t="s">
        <v>1006</v>
      </c>
      <c r="R618" s="626" t="s">
        <v>1459</v>
      </c>
      <c r="S618" s="626" t="s">
        <v>3265</v>
      </c>
      <c r="T618" s="1398" t="s">
        <v>2857</v>
      </c>
    </row>
    <row r="619" spans="2:20" s="723" customFormat="1" ht="12" customHeight="1">
      <c r="B619" s="722"/>
      <c r="J619" s="735" t="s">
        <v>10</v>
      </c>
      <c r="K619" s="736"/>
      <c r="L619" s="727"/>
      <c r="M619" s="728"/>
      <c r="N619" s="626" t="s">
        <v>1475</v>
      </c>
      <c r="O619" s="626" t="s">
        <v>808</v>
      </c>
      <c r="P619" s="1398" t="s">
        <v>2857</v>
      </c>
      <c r="R619" s="626" t="s">
        <v>1460</v>
      </c>
      <c r="S619" s="626" t="s">
        <v>175</v>
      </c>
      <c r="T619" s="1398" t="s">
        <v>2857</v>
      </c>
    </row>
    <row r="620" spans="2:20" s="723" customFormat="1" ht="12" customHeight="1">
      <c r="B620" s="722"/>
      <c r="J620" s="735" t="s">
        <v>2860</v>
      </c>
      <c r="K620" s="736"/>
      <c r="L620" s="727"/>
      <c r="M620" s="728"/>
      <c r="N620" s="626" t="s">
        <v>1476</v>
      </c>
      <c r="O620" s="626" t="s">
        <v>348</v>
      </c>
      <c r="P620" s="1398" t="s">
        <v>2857</v>
      </c>
      <c r="R620" s="626" t="s">
        <v>1461</v>
      </c>
      <c r="S620" s="626" t="s">
        <v>1768</v>
      </c>
      <c r="T620" s="1398" t="s">
        <v>2857</v>
      </c>
    </row>
    <row r="621" spans="2:20" s="723" customFormat="1" ht="12" customHeight="1">
      <c r="B621" s="722"/>
      <c r="J621" s="735" t="s">
        <v>2862</v>
      </c>
      <c r="K621" s="736"/>
      <c r="L621" s="727"/>
      <c r="M621" s="728"/>
      <c r="N621" s="737" t="s">
        <v>2859</v>
      </c>
      <c r="O621" s="737" t="s">
        <v>1761</v>
      </c>
      <c r="P621" s="728" t="s">
        <v>1007</v>
      </c>
      <c r="R621" s="626" t="s">
        <v>1462</v>
      </c>
      <c r="S621" s="626" t="s">
        <v>1977</v>
      </c>
      <c r="T621" s="1398" t="s">
        <v>2857</v>
      </c>
    </row>
    <row r="622" spans="2:20" s="723" customFormat="1" ht="12" customHeight="1">
      <c r="B622" s="722"/>
      <c r="J622" s="735" t="s">
        <v>2864</v>
      </c>
      <c r="K622" s="736"/>
      <c r="L622" s="727"/>
      <c r="M622" s="728"/>
      <c r="N622" s="737" t="s">
        <v>2861</v>
      </c>
      <c r="O622" s="737" t="s">
        <v>2902</v>
      </c>
      <c r="P622" s="728" t="s">
        <v>1008</v>
      </c>
      <c r="R622" s="626" t="s">
        <v>1463</v>
      </c>
      <c r="S622" s="626" t="s">
        <v>1518</v>
      </c>
      <c r="T622" s="1398" t="s">
        <v>2857</v>
      </c>
    </row>
    <row r="623" spans="2:20" s="723" customFormat="1" ht="12" customHeight="1">
      <c r="B623" s="722"/>
      <c r="J623" s="735" t="s">
        <v>2866</v>
      </c>
      <c r="K623" s="736"/>
      <c r="L623" s="727"/>
      <c r="M623" s="728"/>
      <c r="N623" s="737" t="s">
        <v>2863</v>
      </c>
      <c r="O623" s="737" t="s">
        <v>192</v>
      </c>
      <c r="P623" s="728" t="s">
        <v>1009</v>
      </c>
      <c r="R623" s="626" t="s">
        <v>1464</v>
      </c>
      <c r="S623" s="626" t="s">
        <v>2718</v>
      </c>
      <c r="T623" s="1398" t="s">
        <v>2857</v>
      </c>
    </row>
    <row r="624" spans="2:20" s="723" customFormat="1" ht="12" customHeight="1">
      <c r="B624" s="722"/>
      <c r="J624" s="735" t="s">
        <v>2868</v>
      </c>
      <c r="K624" s="736"/>
      <c r="L624" s="727"/>
      <c r="M624" s="728"/>
      <c r="N624" s="737" t="s">
        <v>2865</v>
      </c>
      <c r="O624" s="737" t="s">
        <v>1899</v>
      </c>
      <c r="P624" s="728" t="s">
        <v>1010</v>
      </c>
      <c r="R624" s="737" t="s">
        <v>1222</v>
      </c>
      <c r="S624" s="737" t="s">
        <v>1268</v>
      </c>
      <c r="T624" s="1398" t="s">
        <v>2857</v>
      </c>
    </row>
    <row r="625" spans="2:20" s="723" customFormat="1" ht="12" customHeight="1">
      <c r="B625" s="722"/>
      <c r="J625" s="735" t="s">
        <v>92</v>
      </c>
      <c r="K625" s="736"/>
      <c r="L625" s="727"/>
      <c r="M625" s="728"/>
      <c r="N625" s="737" t="s">
        <v>2867</v>
      </c>
      <c r="O625" s="737" t="s">
        <v>853</v>
      </c>
      <c r="P625" s="728" t="s">
        <v>1011</v>
      </c>
      <c r="R625" s="626" t="s">
        <v>1465</v>
      </c>
      <c r="S625" s="626" t="s">
        <v>3268</v>
      </c>
      <c r="T625" s="1398" t="s">
        <v>2857</v>
      </c>
    </row>
    <row r="626" spans="2:20" s="723" customFormat="1" ht="12" customHeight="1">
      <c r="B626" s="722"/>
      <c r="J626" s="735" t="s">
        <v>2730</v>
      </c>
      <c r="K626" s="736"/>
      <c r="L626" s="727"/>
      <c r="M626" s="728"/>
      <c r="N626" s="737" t="s">
        <v>93</v>
      </c>
      <c r="O626" s="737" t="s">
        <v>127</v>
      </c>
      <c r="P626" s="728" t="s">
        <v>1012</v>
      </c>
      <c r="R626" s="626" t="s">
        <v>2072</v>
      </c>
      <c r="S626" s="626" t="s">
        <v>3317</v>
      </c>
      <c r="T626" s="1398" t="s">
        <v>2857</v>
      </c>
    </row>
    <row r="627" spans="2:20" s="723" customFormat="1" ht="12" customHeight="1">
      <c r="B627" s="722"/>
      <c r="J627" s="735" t="s">
        <v>1971</v>
      </c>
      <c r="K627" s="736"/>
      <c r="L627" s="727"/>
      <c r="M627" s="728"/>
      <c r="N627" s="737" t="s">
        <v>1970</v>
      </c>
      <c r="O627" s="737" t="s">
        <v>2904</v>
      </c>
      <c r="P627" s="728" t="s">
        <v>1013</v>
      </c>
      <c r="R627" s="626" t="s">
        <v>1466</v>
      </c>
      <c r="S627" s="626"/>
      <c r="T627" s="1398" t="s">
        <v>2857</v>
      </c>
    </row>
    <row r="628" spans="2:20" s="723" customFormat="1" ht="12" customHeight="1">
      <c r="B628" s="722"/>
      <c r="J628" s="735" t="s">
        <v>1973</v>
      </c>
      <c r="K628" s="736"/>
      <c r="L628" s="727"/>
      <c r="M628" s="728"/>
      <c r="N628" s="737" t="s">
        <v>1972</v>
      </c>
      <c r="O628" s="737" t="s">
        <v>217</v>
      </c>
      <c r="P628" s="728" t="s">
        <v>1014</v>
      </c>
      <c r="R628" s="626" t="s">
        <v>201</v>
      </c>
      <c r="S628" s="626" t="s">
        <v>175</v>
      </c>
      <c r="T628" s="1398" t="s">
        <v>2857</v>
      </c>
    </row>
    <row r="629" spans="2:20" s="723" customFormat="1" ht="12" customHeight="1">
      <c r="B629" s="722"/>
      <c r="J629" s="735" t="s">
        <v>1975</v>
      </c>
      <c r="K629" s="736"/>
      <c r="L629" s="727"/>
      <c r="M629" s="728"/>
      <c r="N629" s="737" t="s">
        <v>1974</v>
      </c>
      <c r="O629" s="737" t="s">
        <v>1902</v>
      </c>
      <c r="P629" s="728" t="s">
        <v>1015</v>
      </c>
      <c r="R629" s="626" t="s">
        <v>1467</v>
      </c>
      <c r="S629" s="626" t="s">
        <v>192</v>
      </c>
      <c r="T629" s="1398" t="s">
        <v>2857</v>
      </c>
    </row>
    <row r="630" spans="2:20" s="723" customFormat="1" ht="12" customHeight="1">
      <c r="B630" s="722"/>
      <c r="J630" s="735" t="s">
        <v>66</v>
      </c>
      <c r="K630" s="736"/>
      <c r="L630" s="727"/>
      <c r="M630" s="728"/>
      <c r="N630" s="737" t="s">
        <v>1976</v>
      </c>
      <c r="O630" s="737" t="s">
        <v>2894</v>
      </c>
      <c r="P630" s="728" t="s">
        <v>1016</v>
      </c>
      <c r="R630" s="626" t="s">
        <v>3013</v>
      </c>
      <c r="S630" s="626" t="s">
        <v>1627</v>
      </c>
      <c r="T630" s="1398" t="s">
        <v>2857</v>
      </c>
    </row>
    <row r="631" spans="2:20" s="723" customFormat="1" ht="12" customHeight="1">
      <c r="B631" s="722"/>
      <c r="J631" s="735" t="s">
        <v>68</v>
      </c>
      <c r="K631" s="736"/>
      <c r="L631" s="727"/>
      <c r="M631" s="728"/>
      <c r="N631" s="737" t="s">
        <v>67</v>
      </c>
      <c r="O631" s="737" t="s">
        <v>1759</v>
      </c>
      <c r="P631" s="728" t="s">
        <v>1017</v>
      </c>
      <c r="R631" s="626" t="s">
        <v>1468</v>
      </c>
      <c r="S631" s="626" t="s">
        <v>808</v>
      </c>
      <c r="T631" s="1398" t="s">
        <v>2857</v>
      </c>
    </row>
    <row r="632" spans="2:20" s="723" customFormat="1" ht="12" customHeight="1">
      <c r="B632" s="722"/>
      <c r="J632" s="735" t="s">
        <v>70</v>
      </c>
      <c r="K632" s="736"/>
      <c r="L632" s="727"/>
      <c r="M632" s="728"/>
      <c r="N632" s="737" t="s">
        <v>69</v>
      </c>
      <c r="O632" s="737" t="s">
        <v>112</v>
      </c>
      <c r="P632" s="728" t="s">
        <v>1018</v>
      </c>
      <c r="R632" s="626" t="s">
        <v>1469</v>
      </c>
      <c r="S632" s="626" t="s">
        <v>808</v>
      </c>
      <c r="T632" s="1398" t="s">
        <v>2857</v>
      </c>
    </row>
    <row r="633" spans="2:20" s="723" customFormat="1" ht="12" customHeight="1">
      <c r="B633" s="722"/>
      <c r="J633" s="735" t="s">
        <v>72</v>
      </c>
      <c r="K633" s="736"/>
      <c r="L633" s="727"/>
      <c r="M633" s="728"/>
      <c r="N633" s="737" t="s">
        <v>71</v>
      </c>
      <c r="O633" s="737" t="s">
        <v>1272</v>
      </c>
      <c r="P633" s="728" t="s">
        <v>1019</v>
      </c>
      <c r="R633" s="626" t="s">
        <v>1470</v>
      </c>
      <c r="S633" s="626" t="s">
        <v>808</v>
      </c>
      <c r="T633" s="1398" t="s">
        <v>2857</v>
      </c>
    </row>
    <row r="634" spans="2:20" s="723" customFormat="1" ht="12" customHeight="1">
      <c r="B634" s="722"/>
      <c r="J634" s="735" t="s">
        <v>74</v>
      </c>
      <c r="K634" s="736"/>
      <c r="L634" s="727"/>
      <c r="M634" s="728"/>
      <c r="N634" s="737" t="s">
        <v>73</v>
      </c>
      <c r="O634" s="737" t="s">
        <v>1977</v>
      </c>
      <c r="P634" s="728" t="s">
        <v>1020</v>
      </c>
      <c r="R634" s="626" t="s">
        <v>1471</v>
      </c>
      <c r="S634" s="626" t="s">
        <v>808</v>
      </c>
      <c r="T634" s="1398" t="s">
        <v>2857</v>
      </c>
    </row>
    <row r="635" spans="2:20" s="723" customFormat="1" ht="12" customHeight="1">
      <c r="B635" s="722"/>
      <c r="J635" s="735" t="s">
        <v>1167</v>
      </c>
      <c r="K635" s="736"/>
      <c r="L635" s="727"/>
      <c r="M635" s="728"/>
      <c r="N635" s="737" t="s">
        <v>1168</v>
      </c>
      <c r="O635" s="737" t="s">
        <v>3265</v>
      </c>
      <c r="P635" s="728" t="s">
        <v>1021</v>
      </c>
      <c r="R635" s="626" t="s">
        <v>1472</v>
      </c>
      <c r="S635" s="626" t="s">
        <v>2349</v>
      </c>
      <c r="T635" s="1398" t="s">
        <v>2857</v>
      </c>
    </row>
    <row r="636" spans="2:20" s="723" customFormat="1" ht="12" customHeight="1">
      <c r="B636" s="722"/>
      <c r="J636" s="735" t="s">
        <v>1032</v>
      </c>
      <c r="K636" s="736"/>
      <c r="L636" s="727"/>
      <c r="M636" s="728"/>
      <c r="N636" s="737" t="s">
        <v>1033</v>
      </c>
      <c r="O636" s="737" t="s">
        <v>3271</v>
      </c>
      <c r="P636" s="728" t="s">
        <v>1022</v>
      </c>
      <c r="R636" s="626" t="s">
        <v>1473</v>
      </c>
      <c r="S636" s="626" t="s">
        <v>1352</v>
      </c>
      <c r="T636" s="1398" t="s">
        <v>2857</v>
      </c>
    </row>
    <row r="637" spans="2:20" s="723" customFormat="1" ht="12" customHeight="1">
      <c r="B637" s="722"/>
      <c r="J637" s="735" t="s">
        <v>1034</v>
      </c>
      <c r="K637" s="736"/>
      <c r="L637" s="727"/>
      <c r="M637" s="728"/>
      <c r="N637" s="737" t="s">
        <v>1337</v>
      </c>
      <c r="O637" s="737" t="s">
        <v>3321</v>
      </c>
      <c r="P637" s="728" t="s">
        <v>1023</v>
      </c>
      <c r="R637" s="626" t="s">
        <v>1474</v>
      </c>
      <c r="S637" s="626" t="s">
        <v>128</v>
      </c>
      <c r="T637" s="1398" t="s">
        <v>2857</v>
      </c>
    </row>
    <row r="638" spans="2:20" s="723" customFormat="1" ht="12" customHeight="1">
      <c r="B638" s="722"/>
      <c r="J638" s="735" t="s">
        <v>1594</v>
      </c>
      <c r="K638" s="736"/>
      <c r="L638" s="727"/>
      <c r="M638" s="728"/>
      <c r="N638" s="626" t="s">
        <v>1477</v>
      </c>
      <c r="O638" s="626" t="s">
        <v>352</v>
      </c>
      <c r="P638" s="1398" t="s">
        <v>2857</v>
      </c>
      <c r="R638" s="626" t="s">
        <v>1475</v>
      </c>
      <c r="S638" s="626" t="s">
        <v>808</v>
      </c>
      <c r="T638" s="1398" t="s">
        <v>2857</v>
      </c>
    </row>
    <row r="639" spans="2:20" s="723" customFormat="1" ht="12" customHeight="1">
      <c r="B639" s="722"/>
      <c r="J639" s="735" t="s">
        <v>1447</v>
      </c>
      <c r="K639" s="736"/>
      <c r="L639" s="727"/>
      <c r="M639" s="728"/>
      <c r="N639" s="737" t="s">
        <v>1595</v>
      </c>
      <c r="O639" s="737" t="s">
        <v>2662</v>
      </c>
      <c r="P639" s="728" t="s">
        <v>1024</v>
      </c>
      <c r="R639" s="626" t="s">
        <v>1476</v>
      </c>
      <c r="S639" s="626" t="s">
        <v>348</v>
      </c>
      <c r="T639" s="1398" t="s">
        <v>2857</v>
      </c>
    </row>
    <row r="640" spans="2:20" s="723" customFormat="1" ht="12" customHeight="1">
      <c r="B640" s="722"/>
      <c r="J640" s="735" t="s">
        <v>1448</v>
      </c>
      <c r="K640" s="736"/>
      <c r="L640" s="727"/>
      <c r="M640" s="728"/>
      <c r="N640" s="737" t="s">
        <v>1449</v>
      </c>
      <c r="O640" s="737" t="s">
        <v>1505</v>
      </c>
      <c r="P640" s="728" t="s">
        <v>1025</v>
      </c>
      <c r="R640" s="626" t="s">
        <v>1477</v>
      </c>
      <c r="S640" s="626" t="s">
        <v>352</v>
      </c>
      <c r="T640" s="1398" t="s">
        <v>2857</v>
      </c>
    </row>
    <row r="641" spans="2:20" s="723" customFormat="1" ht="12" customHeight="1">
      <c r="B641" s="722"/>
      <c r="J641" s="735" t="s">
        <v>1450</v>
      </c>
      <c r="K641" s="736"/>
      <c r="L641" s="727"/>
      <c r="M641" s="728"/>
      <c r="N641" s="737" t="s">
        <v>2994</v>
      </c>
      <c r="O641" s="737" t="s">
        <v>2887</v>
      </c>
      <c r="P641" s="728" t="s">
        <v>1026</v>
      </c>
      <c r="R641" s="626" t="s">
        <v>1226</v>
      </c>
      <c r="S641" s="626" t="s">
        <v>1747</v>
      </c>
      <c r="T641" s="1398" t="s">
        <v>2857</v>
      </c>
    </row>
    <row r="642" spans="2:20" s="723" customFormat="1" ht="12" customHeight="1">
      <c r="B642" s="722"/>
      <c r="J642" s="735" t="s">
        <v>2993</v>
      </c>
      <c r="K642" s="736"/>
      <c r="L642" s="727"/>
      <c r="M642" s="728"/>
      <c r="N642" s="737" t="s">
        <v>2996</v>
      </c>
      <c r="O642" s="737" t="s">
        <v>844</v>
      </c>
      <c r="P642" s="728" t="s">
        <v>1027</v>
      </c>
      <c r="R642" s="626" t="s">
        <v>1478</v>
      </c>
      <c r="S642" s="626" t="s">
        <v>852</v>
      </c>
      <c r="T642" s="1398" t="s">
        <v>2857</v>
      </c>
    </row>
    <row r="643" spans="2:20" s="723" customFormat="1" ht="12" customHeight="1">
      <c r="B643" s="722"/>
      <c r="J643" s="735" t="s">
        <v>2995</v>
      </c>
      <c r="K643" s="736"/>
      <c r="L643" s="727"/>
      <c r="M643" s="728"/>
      <c r="N643" s="737" t="s">
        <v>2465</v>
      </c>
      <c r="O643" s="737" t="s">
        <v>1038</v>
      </c>
      <c r="P643" s="728" t="s">
        <v>1028</v>
      </c>
      <c r="R643" s="626" t="s">
        <v>1479</v>
      </c>
      <c r="S643" s="626" t="s">
        <v>1977</v>
      </c>
      <c r="T643" s="1398" t="s">
        <v>2857</v>
      </c>
    </row>
    <row r="644" spans="2:20" s="723" customFormat="1" ht="12" customHeight="1">
      <c r="B644" s="722"/>
      <c r="J644" s="735" t="s">
        <v>2464</v>
      </c>
      <c r="K644" s="736"/>
      <c r="L644" s="727"/>
      <c r="M644" s="728"/>
      <c r="N644" s="737" t="s">
        <v>3308</v>
      </c>
      <c r="O644" s="737" t="s">
        <v>2720</v>
      </c>
      <c r="P644" s="728" t="s">
        <v>1029</v>
      </c>
      <c r="R644" s="626" t="s">
        <v>1480</v>
      </c>
      <c r="S644" s="626" t="s">
        <v>808</v>
      </c>
      <c r="T644" s="1398" t="s">
        <v>2857</v>
      </c>
    </row>
    <row r="645" spans="2:20" s="723" customFormat="1" ht="12" customHeight="1">
      <c r="B645" s="722"/>
      <c r="J645" s="735" t="s">
        <v>3307</v>
      </c>
      <c r="K645" s="736"/>
      <c r="L645" s="727"/>
      <c r="M645" s="728"/>
      <c r="N645" s="737" t="s">
        <v>2882</v>
      </c>
      <c r="O645" s="737" t="s">
        <v>1627</v>
      </c>
      <c r="P645" s="728" t="s">
        <v>1030</v>
      </c>
      <c r="R645" s="626" t="s">
        <v>1481</v>
      </c>
      <c r="S645" s="626" t="s">
        <v>844</v>
      </c>
      <c r="T645" s="1398" t="s">
        <v>2857</v>
      </c>
    </row>
    <row r="646" spans="2:20" s="723" customFormat="1" ht="12" customHeight="1">
      <c r="B646" s="722"/>
      <c r="J646" s="735" t="s">
        <v>2881</v>
      </c>
      <c r="K646" s="736"/>
      <c r="L646" s="727"/>
      <c r="M646" s="728"/>
      <c r="N646" s="737" t="s">
        <v>2215</v>
      </c>
      <c r="O646" s="737" t="s">
        <v>846</v>
      </c>
      <c r="P646" s="728" t="s">
        <v>642</v>
      </c>
      <c r="R646" s="626" t="s">
        <v>1482</v>
      </c>
      <c r="S646" s="626" t="s">
        <v>175</v>
      </c>
      <c r="T646" s="1398" t="s">
        <v>2857</v>
      </c>
    </row>
    <row r="647" spans="2:20" s="723" customFormat="1" ht="12" customHeight="1">
      <c r="B647" s="722"/>
      <c r="J647" s="735" t="s">
        <v>2213</v>
      </c>
      <c r="K647" s="736"/>
      <c r="L647" s="727"/>
      <c r="M647" s="728"/>
      <c r="N647" s="737" t="s">
        <v>1226</v>
      </c>
      <c r="O647" s="737" t="s">
        <v>1747</v>
      </c>
      <c r="P647" s="1397" t="s">
        <v>1218</v>
      </c>
      <c r="R647" s="626" t="s">
        <v>1483</v>
      </c>
      <c r="S647" s="626" t="s">
        <v>2621</v>
      </c>
      <c r="T647" s="1398" t="s">
        <v>2857</v>
      </c>
    </row>
    <row r="648" spans="2:20" s="723" customFormat="1" ht="12" customHeight="1">
      <c r="B648" s="722"/>
      <c r="J648" s="735" t="s">
        <v>2214</v>
      </c>
      <c r="K648" s="736"/>
      <c r="L648" s="727"/>
      <c r="M648" s="728"/>
      <c r="N648" s="626" t="s">
        <v>1226</v>
      </c>
      <c r="O648" s="626" t="s">
        <v>1747</v>
      </c>
      <c r="P648" s="1398" t="s">
        <v>2857</v>
      </c>
      <c r="R648" s="626" t="s">
        <v>1484</v>
      </c>
      <c r="S648" s="626" t="s">
        <v>2718</v>
      </c>
      <c r="T648" s="1398" t="s">
        <v>2857</v>
      </c>
    </row>
    <row r="649" spans="2:20" s="723" customFormat="1" ht="12" customHeight="1">
      <c r="B649" s="722"/>
      <c r="J649" s="735" t="s">
        <v>2216</v>
      </c>
      <c r="K649" s="736"/>
      <c r="L649" s="727"/>
      <c r="M649" s="728"/>
      <c r="N649" s="737" t="s">
        <v>2218</v>
      </c>
      <c r="O649" s="737" t="s">
        <v>3382</v>
      </c>
      <c r="P649" s="728" t="s">
        <v>643</v>
      </c>
      <c r="R649" s="626" t="s">
        <v>1485</v>
      </c>
      <c r="S649" s="626" t="s">
        <v>808</v>
      </c>
      <c r="T649" s="1398" t="s">
        <v>2857</v>
      </c>
    </row>
    <row r="650" spans="2:20" s="723" customFormat="1" ht="12" customHeight="1">
      <c r="B650" s="722"/>
      <c r="J650" s="735" t="s">
        <v>2217</v>
      </c>
      <c r="K650" s="736"/>
      <c r="L650" s="727"/>
      <c r="M650" s="728"/>
      <c r="N650" s="737" t="s">
        <v>2221</v>
      </c>
      <c r="O650" s="737" t="s">
        <v>2236</v>
      </c>
      <c r="P650" s="728" t="s">
        <v>2221</v>
      </c>
      <c r="R650" s="626" t="s">
        <v>1486</v>
      </c>
      <c r="S650" s="626" t="s">
        <v>2349</v>
      </c>
      <c r="T650" s="1398" t="s">
        <v>2857</v>
      </c>
    </row>
    <row r="651" spans="2:20" s="723" customFormat="1" ht="12" customHeight="1">
      <c r="B651" s="722"/>
      <c r="J651" s="735" t="s">
        <v>2219</v>
      </c>
      <c r="K651" s="736"/>
      <c r="L651" s="727"/>
      <c r="M651" s="728"/>
      <c r="N651" s="626" t="s">
        <v>1479</v>
      </c>
      <c r="O651" s="626" t="s">
        <v>1977</v>
      </c>
      <c r="P651" s="1398" t="s">
        <v>2857</v>
      </c>
      <c r="R651" s="626" t="s">
        <v>1487</v>
      </c>
      <c r="S651" s="626" t="s">
        <v>3268</v>
      </c>
      <c r="T651" s="1398" t="s">
        <v>2857</v>
      </c>
    </row>
    <row r="652" spans="2:20" s="723" customFormat="1" ht="12" customHeight="1">
      <c r="B652" s="722"/>
      <c r="J652" s="735" t="s">
        <v>2220</v>
      </c>
      <c r="K652" s="736"/>
      <c r="L652" s="727"/>
      <c r="M652" s="728"/>
      <c r="N652" s="737" t="s">
        <v>3182</v>
      </c>
      <c r="O652" s="737" t="s">
        <v>112</v>
      </c>
      <c r="P652" s="728" t="s">
        <v>644</v>
      </c>
      <c r="R652" s="626" t="s">
        <v>1488</v>
      </c>
      <c r="S652" s="626" t="s">
        <v>175</v>
      </c>
      <c r="T652" s="1398" t="s">
        <v>2857</v>
      </c>
    </row>
    <row r="653" spans="2:20" s="723" customFormat="1" ht="12" customHeight="1">
      <c r="B653" s="722"/>
      <c r="J653" s="735" t="s">
        <v>2222</v>
      </c>
      <c r="K653" s="736"/>
      <c r="L653" s="727"/>
      <c r="M653" s="728"/>
      <c r="N653" s="737" t="s">
        <v>1208</v>
      </c>
      <c r="O653" s="737" t="s">
        <v>1627</v>
      </c>
      <c r="P653" s="728" t="s">
        <v>645</v>
      </c>
      <c r="R653" s="626" t="s">
        <v>1489</v>
      </c>
      <c r="S653" s="626" t="s">
        <v>175</v>
      </c>
      <c r="T653" s="1398" t="s">
        <v>2857</v>
      </c>
    </row>
    <row r="654" spans="2:20" s="723" customFormat="1" ht="12" customHeight="1">
      <c r="B654" s="722"/>
      <c r="J654" s="735" t="s">
        <v>3183</v>
      </c>
      <c r="K654" s="736"/>
      <c r="L654" s="727"/>
      <c r="M654" s="728"/>
      <c r="N654" s="737" t="s">
        <v>1737</v>
      </c>
      <c r="O654" s="737" t="s">
        <v>2619</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1398" t="s">
        <v>2857</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2714</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98" t="s">
        <v>2857</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2705</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2704</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98" t="s">
        <v>2857</v>
      </c>
    </row>
    <row r="671" spans="2:16" s="723" customFormat="1" ht="12" customHeight="1">
      <c r="B671" s="722"/>
      <c r="J671" s="735" t="s">
        <v>1691</v>
      </c>
      <c r="K671" s="736"/>
      <c r="L671" s="727"/>
      <c r="M671" s="728"/>
      <c r="N671" s="737" t="s">
        <v>2593</v>
      </c>
      <c r="O671" s="737" t="s">
        <v>1513</v>
      </c>
      <c r="P671" s="728" t="s">
        <v>659</v>
      </c>
    </row>
    <row r="672" spans="2:16" s="723" customFormat="1" ht="12" customHeight="1">
      <c r="B672" s="722"/>
      <c r="J672" s="735" t="s">
        <v>2591</v>
      </c>
      <c r="K672" s="736"/>
      <c r="L672" s="727"/>
      <c r="M672" s="728"/>
      <c r="N672" s="737" t="s">
        <v>2595</v>
      </c>
      <c r="O672" s="737" t="s">
        <v>1901</v>
      </c>
      <c r="P672" s="728" t="s">
        <v>660</v>
      </c>
    </row>
    <row r="673" spans="2:16" s="723" customFormat="1" ht="12" customHeight="1">
      <c r="B673" s="722"/>
      <c r="J673" s="735" t="s">
        <v>2592</v>
      </c>
      <c r="K673" s="736"/>
      <c r="L673" s="727"/>
      <c r="M673" s="728"/>
      <c r="N673" s="737" t="s">
        <v>2597</v>
      </c>
      <c r="O673" s="737" t="s">
        <v>3268</v>
      </c>
      <c r="P673" s="728" t="s">
        <v>661</v>
      </c>
    </row>
    <row r="674" spans="2:16" s="723" customFormat="1" ht="12" customHeight="1">
      <c r="B674" s="722"/>
      <c r="J674" s="735" t="s">
        <v>2594</v>
      </c>
      <c r="K674" s="736"/>
      <c r="L674" s="727"/>
      <c r="M674" s="728"/>
      <c r="N674" s="737" t="s">
        <v>2599</v>
      </c>
      <c r="O674" s="737" t="s">
        <v>127</v>
      </c>
      <c r="P674" s="728" t="s">
        <v>662</v>
      </c>
    </row>
    <row r="675" spans="2:16" s="723" customFormat="1" ht="12" customHeight="1">
      <c r="B675" s="722"/>
      <c r="J675" s="735" t="s">
        <v>2596</v>
      </c>
      <c r="K675" s="736"/>
      <c r="L675" s="727"/>
      <c r="M675" s="728"/>
      <c r="N675" s="737" t="s">
        <v>637</v>
      </c>
      <c r="O675" s="737" t="s">
        <v>2721</v>
      </c>
      <c r="P675" s="728" t="s">
        <v>663</v>
      </c>
    </row>
    <row r="676" spans="2:16" s="723" customFormat="1" ht="12" customHeight="1">
      <c r="B676" s="722"/>
      <c r="J676" s="735" t="s">
        <v>2598</v>
      </c>
      <c r="K676" s="736"/>
      <c r="L676" s="727"/>
      <c r="M676" s="728"/>
      <c r="N676" s="737" t="s">
        <v>3325</v>
      </c>
      <c r="O676" s="737" t="s">
        <v>2623</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1398" t="s">
        <v>2857</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2818</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2816</v>
      </c>
      <c r="K685" s="736"/>
      <c r="L685" s="727"/>
      <c r="M685" s="728"/>
      <c r="N685" s="737" t="s">
        <v>1333</v>
      </c>
      <c r="O685" s="737" t="s">
        <v>2970</v>
      </c>
      <c r="P685" s="728" t="s">
        <v>672</v>
      </c>
    </row>
    <row r="686" spans="2:16" s="723" customFormat="1" ht="12" customHeight="1">
      <c r="B686" s="722"/>
      <c r="J686" s="735" t="s">
        <v>2817</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2609</v>
      </c>
      <c r="O688" s="737" t="s">
        <v>127</v>
      </c>
      <c r="P688" s="728" t="s">
        <v>467</v>
      </c>
    </row>
    <row r="689" spans="2:16" s="723" customFormat="1" ht="12" customHeight="1">
      <c r="B689" s="722"/>
      <c r="J689" s="735" t="s">
        <v>1332</v>
      </c>
      <c r="K689" s="736"/>
      <c r="L689" s="727"/>
      <c r="M689" s="728"/>
      <c r="N689" s="737" t="s">
        <v>2612</v>
      </c>
      <c r="O689" s="737" t="s">
        <v>2970</v>
      </c>
      <c r="P689" s="728" t="s">
        <v>468</v>
      </c>
    </row>
    <row r="690" spans="2:16" s="723" customFormat="1" ht="12" customHeight="1">
      <c r="B690" s="722"/>
      <c r="J690" s="735" t="s">
        <v>1334</v>
      </c>
      <c r="K690" s="736"/>
      <c r="L690" s="727"/>
      <c r="M690" s="728"/>
      <c r="N690" s="737" t="s">
        <v>2614</v>
      </c>
      <c r="O690" s="737" t="s">
        <v>178</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2621</v>
      </c>
      <c r="P693" s="1398" t="s">
        <v>2857</v>
      </c>
    </row>
    <row r="694" spans="2:16" s="723" customFormat="1" ht="12" customHeight="1">
      <c r="B694" s="722"/>
      <c r="J694" s="735" t="s">
        <v>3286</v>
      </c>
      <c r="K694" s="736"/>
      <c r="L694" s="727"/>
      <c r="M694" s="728"/>
      <c r="N694" s="626" t="s">
        <v>1484</v>
      </c>
      <c r="O694" s="626" t="s">
        <v>2718</v>
      </c>
      <c r="P694" s="1398" t="s">
        <v>2857</v>
      </c>
    </row>
    <row r="695" spans="2:16" s="723" customFormat="1" ht="12" customHeight="1">
      <c r="B695" s="722"/>
      <c r="J695" s="735" t="s">
        <v>2610</v>
      </c>
      <c r="K695" s="736"/>
      <c r="L695" s="727"/>
      <c r="M695" s="728"/>
      <c r="N695" s="737" t="s">
        <v>1910</v>
      </c>
      <c r="O695" s="737" t="s">
        <v>1631</v>
      </c>
      <c r="P695" s="728" t="s">
        <v>472</v>
      </c>
    </row>
    <row r="696" spans="2:16" s="723" customFormat="1" ht="12" customHeight="1">
      <c r="B696" s="722"/>
      <c r="J696" s="735" t="s">
        <v>2611</v>
      </c>
      <c r="K696" s="736"/>
      <c r="L696" s="727"/>
      <c r="M696" s="728"/>
      <c r="N696" s="737" t="s">
        <v>3040</v>
      </c>
      <c r="O696" s="737" t="s">
        <v>127</v>
      </c>
      <c r="P696" s="728" t="s">
        <v>473</v>
      </c>
    </row>
    <row r="697" spans="2:16" s="723" customFormat="1" ht="12" customHeight="1">
      <c r="B697" s="722"/>
      <c r="J697" s="735" t="s">
        <v>2613</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2627</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2763</v>
      </c>
      <c r="O703" s="737" t="s">
        <v>346</v>
      </c>
      <c r="P703" s="728" t="s">
        <v>480</v>
      </c>
    </row>
    <row r="704" spans="2:16" s="723" customFormat="1" ht="12" customHeight="1">
      <c r="B704" s="722"/>
      <c r="J704" s="735" t="s">
        <v>2985</v>
      </c>
      <c r="K704" s="736"/>
      <c r="L704" s="727"/>
      <c r="M704" s="728"/>
      <c r="N704" s="737" t="s">
        <v>2681</v>
      </c>
      <c r="O704" s="737" t="s">
        <v>128</v>
      </c>
      <c r="P704" s="728" t="s">
        <v>481</v>
      </c>
    </row>
    <row r="705" spans="2:17" s="723" customFormat="1" ht="12" customHeight="1">
      <c r="B705" s="722"/>
      <c r="J705" s="735" t="s">
        <v>2987</v>
      </c>
      <c r="K705" s="736"/>
      <c r="L705" s="727"/>
      <c r="M705" s="728"/>
      <c r="N705" s="737" t="s">
        <v>2683</v>
      </c>
      <c r="O705" s="737" t="s">
        <v>355</v>
      </c>
      <c r="P705" s="728" t="s">
        <v>482</v>
      </c>
      <c r="Q705" s="1399"/>
    </row>
    <row r="706" spans="2:17" s="723" customFormat="1" ht="12" customHeight="1">
      <c r="B706" s="722"/>
      <c r="J706" s="735" t="s">
        <v>2502</v>
      </c>
      <c r="K706" s="736"/>
      <c r="L706" s="727"/>
      <c r="M706" s="728"/>
      <c r="N706" s="737" t="s">
        <v>2685</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2762</v>
      </c>
      <c r="K708" s="736"/>
      <c r="L708" s="727"/>
      <c r="M708" s="728"/>
      <c r="N708" s="737" t="s">
        <v>2814</v>
      </c>
      <c r="O708" s="737" t="s">
        <v>1038</v>
      </c>
      <c r="P708" s="728" t="s">
        <v>485</v>
      </c>
    </row>
    <row r="709" spans="2:17" s="723" customFormat="1" ht="12" customHeight="1">
      <c r="B709" s="722"/>
      <c r="J709" s="735" t="s">
        <v>2680</v>
      </c>
      <c r="K709" s="736"/>
      <c r="L709" s="727"/>
      <c r="M709" s="728"/>
      <c r="N709" s="737" t="s">
        <v>2841</v>
      </c>
      <c r="O709" s="737" t="s">
        <v>112</v>
      </c>
      <c r="P709" s="728" t="s">
        <v>1422</v>
      </c>
    </row>
    <row r="710" spans="2:17" s="723" customFormat="1" ht="12" customHeight="1">
      <c r="B710" s="722"/>
      <c r="J710" s="735" t="s">
        <v>2682</v>
      </c>
      <c r="K710" s="736"/>
      <c r="L710" s="727"/>
      <c r="M710" s="728"/>
      <c r="N710" s="737" t="s">
        <v>1227</v>
      </c>
      <c r="O710" s="737" t="s">
        <v>2718</v>
      </c>
      <c r="P710" s="1397" t="s">
        <v>1218</v>
      </c>
    </row>
    <row r="711" spans="2:17" s="723" customFormat="1" ht="12" customHeight="1">
      <c r="B711" s="722"/>
      <c r="J711" s="735" t="s">
        <v>2684</v>
      </c>
      <c r="K711" s="736"/>
      <c r="L711" s="727"/>
      <c r="M711" s="728"/>
      <c r="N711" s="737" t="s">
        <v>2842</v>
      </c>
      <c r="O711" s="737" t="s">
        <v>2718</v>
      </c>
      <c r="P711" s="728" t="s">
        <v>486</v>
      </c>
    </row>
    <row r="712" spans="2:17" s="723" customFormat="1" ht="12" customHeight="1">
      <c r="B712" s="722"/>
      <c r="J712" s="735" t="s">
        <v>629</v>
      </c>
      <c r="K712" s="736"/>
      <c r="L712" s="727"/>
      <c r="M712" s="728"/>
      <c r="N712" s="737" t="s">
        <v>2843</v>
      </c>
      <c r="O712" s="737" t="s">
        <v>2347</v>
      </c>
      <c r="P712" s="728" t="s">
        <v>487</v>
      </c>
    </row>
    <row r="713" spans="2:17" s="723" customFormat="1" ht="12" customHeight="1">
      <c r="B713" s="722"/>
      <c r="J713" s="735" t="s">
        <v>580</v>
      </c>
      <c r="K713" s="736"/>
      <c r="L713" s="727"/>
      <c r="M713" s="728"/>
      <c r="N713" s="737" t="s">
        <v>3064</v>
      </c>
      <c r="O713" s="737" t="s">
        <v>2585</v>
      </c>
      <c r="P713" s="728" t="s">
        <v>488</v>
      </c>
    </row>
    <row r="714" spans="2:17" s="723" customFormat="1" ht="12" customHeight="1">
      <c r="B714" s="722"/>
      <c r="J714" s="735" t="s">
        <v>2813</v>
      </c>
      <c r="K714" s="736"/>
      <c r="L714" s="727"/>
      <c r="M714" s="728"/>
      <c r="N714" s="737" t="s">
        <v>3065</v>
      </c>
      <c r="O714" s="737" t="s">
        <v>175</v>
      </c>
      <c r="P714" s="728" t="s">
        <v>489</v>
      </c>
    </row>
    <row r="715" spans="2:17" s="723" customFormat="1" ht="12" customHeight="1">
      <c r="B715" s="722"/>
      <c r="J715" s="735" t="s">
        <v>2840</v>
      </c>
      <c r="K715" s="736"/>
      <c r="L715" s="727"/>
      <c r="M715" s="728"/>
      <c r="N715" s="737" t="s">
        <v>3066</v>
      </c>
      <c r="O715" s="737" t="s">
        <v>2349</v>
      </c>
      <c r="P715" s="728" t="s">
        <v>490</v>
      </c>
    </row>
    <row r="716" spans="2:17" s="723" customFormat="1" ht="12" customHeight="1">
      <c r="B716" s="722"/>
      <c r="J716" s="847"/>
      <c r="K716" s="848"/>
      <c r="L716" s="848"/>
      <c r="M716" s="849"/>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98" t="s">
        <v>2857</v>
      </c>
    </row>
    <row r="723" spans="2:16" s="723" customFormat="1" ht="12" customHeight="1">
      <c r="B723" s="722"/>
      <c r="F723" s="743"/>
      <c r="G723" s="744"/>
      <c r="H723" s="745"/>
      <c r="N723" s="737" t="s">
        <v>1211</v>
      </c>
      <c r="O723" s="737" t="s">
        <v>2661</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98" t="s">
        <v>2857</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2661</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2619</v>
      </c>
      <c r="P737" s="728" t="s">
        <v>508</v>
      </c>
    </row>
    <row r="738" spans="2:16" s="723" customFormat="1" ht="12" customHeight="1">
      <c r="B738" s="722"/>
      <c r="F738" s="743"/>
      <c r="G738" s="744"/>
      <c r="H738" s="745"/>
      <c r="N738" s="737" t="s">
        <v>2390</v>
      </c>
      <c r="O738" s="737" t="s">
        <v>1763</v>
      </c>
      <c r="P738" s="1397"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1398" t="s">
        <v>2857</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2721</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2587</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2722</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2625</v>
      </c>
      <c r="P756" s="728" t="s">
        <v>525</v>
      </c>
    </row>
    <row r="757" spans="2:16" s="723" customFormat="1" ht="12" customHeight="1">
      <c r="B757" s="722"/>
      <c r="F757" s="743"/>
      <c r="G757" s="744"/>
      <c r="H757" s="745"/>
      <c r="N757" s="737" t="s">
        <v>329</v>
      </c>
      <c r="O757" s="737" t="s">
        <v>116</v>
      </c>
      <c r="P757" s="1397"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98" t="s">
        <v>2857</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98" t="s">
        <v>2857</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2587</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2718</v>
      </c>
      <c r="P776" s="728" t="s">
        <v>542</v>
      </c>
    </row>
    <row r="777" spans="2:16" s="723" customFormat="1" ht="12" customHeight="1">
      <c r="B777" s="722"/>
      <c r="F777" s="743"/>
      <c r="G777" s="744"/>
      <c r="H777" s="745"/>
      <c r="N777" s="737" t="s">
        <v>1230</v>
      </c>
      <c r="O777" s="737" t="s">
        <v>2621</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84" t="str">
        <f>CONCATENATE("PART TWO - DEVELOPMENT TEAM INFORMATION","  -  ",'Part I-Project Information'!$O$4," ",'Part I-Project Information'!$F$23,", ",'Part I-Project Information'!F26,", ",'Part I-Project Information'!J27," County")</f>
        <v>PART TWO - DEVELOPMENT TEAM INFORMATION  -  2013-019 BTW-Chapman Phase I, Columbus, Muscogee County</v>
      </c>
      <c r="B1" s="885"/>
      <c r="C1" s="885"/>
      <c r="D1" s="885"/>
      <c r="E1" s="885"/>
      <c r="F1" s="885"/>
      <c r="G1" s="885"/>
      <c r="H1" s="885"/>
      <c r="I1" s="885"/>
      <c r="J1" s="885"/>
      <c r="K1" s="885"/>
      <c r="L1" s="885"/>
      <c r="M1" s="885"/>
      <c r="N1" s="885"/>
      <c r="O1" s="885"/>
      <c r="P1" s="885"/>
      <c r="Q1" s="885"/>
      <c r="R1" s="885"/>
      <c r="S1" s="886"/>
    </row>
    <row r="3" spans="1:26" s="386" customFormat="1" ht="13.15" customHeight="1">
      <c r="A3" s="389" t="s">
        <v>796</v>
      </c>
      <c r="B3" s="393" t="s">
        <v>2563</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2695</v>
      </c>
      <c r="C5" s="393" t="s">
        <v>2559</v>
      </c>
      <c r="H5" s="1310" t="s">
        <v>4089</v>
      </c>
      <c r="I5" s="1371"/>
      <c r="J5" s="1371"/>
      <c r="K5" s="1371"/>
      <c r="L5" s="1371"/>
      <c r="M5" s="1371"/>
      <c r="N5" s="1372"/>
      <c r="O5" s="788" t="s">
        <v>2702</v>
      </c>
      <c r="P5" s="788"/>
      <c r="Q5" s="1310" t="s">
        <v>4085</v>
      </c>
      <c r="R5" s="1371"/>
      <c r="S5" s="1372"/>
    </row>
    <row r="6" spans="1:26" s="386" customFormat="1" ht="12.6" customHeight="1">
      <c r="D6" s="431"/>
      <c r="E6" s="392" t="s">
        <v>1424</v>
      </c>
      <c r="F6" s="400"/>
      <c r="H6" s="1310" t="s">
        <v>4092</v>
      </c>
      <c r="I6" s="1371"/>
      <c r="J6" s="1371"/>
      <c r="K6" s="1371"/>
      <c r="L6" s="1371"/>
      <c r="M6" s="1371"/>
      <c r="N6" s="1372"/>
      <c r="O6" s="788" t="s">
        <v>2441</v>
      </c>
      <c r="Q6" s="1310" t="s">
        <v>4090</v>
      </c>
      <c r="R6" s="1371"/>
      <c r="S6" s="1372"/>
    </row>
    <row r="7" spans="1:26" s="386" customFormat="1" ht="12.6" customHeight="1">
      <c r="D7" s="431"/>
      <c r="E7" s="392" t="s">
        <v>798</v>
      </c>
      <c r="H7" s="1310" t="s">
        <v>177</v>
      </c>
      <c r="I7" s="1371"/>
      <c r="J7" s="1372"/>
      <c r="K7" s="1400" t="s">
        <v>1068</v>
      </c>
      <c r="L7" s="1310"/>
      <c r="M7" s="1371"/>
      <c r="N7" s="1372"/>
      <c r="O7" s="788" t="s">
        <v>2499</v>
      </c>
      <c r="Q7" s="1318">
        <v>7065712807</v>
      </c>
      <c r="R7" s="1323"/>
      <c r="S7" s="1319"/>
    </row>
    <row r="8" spans="1:26" s="386" customFormat="1" ht="12.6" customHeight="1">
      <c r="D8" s="431"/>
      <c r="E8" s="392" t="s">
        <v>2495</v>
      </c>
      <c r="H8" s="1324" t="s">
        <v>1242</v>
      </c>
      <c r="I8" s="802" t="s">
        <v>1711</v>
      </c>
      <c r="J8" s="1321">
        <v>319062898</v>
      </c>
      <c r="K8" s="1322"/>
      <c r="L8" s="351" t="s">
        <v>3743</v>
      </c>
      <c r="M8" s="1401">
        <v>25</v>
      </c>
      <c r="N8" s="1402"/>
      <c r="O8" s="788" t="s">
        <v>2691</v>
      </c>
      <c r="Q8" s="1318"/>
      <c r="R8" s="1323"/>
      <c r="S8" s="1319"/>
    </row>
    <row r="9" spans="1:26" s="386" customFormat="1" ht="12.6" customHeight="1">
      <c r="D9" s="431"/>
      <c r="E9" s="392" t="s">
        <v>2697</v>
      </c>
      <c r="H9" s="1318">
        <v>7065712800</v>
      </c>
      <c r="I9" s="1319"/>
      <c r="J9" s="1403"/>
      <c r="K9" s="802" t="s">
        <v>2498</v>
      </c>
      <c r="L9" s="1357">
        <v>7065712849</v>
      </c>
      <c r="M9" s="1404"/>
      <c r="N9" s="394" t="s">
        <v>2696</v>
      </c>
      <c r="O9" s="1325" t="s">
        <v>4086</v>
      </c>
      <c r="P9" s="1326"/>
      <c r="Q9" s="1326"/>
      <c r="R9" s="1326"/>
      <c r="S9" s="1327"/>
    </row>
    <row r="10" spans="1:26" s="386" customFormat="1" ht="13.15" customHeight="1">
      <c r="D10" s="431"/>
      <c r="E10" s="377" t="s">
        <v>3742</v>
      </c>
      <c r="H10" s="425"/>
      <c r="K10" s="351" t="s">
        <v>3744</v>
      </c>
      <c r="M10" s="1373">
        <v>2</v>
      </c>
      <c r="N10" s="472" t="s">
        <v>1712</v>
      </c>
      <c r="Q10" s="80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2698</v>
      </c>
      <c r="C12" s="393" t="s">
        <v>2560</v>
      </c>
      <c r="F12" s="393"/>
      <c r="G12" s="393"/>
      <c r="H12" s="393"/>
      <c r="I12" s="393"/>
      <c r="J12" s="393"/>
      <c r="N12" s="786" t="s">
        <v>3915</v>
      </c>
      <c r="P12" s="1405" t="s">
        <v>1710</v>
      </c>
      <c r="W12" s="1405"/>
      <c r="X12" s="1405"/>
      <c r="Y12" s="1405"/>
      <c r="Z12" s="1405"/>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2699</v>
      </c>
      <c r="D14" s="430" t="s">
        <v>2700</v>
      </c>
      <c r="H14" s="796"/>
      <c r="I14" s="796"/>
      <c r="J14" s="796"/>
      <c r="N14" s="786" t="s">
        <v>3954</v>
      </c>
      <c r="P14" s="773" t="s">
        <v>3953</v>
      </c>
      <c r="W14" s="1406"/>
      <c r="X14" s="1406"/>
      <c r="Y14" s="1406"/>
      <c r="Z14" s="1406"/>
    </row>
    <row r="15" spans="1:26" s="386" customFormat="1" ht="4.1500000000000004" customHeight="1">
      <c r="D15" s="433"/>
      <c r="E15" s="434"/>
      <c r="H15" s="1407"/>
      <c r="I15" s="1407"/>
      <c r="J15" s="1407"/>
      <c r="K15" s="790"/>
      <c r="L15" s="1407"/>
      <c r="M15" s="1407"/>
      <c r="N15" s="790"/>
      <c r="O15" s="1408"/>
      <c r="P15" s="1408"/>
      <c r="Q15" s="802"/>
      <c r="R15" s="1408"/>
      <c r="S15" s="1408"/>
    </row>
    <row r="16" spans="1:26" s="386" customFormat="1" ht="12.6" customHeight="1">
      <c r="D16" s="389" t="s">
        <v>2832</v>
      </c>
      <c r="E16" s="386" t="s">
        <v>2561</v>
      </c>
      <c r="H16" s="1310" t="s">
        <v>4091</v>
      </c>
      <c r="I16" s="1371"/>
      <c r="J16" s="1371"/>
      <c r="K16" s="1371"/>
      <c r="L16" s="1371"/>
      <c r="M16" s="1371"/>
      <c r="N16" s="1372"/>
      <c r="O16" s="788" t="s">
        <v>2702</v>
      </c>
      <c r="P16" s="788"/>
      <c r="Q16" s="1310" t="s">
        <v>4085</v>
      </c>
      <c r="R16" s="1371"/>
      <c r="S16" s="1372"/>
    </row>
    <row r="17" spans="4:19" s="386" customFormat="1" ht="12.6" customHeight="1">
      <c r="D17" s="431"/>
      <c r="E17" s="392" t="s">
        <v>1424</v>
      </c>
      <c r="F17" s="400"/>
      <c r="H17" s="1310" t="s">
        <v>4092</v>
      </c>
      <c r="I17" s="1371"/>
      <c r="J17" s="1371"/>
      <c r="K17" s="1371"/>
      <c r="L17" s="1371"/>
      <c r="M17" s="1371"/>
      <c r="N17" s="1372"/>
      <c r="O17" s="788" t="s">
        <v>2441</v>
      </c>
      <c r="Q17" s="1310" t="s">
        <v>4090</v>
      </c>
      <c r="R17" s="1371"/>
      <c r="S17" s="1372"/>
    </row>
    <row r="18" spans="4:19" s="386" customFormat="1" ht="12.6" customHeight="1">
      <c r="D18" s="431"/>
      <c r="E18" s="392" t="s">
        <v>798</v>
      </c>
      <c r="H18" s="1310" t="s">
        <v>177</v>
      </c>
      <c r="I18" s="1371"/>
      <c r="J18" s="1372"/>
      <c r="O18" s="788" t="s">
        <v>2499</v>
      </c>
      <c r="Q18" s="1318">
        <v>7065712807</v>
      </c>
      <c r="R18" s="1323"/>
      <c r="S18" s="1319"/>
    </row>
    <row r="19" spans="4:19" s="386" customFormat="1" ht="12.6" customHeight="1">
      <c r="D19" s="389"/>
      <c r="E19" s="392" t="s">
        <v>2495</v>
      </c>
      <c r="H19" s="1324" t="s">
        <v>1242</v>
      </c>
      <c r="I19" s="802" t="s">
        <v>1711</v>
      </c>
      <c r="J19" s="1321">
        <v>319062898</v>
      </c>
      <c r="K19" s="1322"/>
      <c r="L19" s="351" t="s">
        <v>1713</v>
      </c>
      <c r="N19" s="1373">
        <v>2</v>
      </c>
      <c r="O19" s="788" t="s">
        <v>2691</v>
      </c>
      <c r="Q19" s="1318"/>
      <c r="R19" s="1323"/>
      <c r="S19" s="1319"/>
    </row>
    <row r="20" spans="4:19" s="386" customFormat="1" ht="12.6" customHeight="1">
      <c r="D20" s="431"/>
      <c r="E20" s="392" t="s">
        <v>2697</v>
      </c>
      <c r="H20" s="1318">
        <v>7065712800</v>
      </c>
      <c r="I20" s="1319"/>
      <c r="J20" s="1403"/>
      <c r="K20" s="802" t="s">
        <v>2498</v>
      </c>
      <c r="L20" s="1357">
        <v>7065712849</v>
      </c>
      <c r="M20" s="1404"/>
      <c r="N20" s="394" t="s">
        <v>2696</v>
      </c>
      <c r="O20" s="1325" t="s">
        <v>4086</v>
      </c>
      <c r="P20" s="1326"/>
      <c r="Q20" s="1326"/>
      <c r="R20" s="1326"/>
      <c r="S20" s="1327"/>
    </row>
    <row r="21" spans="4:19" ht="4.1500000000000004" customHeight="1">
      <c r="D21" s="415"/>
      <c r="H21" s="1409"/>
      <c r="I21" s="1409"/>
      <c r="J21" s="1409"/>
      <c r="K21" s="802"/>
      <c r="L21" s="1409"/>
      <c r="M21" s="1409"/>
      <c r="N21" s="790"/>
      <c r="O21" s="1408"/>
      <c r="P21" s="1408"/>
      <c r="Q21" s="802"/>
      <c r="R21" s="1408"/>
      <c r="S21" s="1408"/>
    </row>
    <row r="22" spans="4:19" s="386" customFormat="1" ht="12.6" customHeight="1">
      <c r="D22" s="389" t="s">
        <v>2833</v>
      </c>
      <c r="E22" s="386" t="s">
        <v>2562</v>
      </c>
      <c r="F22" s="796"/>
      <c r="H22" s="1310"/>
      <c r="I22" s="1371"/>
      <c r="J22" s="1371"/>
      <c r="K22" s="1371"/>
      <c r="L22" s="1371"/>
      <c r="M22" s="1371"/>
      <c r="N22" s="1372"/>
      <c r="O22" s="788" t="s">
        <v>2702</v>
      </c>
      <c r="P22" s="788"/>
      <c r="Q22" s="1310"/>
      <c r="R22" s="1371"/>
      <c r="S22" s="1372"/>
    </row>
    <row r="23" spans="4:19" s="386" customFormat="1" ht="12.6" customHeight="1">
      <c r="D23" s="431"/>
      <c r="E23" s="392" t="s">
        <v>1424</v>
      </c>
      <c r="F23" s="400"/>
      <c r="H23" s="1310"/>
      <c r="I23" s="1371"/>
      <c r="J23" s="1371"/>
      <c r="K23" s="1371"/>
      <c r="L23" s="1371"/>
      <c r="M23" s="1371"/>
      <c r="N23" s="1372"/>
      <c r="O23" s="788" t="s">
        <v>2441</v>
      </c>
      <c r="Q23" s="1310"/>
      <c r="R23" s="1371"/>
      <c r="S23" s="1372"/>
    </row>
    <row r="24" spans="4:19" s="386" customFormat="1" ht="12.6" customHeight="1">
      <c r="D24" s="431"/>
      <c r="E24" s="392" t="s">
        <v>798</v>
      </c>
      <c r="H24" s="1310"/>
      <c r="I24" s="1371"/>
      <c r="J24" s="1372"/>
      <c r="O24" s="788" t="s">
        <v>2499</v>
      </c>
      <c r="Q24" s="1318"/>
      <c r="R24" s="1323"/>
      <c r="S24" s="1319"/>
    </row>
    <row r="25" spans="4:19" s="386" customFormat="1" ht="12.6" customHeight="1">
      <c r="E25" s="392" t="s">
        <v>2495</v>
      </c>
      <c r="H25" s="1324"/>
      <c r="I25" s="417" t="s">
        <v>2954</v>
      </c>
      <c r="J25" s="1321"/>
      <c r="K25" s="1372"/>
      <c r="O25" s="788" t="s">
        <v>2691</v>
      </c>
      <c r="Q25" s="1318"/>
      <c r="R25" s="1323"/>
      <c r="S25" s="1319"/>
    </row>
    <row r="26" spans="4:19" s="386" customFormat="1" ht="12.6" customHeight="1">
      <c r="D26" s="431"/>
      <c r="E26" s="392" t="s">
        <v>2697</v>
      </c>
      <c r="H26" s="1318"/>
      <c r="I26" s="1319"/>
      <c r="J26" s="1403"/>
      <c r="K26" s="802" t="s">
        <v>2498</v>
      </c>
      <c r="L26" s="1357"/>
      <c r="M26" s="1372"/>
      <c r="N26" s="394" t="s">
        <v>2696</v>
      </c>
      <c r="O26" s="1325"/>
      <c r="P26" s="1326"/>
      <c r="Q26" s="1326"/>
      <c r="R26" s="1326"/>
      <c r="S26" s="1327"/>
    </row>
    <row r="27" spans="4:19" s="386" customFormat="1" ht="4.1500000000000004" customHeight="1">
      <c r="D27" s="431"/>
      <c r="E27" s="796"/>
      <c r="F27" s="796"/>
      <c r="G27" s="788"/>
      <c r="H27" s="1409"/>
      <c r="I27" s="1409"/>
      <c r="J27" s="1409"/>
      <c r="K27" s="802"/>
      <c r="L27" s="1409"/>
      <c r="M27" s="1409"/>
      <c r="N27" s="790"/>
      <c r="O27" s="1408"/>
      <c r="P27" s="1408"/>
      <c r="Q27" s="802"/>
      <c r="R27" s="1408"/>
      <c r="S27" s="1408"/>
    </row>
    <row r="28" spans="4:19" s="386" customFormat="1" ht="12.6" customHeight="1">
      <c r="D28" s="389" t="s">
        <v>2427</v>
      </c>
      <c r="E28" s="386" t="s">
        <v>2562</v>
      </c>
      <c r="F28" s="796"/>
      <c r="H28" s="1310"/>
      <c r="I28" s="1371"/>
      <c r="J28" s="1371"/>
      <c r="K28" s="1371"/>
      <c r="L28" s="1371"/>
      <c r="M28" s="1371"/>
      <c r="N28" s="1372"/>
      <c r="O28" s="788" t="s">
        <v>2702</v>
      </c>
      <c r="P28" s="788"/>
      <c r="Q28" s="1310"/>
      <c r="R28" s="1371"/>
      <c r="S28" s="1372"/>
    </row>
    <row r="29" spans="4:19" s="386" customFormat="1" ht="12.6" customHeight="1">
      <c r="D29" s="431"/>
      <c r="E29" s="392" t="s">
        <v>1424</v>
      </c>
      <c r="F29" s="400"/>
      <c r="H29" s="1310"/>
      <c r="I29" s="1371"/>
      <c r="J29" s="1371"/>
      <c r="K29" s="1371"/>
      <c r="L29" s="1371"/>
      <c r="M29" s="1371"/>
      <c r="N29" s="1372"/>
      <c r="O29" s="788" t="s">
        <v>2441</v>
      </c>
      <c r="Q29" s="1310"/>
      <c r="R29" s="1371"/>
      <c r="S29" s="1372"/>
    </row>
    <row r="30" spans="4:19" s="386" customFormat="1" ht="12.6" customHeight="1">
      <c r="D30" s="431"/>
      <c r="E30" s="392" t="s">
        <v>798</v>
      </c>
      <c r="H30" s="1310"/>
      <c r="I30" s="1371"/>
      <c r="J30" s="1372"/>
      <c r="O30" s="788" t="s">
        <v>2499</v>
      </c>
      <c r="Q30" s="1318"/>
      <c r="R30" s="1323"/>
      <c r="S30" s="1319"/>
    </row>
    <row r="31" spans="4:19" s="386" customFormat="1" ht="12.6" customHeight="1">
      <c r="E31" s="392" t="s">
        <v>2495</v>
      </c>
      <c r="H31" s="1324"/>
      <c r="I31" s="417" t="s">
        <v>2954</v>
      </c>
      <c r="J31" s="1321"/>
      <c r="K31" s="1372"/>
      <c r="O31" s="788" t="s">
        <v>2691</v>
      </c>
      <c r="Q31" s="1318"/>
      <c r="R31" s="1323"/>
      <c r="S31" s="1319"/>
    </row>
    <row r="32" spans="4:19" s="386" customFormat="1" ht="12.6" customHeight="1">
      <c r="D32" s="431"/>
      <c r="E32" s="392" t="s">
        <v>2697</v>
      </c>
      <c r="H32" s="1318"/>
      <c r="I32" s="1319"/>
      <c r="J32" s="1403"/>
      <c r="K32" s="802" t="s">
        <v>2498</v>
      </c>
      <c r="L32" s="1357"/>
      <c r="M32" s="1372"/>
      <c r="N32" s="394" t="s">
        <v>2696</v>
      </c>
      <c r="O32" s="1325"/>
      <c r="P32" s="1326"/>
      <c r="Q32" s="1326"/>
      <c r="R32" s="1326"/>
      <c r="S32" s="1327"/>
    </row>
    <row r="33" spans="3:19" ht="4.1500000000000004" customHeight="1"/>
    <row r="34" spans="3:19" s="386" customFormat="1" ht="13.15" customHeight="1">
      <c r="C34" s="433" t="s">
        <v>2701</v>
      </c>
      <c r="D34" s="430" t="s">
        <v>2564</v>
      </c>
      <c r="H34" s="796"/>
      <c r="I34" s="796"/>
      <c r="J34" s="796"/>
      <c r="K34" s="796"/>
      <c r="L34" s="796"/>
      <c r="M34" s="796"/>
    </row>
    <row r="35" spans="3:19" s="386" customFormat="1" ht="4.1500000000000004" customHeight="1">
      <c r="C35" s="435"/>
      <c r="D35" s="430"/>
      <c r="H35" s="1407"/>
      <c r="I35" s="1407"/>
      <c r="J35" s="1407"/>
      <c r="K35" s="790"/>
      <c r="L35" s="1407"/>
      <c r="M35" s="1407"/>
      <c r="N35" s="790"/>
      <c r="O35" s="1408"/>
      <c r="P35" s="1408"/>
      <c r="Q35" s="802"/>
      <c r="R35" s="1408"/>
      <c r="S35" s="1408"/>
    </row>
    <row r="36" spans="3:19" s="386" customFormat="1" ht="12.6" customHeight="1">
      <c r="D36" s="389" t="s">
        <v>2832</v>
      </c>
      <c r="E36" s="386" t="s">
        <v>1055</v>
      </c>
      <c r="H36" s="1347" t="s">
        <v>4141</v>
      </c>
      <c r="I36" s="1410"/>
      <c r="J36" s="1410"/>
      <c r="K36" s="1410"/>
      <c r="L36" s="1410"/>
      <c r="M36" s="1410"/>
      <c r="N36" s="1411"/>
      <c r="O36" s="788" t="s">
        <v>2702</v>
      </c>
      <c r="P36" s="788"/>
      <c r="Q36" s="1347" t="s">
        <v>4142</v>
      </c>
      <c r="R36" s="1410"/>
      <c r="S36" s="1411"/>
    </row>
    <row r="37" spans="3:19" s="386" customFormat="1" ht="12.6" customHeight="1">
      <c r="D37" s="431"/>
      <c r="E37" s="392" t="s">
        <v>1424</v>
      </c>
      <c r="F37" s="400"/>
      <c r="H37" s="1347" t="s">
        <v>4144</v>
      </c>
      <c r="I37" s="1410"/>
      <c r="J37" s="1410"/>
      <c r="K37" s="1410"/>
      <c r="L37" s="1410"/>
      <c r="M37" s="1410"/>
      <c r="N37" s="1411"/>
      <c r="O37" s="788" t="s">
        <v>2441</v>
      </c>
      <c r="Q37" s="1347" t="s">
        <v>4143</v>
      </c>
      <c r="R37" s="1410"/>
      <c r="S37" s="1411"/>
    </row>
    <row r="38" spans="3:19" s="386" customFormat="1" ht="12.6" customHeight="1">
      <c r="D38" s="431"/>
      <c r="E38" s="392" t="s">
        <v>798</v>
      </c>
      <c r="H38" s="1347" t="s">
        <v>4145</v>
      </c>
      <c r="I38" s="1410"/>
      <c r="J38" s="1411"/>
      <c r="O38" s="788" t="s">
        <v>2499</v>
      </c>
      <c r="Q38" s="1360">
        <v>9802336462</v>
      </c>
      <c r="R38" s="1412"/>
      <c r="S38" s="1361"/>
    </row>
    <row r="39" spans="3:19" s="386" customFormat="1" ht="12.6" customHeight="1">
      <c r="E39" s="392" t="s">
        <v>2495</v>
      </c>
      <c r="H39" s="1413" t="s">
        <v>1784</v>
      </c>
      <c r="I39" s="1414" t="s">
        <v>2954</v>
      </c>
      <c r="J39" s="1415">
        <v>282104272</v>
      </c>
      <c r="K39" s="1411"/>
      <c r="O39" s="788" t="s">
        <v>2691</v>
      </c>
      <c r="Q39" s="1360"/>
      <c r="R39" s="1412"/>
      <c r="S39" s="1361"/>
    </row>
    <row r="40" spans="3:19" s="386" customFormat="1" ht="12.6" customHeight="1">
      <c r="D40" s="431"/>
      <c r="E40" s="392" t="s">
        <v>2697</v>
      </c>
      <c r="H40" s="1360"/>
      <c r="I40" s="1361"/>
      <c r="J40" s="1416"/>
      <c r="K40" s="802" t="s">
        <v>2498</v>
      </c>
      <c r="L40" s="1417">
        <v>9802336501</v>
      </c>
      <c r="M40" s="1411"/>
      <c r="N40" s="394" t="s">
        <v>2696</v>
      </c>
      <c r="O40" s="1418" t="s">
        <v>4146</v>
      </c>
      <c r="P40" s="1419"/>
      <c r="Q40" s="1419"/>
      <c r="R40" s="1419"/>
      <c r="S40" s="1420"/>
    </row>
    <row r="41" spans="3:19" ht="4.1500000000000004" customHeight="1">
      <c r="H41" s="1421"/>
      <c r="I41" s="1421"/>
      <c r="J41" s="1421"/>
      <c r="K41" s="802"/>
      <c r="L41" s="1421"/>
      <c r="M41" s="1421"/>
      <c r="N41" s="790"/>
      <c r="O41" s="1408"/>
      <c r="P41" s="1408"/>
      <c r="Q41" s="802"/>
      <c r="R41" s="1408"/>
      <c r="S41" s="1408"/>
    </row>
    <row r="42" spans="3:19" s="386" customFormat="1" ht="12.6" customHeight="1">
      <c r="D42" s="389" t="s">
        <v>2833</v>
      </c>
      <c r="E42" s="386" t="s">
        <v>1056</v>
      </c>
      <c r="F42" s="389"/>
      <c r="H42" s="1347" t="s">
        <v>4141</v>
      </c>
      <c r="I42" s="1410"/>
      <c r="J42" s="1410"/>
      <c r="K42" s="1410"/>
      <c r="L42" s="1410"/>
      <c r="M42" s="1410"/>
      <c r="N42" s="1411"/>
      <c r="O42" s="788" t="s">
        <v>2702</v>
      </c>
      <c r="P42" s="788"/>
      <c r="Q42" s="1347" t="s">
        <v>4142</v>
      </c>
      <c r="R42" s="1410"/>
      <c r="S42" s="1411"/>
    </row>
    <row r="43" spans="3:19" s="386" customFormat="1" ht="12.6" customHeight="1">
      <c r="D43" s="431"/>
      <c r="E43" s="392" t="s">
        <v>1424</v>
      </c>
      <c r="F43" s="400"/>
      <c r="H43" s="1347" t="s">
        <v>4144</v>
      </c>
      <c r="I43" s="1410"/>
      <c r="J43" s="1410"/>
      <c r="K43" s="1410"/>
      <c r="L43" s="1410"/>
      <c r="M43" s="1410"/>
      <c r="N43" s="1411"/>
      <c r="O43" s="788" t="s">
        <v>2441</v>
      </c>
      <c r="Q43" s="1347" t="s">
        <v>4143</v>
      </c>
      <c r="R43" s="1410"/>
      <c r="S43" s="1411"/>
    </row>
    <row r="44" spans="3:19" s="386" customFormat="1" ht="12.6" customHeight="1">
      <c r="D44" s="431"/>
      <c r="E44" s="392" t="s">
        <v>798</v>
      </c>
      <c r="H44" s="1347" t="s">
        <v>4145</v>
      </c>
      <c r="I44" s="1410"/>
      <c r="J44" s="1411"/>
      <c r="O44" s="788" t="s">
        <v>2499</v>
      </c>
      <c r="Q44" s="1360">
        <v>9802336462</v>
      </c>
      <c r="R44" s="1412"/>
      <c r="S44" s="1361"/>
    </row>
    <row r="45" spans="3:19" s="386" customFormat="1" ht="12.6" customHeight="1">
      <c r="D45" s="389"/>
      <c r="E45" s="392" t="s">
        <v>2495</v>
      </c>
      <c r="H45" s="1413" t="s">
        <v>1784</v>
      </c>
      <c r="I45" s="1414" t="s">
        <v>2954</v>
      </c>
      <c r="J45" s="1415">
        <v>282104272</v>
      </c>
      <c r="K45" s="1411"/>
      <c r="O45" s="788" t="s">
        <v>2691</v>
      </c>
      <c r="Q45" s="1360"/>
      <c r="R45" s="1412"/>
      <c r="S45" s="1361"/>
    </row>
    <row r="46" spans="3:19" s="386" customFormat="1" ht="12.6" customHeight="1">
      <c r="D46" s="431"/>
      <c r="E46" s="392" t="s">
        <v>2697</v>
      </c>
      <c r="H46" s="1360"/>
      <c r="I46" s="1361"/>
      <c r="J46" s="1416"/>
      <c r="K46" s="802" t="s">
        <v>2498</v>
      </c>
      <c r="L46" s="1417">
        <v>9802336501</v>
      </c>
      <c r="M46" s="1411"/>
      <c r="N46" s="394" t="s">
        <v>2696</v>
      </c>
      <c r="O46" s="1418" t="s">
        <v>4146</v>
      </c>
      <c r="P46" s="1419"/>
      <c r="Q46" s="1419"/>
      <c r="R46" s="1419"/>
      <c r="S46" s="1420"/>
    </row>
    <row r="47" spans="3:19" s="386" customFormat="1" ht="4.1500000000000004" customHeight="1">
      <c r="D47" s="431"/>
      <c r="E47" s="392"/>
      <c r="F47" s="389"/>
      <c r="H47" s="425"/>
      <c r="I47" s="425"/>
      <c r="J47" s="1422"/>
      <c r="K47" s="802"/>
      <c r="L47" s="425"/>
      <c r="M47" s="425"/>
      <c r="N47" s="802"/>
      <c r="O47" s="425"/>
      <c r="P47" s="425"/>
      <c r="Q47" s="802"/>
      <c r="R47" s="425"/>
      <c r="S47" s="425"/>
    </row>
    <row r="48" spans="3:19" s="386" customFormat="1" ht="13.15" customHeight="1">
      <c r="C48" s="435" t="s">
        <v>3323</v>
      </c>
      <c r="D48" s="430" t="s">
        <v>836</v>
      </c>
      <c r="H48" s="796"/>
      <c r="I48" s="796"/>
      <c r="J48" s="796"/>
      <c r="K48" s="796"/>
      <c r="L48" s="796"/>
      <c r="M48" s="796"/>
    </row>
    <row r="49" spans="1:19" s="386" customFormat="1" ht="4.1500000000000004" customHeight="1">
      <c r="D49" s="435"/>
      <c r="E49" s="434"/>
      <c r="H49" s="1407"/>
      <c r="I49" s="1407"/>
      <c r="J49" s="1407"/>
      <c r="K49" s="790"/>
      <c r="L49" s="1407"/>
      <c r="M49" s="1407"/>
      <c r="N49" s="790"/>
      <c r="O49" s="1408"/>
      <c r="P49" s="1408"/>
      <c r="Q49" s="802"/>
      <c r="R49" s="1408"/>
      <c r="S49" s="1408"/>
    </row>
    <row r="50" spans="1:19" s="386" customFormat="1" ht="12.6" customHeight="1">
      <c r="E50" s="386" t="s">
        <v>96</v>
      </c>
      <c r="H50" s="1310"/>
      <c r="I50" s="1371"/>
      <c r="J50" s="1371"/>
      <c r="K50" s="1371"/>
      <c r="L50" s="1371"/>
      <c r="M50" s="1371"/>
      <c r="N50" s="1372"/>
      <c r="O50" s="788" t="s">
        <v>2702</v>
      </c>
      <c r="P50" s="788"/>
      <c r="Q50" s="1310"/>
      <c r="R50" s="1371"/>
      <c r="S50" s="1372"/>
    </row>
    <row r="51" spans="1:19" s="386" customFormat="1" ht="12.6" customHeight="1">
      <c r="D51" s="431"/>
      <c r="E51" s="392" t="s">
        <v>1424</v>
      </c>
      <c r="F51" s="400"/>
      <c r="H51" s="1310"/>
      <c r="I51" s="1371"/>
      <c r="J51" s="1371"/>
      <c r="K51" s="1371"/>
      <c r="L51" s="1371"/>
      <c r="M51" s="1371"/>
      <c r="N51" s="1372"/>
      <c r="O51" s="788" t="s">
        <v>2441</v>
      </c>
      <c r="Q51" s="1310"/>
      <c r="R51" s="1371"/>
      <c r="S51" s="1372"/>
    </row>
    <row r="52" spans="1:19" s="386" customFormat="1" ht="12.6" customHeight="1">
      <c r="D52" s="431"/>
      <c r="E52" s="392" t="s">
        <v>798</v>
      </c>
      <c r="H52" s="1310"/>
      <c r="I52" s="1371"/>
      <c r="J52" s="1372"/>
      <c r="O52" s="788" t="s">
        <v>2499</v>
      </c>
      <c r="Q52" s="1318"/>
      <c r="R52" s="1323"/>
      <c r="S52" s="1319"/>
    </row>
    <row r="53" spans="1:19" s="386" customFormat="1" ht="12.6" customHeight="1">
      <c r="E53" s="392" t="s">
        <v>2495</v>
      </c>
      <c r="H53" s="1324"/>
      <c r="I53" s="417" t="s">
        <v>2954</v>
      </c>
      <c r="J53" s="1321"/>
      <c r="K53" s="1372"/>
      <c r="O53" s="788" t="s">
        <v>2691</v>
      </c>
      <c r="Q53" s="1318"/>
      <c r="R53" s="1323"/>
      <c r="S53" s="1319"/>
    </row>
    <row r="54" spans="1:19" s="386" customFormat="1" ht="12.6" customHeight="1">
      <c r="D54" s="431"/>
      <c r="E54" s="392" t="s">
        <v>2697</v>
      </c>
      <c r="H54" s="1318"/>
      <c r="I54" s="1319"/>
      <c r="J54" s="1403"/>
      <c r="K54" s="802" t="s">
        <v>2498</v>
      </c>
      <c r="L54" s="1357"/>
      <c r="M54" s="1372"/>
      <c r="N54" s="394" t="s">
        <v>2696</v>
      </c>
      <c r="O54" s="1325"/>
      <c r="P54" s="1326"/>
      <c r="Q54" s="1326"/>
      <c r="R54" s="1326"/>
      <c r="S54" s="1327"/>
    </row>
    <row r="55" spans="1:19" ht="13.15" customHeight="1"/>
    <row r="56" spans="1:19" s="386" customFormat="1" ht="13.15" customHeight="1">
      <c r="A56" s="389" t="s">
        <v>1045</v>
      </c>
      <c r="B56" s="389" t="s">
        <v>837</v>
      </c>
      <c r="F56" s="389"/>
      <c r="G56" s="802"/>
      <c r="H56" s="802"/>
      <c r="I56" s="802"/>
      <c r="J56" s="796"/>
      <c r="K56" s="796"/>
      <c r="L56" s="796"/>
      <c r="M56" s="796"/>
      <c r="N56" s="796"/>
      <c r="O56" s="796"/>
      <c r="P56" s="796"/>
      <c r="Q56" s="796"/>
      <c r="R56" s="796"/>
      <c r="S56" s="796"/>
    </row>
    <row r="57" spans="1:19" s="386" customFormat="1" ht="9" customHeight="1">
      <c r="A57" s="389"/>
      <c r="B57" s="389"/>
      <c r="F57" s="389"/>
      <c r="G57" s="802"/>
      <c r="H57" s="1407"/>
      <c r="I57" s="1407"/>
      <c r="J57" s="1407"/>
      <c r="K57" s="790"/>
      <c r="L57" s="1407"/>
      <c r="M57" s="1407"/>
      <c r="N57" s="790"/>
      <c r="O57" s="1408"/>
      <c r="P57" s="1408"/>
      <c r="Q57" s="802"/>
      <c r="R57" s="1408"/>
      <c r="S57" s="1408"/>
    </row>
    <row r="58" spans="1:19" s="386" customFormat="1" ht="13.15" customHeight="1">
      <c r="B58" s="389" t="s">
        <v>2695</v>
      </c>
      <c r="C58" s="389" t="s">
        <v>312</v>
      </c>
      <c r="H58" s="1347" t="s">
        <v>4093</v>
      </c>
      <c r="I58" s="1410"/>
      <c r="J58" s="1410"/>
      <c r="K58" s="1410"/>
      <c r="L58" s="1410"/>
      <c r="M58" s="1410"/>
      <c r="N58" s="1411"/>
      <c r="O58" s="788" t="s">
        <v>2702</v>
      </c>
      <c r="P58" s="788"/>
      <c r="Q58" s="1347" t="s">
        <v>4094</v>
      </c>
      <c r="R58" s="1410"/>
      <c r="S58" s="1411"/>
    </row>
    <row r="59" spans="1:19" s="386" customFormat="1" ht="13.15" customHeight="1">
      <c r="D59" s="431"/>
      <c r="E59" s="392" t="s">
        <v>1424</v>
      </c>
      <c r="F59" s="400"/>
      <c r="H59" s="1347" t="s">
        <v>4069</v>
      </c>
      <c r="I59" s="1410"/>
      <c r="J59" s="1410"/>
      <c r="K59" s="1410"/>
      <c r="L59" s="1410"/>
      <c r="M59" s="1410"/>
      <c r="N59" s="1411"/>
      <c r="O59" s="788" t="s">
        <v>2441</v>
      </c>
      <c r="Q59" s="1347" t="s">
        <v>4090</v>
      </c>
      <c r="R59" s="1410"/>
      <c r="S59" s="1411"/>
    </row>
    <row r="60" spans="1:19" s="386" customFormat="1" ht="13.15" customHeight="1">
      <c r="D60" s="431"/>
      <c r="E60" s="392" t="s">
        <v>798</v>
      </c>
      <c r="H60" s="1347" t="s">
        <v>1626</v>
      </c>
      <c r="I60" s="1410"/>
      <c r="J60" s="1411"/>
      <c r="O60" s="788" t="s">
        <v>2499</v>
      </c>
      <c r="Q60" s="1360">
        <v>4044191432</v>
      </c>
      <c r="R60" s="1412"/>
      <c r="S60" s="1361"/>
    </row>
    <row r="61" spans="1:19" s="386" customFormat="1" ht="13.15" customHeight="1">
      <c r="E61" s="392" t="s">
        <v>2495</v>
      </c>
      <c r="H61" s="1413" t="s">
        <v>1242</v>
      </c>
      <c r="I61" s="1414" t="s">
        <v>2954</v>
      </c>
      <c r="J61" s="1415">
        <v>303092452</v>
      </c>
      <c r="K61" s="1411"/>
      <c r="O61" s="788" t="s">
        <v>2691</v>
      </c>
      <c r="Q61" s="1360">
        <v>4047838060</v>
      </c>
      <c r="R61" s="1412"/>
      <c r="S61" s="1361"/>
    </row>
    <row r="62" spans="1:19" s="386" customFormat="1" ht="13.15" customHeight="1">
      <c r="D62" s="431"/>
      <c r="E62" s="392" t="s">
        <v>2697</v>
      </c>
      <c r="H62" s="1360">
        <v>4048745000</v>
      </c>
      <c r="I62" s="1361"/>
      <c r="J62" s="1416">
        <v>122</v>
      </c>
      <c r="K62" s="802" t="s">
        <v>2498</v>
      </c>
      <c r="L62" s="1417">
        <v>4048740999</v>
      </c>
      <c r="M62" s="1411"/>
      <c r="N62" s="394" t="s">
        <v>2696</v>
      </c>
      <c r="O62" s="1418" t="s">
        <v>4095</v>
      </c>
      <c r="P62" s="1419"/>
      <c r="Q62" s="1419"/>
      <c r="R62" s="1419"/>
      <c r="S62" s="1420"/>
    </row>
    <row r="63" spans="1:19" s="386" customFormat="1" ht="6.6" customHeight="1">
      <c r="D63" s="431"/>
      <c r="E63" s="796"/>
      <c r="F63" s="796"/>
      <c r="G63" s="788"/>
      <c r="H63" s="1409"/>
      <c r="I63" s="1409"/>
      <c r="J63" s="1409"/>
      <c r="K63" s="802"/>
      <c r="L63" s="1409"/>
      <c r="M63" s="1409"/>
      <c r="N63" s="790"/>
      <c r="O63" s="1408"/>
      <c r="P63" s="1408"/>
      <c r="Q63" s="802"/>
      <c r="R63" s="1408"/>
      <c r="S63" s="1408"/>
    </row>
    <row r="64" spans="1:19" s="386" customFormat="1" ht="13.15" customHeight="1">
      <c r="B64" s="389" t="s">
        <v>2698</v>
      </c>
      <c r="C64" s="389" t="s">
        <v>313</v>
      </c>
      <c r="H64" s="1310" t="s">
        <v>4084</v>
      </c>
      <c r="I64" s="1371"/>
      <c r="J64" s="1371"/>
      <c r="K64" s="1371"/>
      <c r="L64" s="1371"/>
      <c r="M64" s="1371"/>
      <c r="N64" s="1372"/>
      <c r="O64" s="788" t="s">
        <v>2702</v>
      </c>
      <c r="P64" s="788"/>
      <c r="Q64" s="1310" t="s">
        <v>4085</v>
      </c>
      <c r="R64" s="1371"/>
      <c r="S64" s="1372"/>
    </row>
    <row r="65" spans="2:19" s="386" customFormat="1" ht="13.15" customHeight="1">
      <c r="D65" s="431"/>
      <c r="E65" s="392" t="s">
        <v>1424</v>
      </c>
      <c r="F65" s="400"/>
      <c r="H65" s="1310" t="s">
        <v>4092</v>
      </c>
      <c r="I65" s="1371"/>
      <c r="J65" s="1371"/>
      <c r="K65" s="1371"/>
      <c r="L65" s="1371"/>
      <c r="M65" s="1371"/>
      <c r="N65" s="1372"/>
      <c r="O65" s="788" t="s">
        <v>2441</v>
      </c>
      <c r="Q65" s="1310" t="s">
        <v>4090</v>
      </c>
      <c r="R65" s="1371"/>
      <c r="S65" s="1372"/>
    </row>
    <row r="66" spans="2:19" s="386" customFormat="1" ht="13.15" customHeight="1">
      <c r="D66" s="431"/>
      <c r="E66" s="392" t="s">
        <v>798</v>
      </c>
      <c r="H66" s="1310" t="s">
        <v>177</v>
      </c>
      <c r="I66" s="1371"/>
      <c r="J66" s="1372"/>
      <c r="O66" s="788" t="s">
        <v>2499</v>
      </c>
      <c r="Q66" s="1318">
        <v>7065712807</v>
      </c>
      <c r="R66" s="1323"/>
      <c r="S66" s="1319"/>
    </row>
    <row r="67" spans="2:19" s="386" customFormat="1" ht="13.15" customHeight="1">
      <c r="E67" s="392" t="s">
        <v>2495</v>
      </c>
      <c r="H67" s="1324" t="s">
        <v>1242</v>
      </c>
      <c r="I67" s="417" t="s">
        <v>2954</v>
      </c>
      <c r="J67" s="1321">
        <v>319062898</v>
      </c>
      <c r="K67" s="1372"/>
      <c r="O67" s="788" t="s">
        <v>2691</v>
      </c>
      <c r="Q67" s="1318"/>
      <c r="R67" s="1323"/>
      <c r="S67" s="1319"/>
    </row>
    <row r="68" spans="2:19" s="386" customFormat="1" ht="13.15" customHeight="1">
      <c r="D68" s="431"/>
      <c r="E68" s="392" t="s">
        <v>2697</v>
      </c>
      <c r="H68" s="1318">
        <v>7065712800</v>
      </c>
      <c r="I68" s="1319"/>
      <c r="J68" s="1403"/>
      <c r="K68" s="802" t="s">
        <v>2498</v>
      </c>
      <c r="L68" s="1357">
        <v>7065712849</v>
      </c>
      <c r="M68" s="1404"/>
      <c r="N68" s="394" t="s">
        <v>2696</v>
      </c>
      <c r="O68" s="1325" t="s">
        <v>4086</v>
      </c>
      <c r="P68" s="1326"/>
      <c r="Q68" s="1326"/>
      <c r="R68" s="1326"/>
      <c r="S68" s="1327"/>
    </row>
    <row r="69" spans="2:19" s="386" customFormat="1" ht="6.6" customHeight="1">
      <c r="D69" s="431"/>
      <c r="E69" s="796"/>
      <c r="F69" s="796"/>
      <c r="G69" s="788"/>
      <c r="H69" s="1409"/>
      <c r="I69" s="1409"/>
      <c r="J69" s="1409"/>
      <c r="K69" s="802"/>
      <c r="L69" s="1409"/>
      <c r="M69" s="1409"/>
      <c r="N69" s="790"/>
      <c r="O69" s="1408"/>
      <c r="P69" s="1408"/>
      <c r="Q69" s="802"/>
      <c r="R69" s="1408"/>
      <c r="S69" s="1408"/>
    </row>
    <row r="70" spans="2:19" s="386" customFormat="1" ht="13.15" customHeight="1">
      <c r="B70" s="389" t="s">
        <v>1054</v>
      </c>
      <c r="C70" s="389" t="s">
        <v>1985</v>
      </c>
      <c r="H70" s="1310"/>
      <c r="I70" s="1371"/>
      <c r="J70" s="1371"/>
      <c r="K70" s="1371"/>
      <c r="L70" s="1371"/>
      <c r="M70" s="1371"/>
      <c r="N70" s="1372"/>
      <c r="O70" s="788" t="s">
        <v>2702</v>
      </c>
      <c r="P70" s="788"/>
      <c r="Q70" s="1310"/>
      <c r="R70" s="1371"/>
      <c r="S70" s="1372"/>
    </row>
    <row r="71" spans="2:19" s="386" customFormat="1" ht="13.15" customHeight="1">
      <c r="D71" s="431"/>
      <c r="E71" s="392" t="s">
        <v>1424</v>
      </c>
      <c r="F71" s="400"/>
      <c r="H71" s="1310"/>
      <c r="I71" s="1371"/>
      <c r="J71" s="1371"/>
      <c r="K71" s="1371"/>
      <c r="L71" s="1371"/>
      <c r="M71" s="1371"/>
      <c r="N71" s="1372"/>
      <c r="O71" s="788" t="s">
        <v>2441</v>
      </c>
      <c r="Q71" s="1310"/>
      <c r="R71" s="1371"/>
      <c r="S71" s="1372"/>
    </row>
    <row r="72" spans="2:19" s="386" customFormat="1" ht="13.15" customHeight="1">
      <c r="D72" s="431"/>
      <c r="E72" s="392" t="s">
        <v>798</v>
      </c>
      <c r="H72" s="1310"/>
      <c r="I72" s="1371"/>
      <c r="J72" s="1372"/>
      <c r="O72" s="788" t="s">
        <v>2499</v>
      </c>
      <c r="Q72" s="1318"/>
      <c r="R72" s="1323"/>
      <c r="S72" s="1319"/>
    </row>
    <row r="73" spans="2:19" s="386" customFormat="1" ht="13.15" customHeight="1">
      <c r="E73" s="392" t="s">
        <v>2495</v>
      </c>
      <c r="H73" s="1324"/>
      <c r="I73" s="417" t="s">
        <v>2954</v>
      </c>
      <c r="J73" s="1321"/>
      <c r="K73" s="1372"/>
      <c r="O73" s="788" t="s">
        <v>2691</v>
      </c>
      <c r="Q73" s="1318"/>
      <c r="R73" s="1323"/>
      <c r="S73" s="1319"/>
    </row>
    <row r="74" spans="2:19" s="386" customFormat="1" ht="13.15" customHeight="1">
      <c r="D74" s="431"/>
      <c r="E74" s="392" t="s">
        <v>2697</v>
      </c>
      <c r="H74" s="1318"/>
      <c r="I74" s="1319"/>
      <c r="J74" s="1403"/>
      <c r="K74" s="802" t="s">
        <v>2498</v>
      </c>
      <c r="L74" s="1357"/>
      <c r="M74" s="1372"/>
      <c r="N74" s="394" t="s">
        <v>2696</v>
      </c>
      <c r="O74" s="1325"/>
      <c r="P74" s="1326"/>
      <c r="Q74" s="1326"/>
      <c r="R74" s="1326"/>
      <c r="S74" s="1327"/>
    </row>
    <row r="75" spans="2:19" ht="6.6" customHeight="1">
      <c r="H75" s="1409"/>
      <c r="I75" s="1409"/>
      <c r="J75" s="1409"/>
      <c r="K75" s="802"/>
      <c r="L75" s="1409"/>
      <c r="M75" s="1409"/>
      <c r="N75" s="790"/>
      <c r="O75" s="1408"/>
      <c r="P75" s="1408"/>
      <c r="Q75" s="802"/>
      <c r="R75" s="1408"/>
      <c r="S75" s="1408"/>
    </row>
    <row r="76" spans="2:19" s="386" customFormat="1" ht="13.15" customHeight="1">
      <c r="B76" s="389" t="s">
        <v>2831</v>
      </c>
      <c r="C76" s="389" t="s">
        <v>314</v>
      </c>
      <c r="H76" s="1310"/>
      <c r="I76" s="1371"/>
      <c r="J76" s="1371"/>
      <c r="K76" s="1371"/>
      <c r="L76" s="1371"/>
      <c r="M76" s="1371"/>
      <c r="N76" s="1372"/>
      <c r="O76" s="788" t="s">
        <v>2702</v>
      </c>
      <c r="P76" s="788"/>
      <c r="Q76" s="1310"/>
      <c r="R76" s="1371"/>
      <c r="S76" s="1372"/>
    </row>
    <row r="77" spans="2:19" s="386" customFormat="1" ht="13.15" customHeight="1">
      <c r="D77" s="431"/>
      <c r="E77" s="392" t="s">
        <v>1424</v>
      </c>
      <c r="F77" s="400"/>
      <c r="H77" s="1310"/>
      <c r="I77" s="1371"/>
      <c r="J77" s="1371"/>
      <c r="K77" s="1371"/>
      <c r="L77" s="1371"/>
      <c r="M77" s="1371"/>
      <c r="N77" s="1372"/>
      <c r="O77" s="788" t="s">
        <v>2441</v>
      </c>
      <c r="Q77" s="1310"/>
      <c r="R77" s="1371"/>
      <c r="S77" s="1372"/>
    </row>
    <row r="78" spans="2:19" s="386" customFormat="1" ht="13.15" customHeight="1">
      <c r="D78" s="431"/>
      <c r="E78" s="392" t="s">
        <v>798</v>
      </c>
      <c r="H78" s="1310"/>
      <c r="I78" s="1371"/>
      <c r="J78" s="1372"/>
      <c r="O78" s="788" t="s">
        <v>2499</v>
      </c>
      <c r="Q78" s="1318"/>
      <c r="R78" s="1323"/>
      <c r="S78" s="1319"/>
    </row>
    <row r="79" spans="2:19" s="386" customFormat="1" ht="13.15" customHeight="1">
      <c r="E79" s="392" t="s">
        <v>2495</v>
      </c>
      <c r="H79" s="1324"/>
      <c r="I79" s="417" t="s">
        <v>2954</v>
      </c>
      <c r="J79" s="1321"/>
      <c r="K79" s="1372"/>
      <c r="O79" s="788" t="s">
        <v>2691</v>
      </c>
      <c r="Q79" s="1318"/>
      <c r="R79" s="1323"/>
      <c r="S79" s="1319"/>
    </row>
    <row r="80" spans="2:19" s="386" customFormat="1" ht="13.15" customHeight="1">
      <c r="D80" s="431"/>
      <c r="E80" s="392" t="s">
        <v>2697</v>
      </c>
      <c r="H80" s="1318"/>
      <c r="I80" s="1319"/>
      <c r="J80" s="1403"/>
      <c r="K80" s="802" t="s">
        <v>2498</v>
      </c>
      <c r="L80" s="1357"/>
      <c r="M80" s="1372"/>
      <c r="N80" s="394" t="s">
        <v>2696</v>
      </c>
      <c r="O80" s="1325"/>
      <c r="P80" s="1326"/>
      <c r="Q80" s="1326"/>
      <c r="R80" s="1326"/>
      <c r="S80" s="1327"/>
    </row>
    <row r="81" spans="1:19" ht="13.15" customHeight="1"/>
    <row r="82" spans="1:19" s="392" customFormat="1" ht="13.15" customHeight="1">
      <c r="A82" s="393" t="s">
        <v>1047</v>
      </c>
      <c r="B82" s="393" t="s">
        <v>315</v>
      </c>
      <c r="D82" s="393"/>
      <c r="E82" s="788"/>
      <c r="F82" s="350"/>
      <c r="G82" s="350"/>
      <c r="H82" s="350"/>
      <c r="I82" s="350"/>
      <c r="J82" s="350"/>
      <c r="K82" s="350"/>
      <c r="L82" s="350"/>
      <c r="M82" s="350"/>
    </row>
    <row r="83" spans="1:19" s="392" customFormat="1" ht="9" customHeight="1">
      <c r="A83" s="393"/>
      <c r="B83" s="393"/>
      <c r="D83" s="393"/>
      <c r="E83" s="788"/>
      <c r="F83" s="350"/>
      <c r="G83" s="350"/>
      <c r="H83" s="1407"/>
      <c r="I83" s="1407"/>
      <c r="J83" s="1407"/>
      <c r="K83" s="790"/>
      <c r="L83" s="1407"/>
      <c r="M83" s="1407"/>
      <c r="N83" s="790"/>
      <c r="O83" s="1408"/>
      <c r="P83" s="1408"/>
      <c r="Q83" s="802"/>
      <c r="R83" s="1408"/>
      <c r="S83" s="1408"/>
    </row>
    <row r="84" spans="1:19" s="386" customFormat="1" ht="13.15" customHeight="1">
      <c r="B84" s="389" t="s">
        <v>2695</v>
      </c>
      <c r="C84" s="389" t="s">
        <v>316</v>
      </c>
      <c r="H84" s="1310"/>
      <c r="I84" s="1371"/>
      <c r="J84" s="1371"/>
      <c r="K84" s="1371"/>
      <c r="L84" s="1371"/>
      <c r="M84" s="1371"/>
      <c r="N84" s="1372"/>
      <c r="O84" s="788" t="s">
        <v>2702</v>
      </c>
      <c r="P84" s="788"/>
      <c r="Q84" s="1310"/>
      <c r="R84" s="1371"/>
      <c r="S84" s="1372"/>
    </row>
    <row r="85" spans="1:19" s="386" customFormat="1" ht="13.15" customHeight="1">
      <c r="D85" s="431"/>
      <c r="E85" s="392" t="s">
        <v>1424</v>
      </c>
      <c r="F85" s="400"/>
      <c r="H85" s="1310"/>
      <c r="I85" s="1371"/>
      <c r="J85" s="1371"/>
      <c r="K85" s="1371"/>
      <c r="L85" s="1371"/>
      <c r="M85" s="1371"/>
      <c r="N85" s="1372"/>
      <c r="O85" s="788" t="s">
        <v>2441</v>
      </c>
      <c r="Q85" s="1310"/>
      <c r="R85" s="1371"/>
      <c r="S85" s="1372"/>
    </row>
    <row r="86" spans="1:19" s="386" customFormat="1" ht="13.15" customHeight="1">
      <c r="D86" s="431"/>
      <c r="E86" s="392" t="s">
        <v>798</v>
      </c>
      <c r="H86" s="1310"/>
      <c r="I86" s="1371"/>
      <c r="J86" s="1372"/>
      <c r="O86" s="788" t="s">
        <v>2499</v>
      </c>
      <c r="Q86" s="1318"/>
      <c r="R86" s="1323"/>
      <c r="S86" s="1319"/>
    </row>
    <row r="87" spans="1:19" s="386" customFormat="1" ht="13.15" customHeight="1">
      <c r="E87" s="392" t="s">
        <v>2495</v>
      </c>
      <c r="H87" s="1324"/>
      <c r="I87" s="417" t="s">
        <v>2954</v>
      </c>
      <c r="J87" s="1321"/>
      <c r="K87" s="1372"/>
      <c r="O87" s="788" t="s">
        <v>2691</v>
      </c>
      <c r="Q87" s="1318"/>
      <c r="R87" s="1323"/>
      <c r="S87" s="1319"/>
    </row>
    <row r="88" spans="1:19" s="386" customFormat="1" ht="13.15" customHeight="1">
      <c r="D88" s="431"/>
      <c r="E88" s="392" t="s">
        <v>2697</v>
      </c>
      <c r="H88" s="1318"/>
      <c r="I88" s="1319"/>
      <c r="J88" s="1403"/>
      <c r="K88" s="802" t="s">
        <v>2498</v>
      </c>
      <c r="L88" s="1357"/>
      <c r="M88" s="1372"/>
      <c r="N88" s="394" t="s">
        <v>2696</v>
      </c>
      <c r="O88" s="1325"/>
      <c r="P88" s="1326"/>
      <c r="Q88" s="1326"/>
      <c r="R88" s="1326"/>
      <c r="S88" s="1327"/>
    </row>
    <row r="89" spans="1:19" ht="6.6" customHeight="1">
      <c r="H89" s="1409"/>
      <c r="I89" s="1409"/>
      <c r="J89" s="1409"/>
      <c r="K89" s="802"/>
      <c r="L89" s="1409"/>
      <c r="M89" s="1409"/>
      <c r="N89" s="790"/>
      <c r="O89" s="1408"/>
      <c r="P89" s="1408"/>
      <c r="Q89" s="802"/>
      <c r="R89" s="1408"/>
      <c r="S89" s="1408"/>
    </row>
    <row r="90" spans="1:19" s="386" customFormat="1" ht="13.15" customHeight="1">
      <c r="B90" s="389" t="s">
        <v>2698</v>
      </c>
      <c r="C90" s="389" t="s">
        <v>317</v>
      </c>
      <c r="H90" s="1347" t="s">
        <v>4096</v>
      </c>
      <c r="I90" s="1410"/>
      <c r="J90" s="1410"/>
      <c r="K90" s="1410"/>
      <c r="L90" s="1410"/>
      <c r="M90" s="1410"/>
      <c r="N90" s="1411"/>
      <c r="O90" s="788" t="s">
        <v>2702</v>
      </c>
      <c r="P90" s="788"/>
      <c r="Q90" s="1347" t="s">
        <v>4097</v>
      </c>
      <c r="R90" s="1410"/>
      <c r="S90" s="1411"/>
    </row>
    <row r="91" spans="1:19" s="386" customFormat="1" ht="13.15" customHeight="1">
      <c r="D91" s="431"/>
      <c r="E91" s="392" t="s">
        <v>1424</v>
      </c>
      <c r="F91" s="400"/>
      <c r="H91" s="1347" t="s">
        <v>4098</v>
      </c>
      <c r="I91" s="1410"/>
      <c r="J91" s="1410"/>
      <c r="K91" s="1410"/>
      <c r="L91" s="1410"/>
      <c r="M91" s="1410"/>
      <c r="N91" s="1411"/>
      <c r="O91" s="788" t="s">
        <v>2441</v>
      </c>
      <c r="Q91" s="1347" t="s">
        <v>4099</v>
      </c>
      <c r="R91" s="1410"/>
      <c r="S91" s="1411"/>
    </row>
    <row r="92" spans="1:19" s="386" customFormat="1" ht="13.15" customHeight="1">
      <c r="D92" s="431"/>
      <c r="E92" s="392" t="s">
        <v>798</v>
      </c>
      <c r="H92" s="1347" t="s">
        <v>4100</v>
      </c>
      <c r="I92" s="1410"/>
      <c r="J92" s="1411"/>
      <c r="O92" s="788" t="s">
        <v>2499</v>
      </c>
      <c r="Q92" s="1360">
        <v>6783034125</v>
      </c>
      <c r="R92" s="1412"/>
      <c r="S92" s="1361"/>
    </row>
    <row r="93" spans="1:19" s="386" customFormat="1" ht="13.15" customHeight="1">
      <c r="E93" s="392" t="s">
        <v>2495</v>
      </c>
      <c r="H93" s="1413" t="s">
        <v>1242</v>
      </c>
      <c r="I93" s="1414" t="s">
        <v>2954</v>
      </c>
      <c r="J93" s="1415">
        <v>303392715</v>
      </c>
      <c r="K93" s="1411"/>
      <c r="O93" s="788" t="s">
        <v>2691</v>
      </c>
      <c r="Q93" s="1360">
        <v>7704804555</v>
      </c>
      <c r="R93" s="1412"/>
      <c r="S93" s="1361"/>
    </row>
    <row r="94" spans="1:19" s="386" customFormat="1" ht="13.15" customHeight="1">
      <c r="D94" s="431"/>
      <c r="E94" s="392" t="s">
        <v>2697</v>
      </c>
      <c r="H94" s="1360"/>
      <c r="I94" s="1361"/>
      <c r="J94" s="1416"/>
      <c r="K94" s="802" t="s">
        <v>2498</v>
      </c>
      <c r="L94" s="1417">
        <v>6783034132</v>
      </c>
      <c r="M94" s="1411"/>
      <c r="N94" s="394" t="s">
        <v>2696</v>
      </c>
      <c r="O94" s="1418" t="s">
        <v>4101</v>
      </c>
      <c r="P94" s="1419"/>
      <c r="Q94" s="1419"/>
      <c r="R94" s="1419"/>
      <c r="S94" s="1420"/>
    </row>
    <row r="95" spans="1:19" ht="6.6" customHeight="1">
      <c r="H95" s="1421"/>
      <c r="I95" s="1421"/>
      <c r="J95" s="1421"/>
      <c r="K95" s="802"/>
      <c r="L95" s="1421"/>
      <c r="M95" s="1421"/>
      <c r="N95" s="790"/>
      <c r="O95" s="1408"/>
      <c r="P95" s="1408"/>
      <c r="Q95" s="802"/>
      <c r="R95" s="1408"/>
      <c r="S95" s="1408"/>
    </row>
    <row r="96" spans="1:19" s="386" customFormat="1" ht="13.15" customHeight="1">
      <c r="B96" s="389" t="s">
        <v>1054</v>
      </c>
      <c r="C96" s="389" t="s">
        <v>318</v>
      </c>
      <c r="F96" s="406"/>
      <c r="H96" s="1347" t="s">
        <v>4102</v>
      </c>
      <c r="I96" s="1410"/>
      <c r="J96" s="1410"/>
      <c r="K96" s="1410"/>
      <c r="L96" s="1410"/>
      <c r="M96" s="1410"/>
      <c r="N96" s="1411"/>
      <c r="O96" s="788" t="s">
        <v>2702</v>
      </c>
      <c r="P96" s="788"/>
      <c r="Q96" s="1347" t="s">
        <v>4094</v>
      </c>
      <c r="R96" s="1410"/>
      <c r="S96" s="1411"/>
    </row>
    <row r="97" spans="2:19" s="386" customFormat="1" ht="13.15" customHeight="1">
      <c r="D97" s="431"/>
      <c r="E97" s="392" t="s">
        <v>1424</v>
      </c>
      <c r="F97" s="400"/>
      <c r="H97" s="1347" t="s">
        <v>4069</v>
      </c>
      <c r="I97" s="1410"/>
      <c r="J97" s="1410"/>
      <c r="K97" s="1410"/>
      <c r="L97" s="1410"/>
      <c r="M97" s="1410"/>
      <c r="N97" s="1411"/>
      <c r="O97" s="788" t="s">
        <v>2441</v>
      </c>
      <c r="Q97" s="1347" t="s">
        <v>4090</v>
      </c>
      <c r="R97" s="1410"/>
      <c r="S97" s="1411"/>
    </row>
    <row r="98" spans="2:19" s="386" customFormat="1" ht="13.15" customHeight="1">
      <c r="D98" s="431"/>
      <c r="E98" s="392" t="s">
        <v>798</v>
      </c>
      <c r="H98" s="1347" t="s">
        <v>1626</v>
      </c>
      <c r="I98" s="1410"/>
      <c r="J98" s="1411"/>
      <c r="O98" s="788" t="s">
        <v>2499</v>
      </c>
      <c r="Q98" s="1360">
        <v>4044191432</v>
      </c>
      <c r="R98" s="1412"/>
      <c r="S98" s="1361"/>
    </row>
    <row r="99" spans="2:19" s="386" customFormat="1" ht="13.15" customHeight="1">
      <c r="D99" s="431"/>
      <c r="E99" s="392" t="s">
        <v>2495</v>
      </c>
      <c r="H99" s="1413" t="s">
        <v>1242</v>
      </c>
      <c r="I99" s="1414" t="s">
        <v>2954</v>
      </c>
      <c r="J99" s="1415">
        <v>303092452</v>
      </c>
      <c r="K99" s="1411"/>
      <c r="O99" s="788" t="s">
        <v>2691</v>
      </c>
      <c r="Q99" s="1360">
        <v>4047838060</v>
      </c>
      <c r="R99" s="1412"/>
      <c r="S99" s="1361"/>
    </row>
    <row r="100" spans="2:19" s="386" customFormat="1" ht="13.15" customHeight="1">
      <c r="D100" s="431"/>
      <c r="E100" s="392" t="s">
        <v>2697</v>
      </c>
      <c r="H100" s="1360">
        <v>4048745000</v>
      </c>
      <c r="I100" s="1361"/>
      <c r="J100" s="1416">
        <v>122</v>
      </c>
      <c r="K100" s="802" t="s">
        <v>2498</v>
      </c>
      <c r="L100" s="1417">
        <v>4048740999</v>
      </c>
      <c r="M100" s="1411"/>
      <c r="N100" s="394" t="s">
        <v>2696</v>
      </c>
      <c r="O100" s="1418" t="s">
        <v>4095</v>
      </c>
      <c r="P100" s="1419"/>
      <c r="Q100" s="1419"/>
      <c r="R100" s="1419"/>
      <c r="S100" s="1420"/>
    </row>
    <row r="101" spans="2:19" ht="6.6" customHeight="1">
      <c r="H101" s="1421"/>
      <c r="I101" s="1421"/>
      <c r="J101" s="1421"/>
      <c r="K101" s="802"/>
      <c r="L101" s="1421"/>
      <c r="M101" s="1421"/>
      <c r="N101" s="790"/>
      <c r="O101" s="1408"/>
      <c r="P101" s="1408"/>
      <c r="Q101" s="802"/>
      <c r="R101" s="1408"/>
      <c r="S101" s="1408"/>
    </row>
    <row r="102" spans="2:19" s="386" customFormat="1" ht="13.15" customHeight="1">
      <c r="B102" s="389" t="s">
        <v>2831</v>
      </c>
      <c r="C102" s="389" t="s">
        <v>319</v>
      </c>
      <c r="H102" s="1347" t="s">
        <v>4103</v>
      </c>
      <c r="I102" s="1410"/>
      <c r="J102" s="1410"/>
      <c r="K102" s="1410"/>
      <c r="L102" s="1410"/>
      <c r="M102" s="1410"/>
      <c r="N102" s="1411"/>
      <c r="O102" s="788" t="s">
        <v>2702</v>
      </c>
      <c r="P102" s="788"/>
      <c r="Q102" s="1347" t="s">
        <v>4104</v>
      </c>
      <c r="R102" s="1410"/>
      <c r="S102" s="1411"/>
    </row>
    <row r="103" spans="2:19" s="386" customFormat="1" ht="13.15" customHeight="1">
      <c r="D103" s="431"/>
      <c r="E103" s="392" t="s">
        <v>1424</v>
      </c>
      <c r="F103" s="400"/>
      <c r="H103" s="1347" t="s">
        <v>4105</v>
      </c>
      <c r="I103" s="1410"/>
      <c r="J103" s="1410"/>
      <c r="K103" s="1410"/>
      <c r="L103" s="1410"/>
      <c r="M103" s="1410"/>
      <c r="N103" s="1411"/>
      <c r="O103" s="788" t="s">
        <v>2441</v>
      </c>
      <c r="Q103" s="1347" t="s">
        <v>4106</v>
      </c>
      <c r="R103" s="1410"/>
      <c r="S103" s="1411"/>
    </row>
    <row r="104" spans="2:19" s="386" customFormat="1" ht="13.15" customHeight="1">
      <c r="D104" s="431"/>
      <c r="E104" s="392" t="s">
        <v>798</v>
      </c>
      <c r="H104" s="1347" t="s">
        <v>1760</v>
      </c>
      <c r="I104" s="1410"/>
      <c r="J104" s="1411"/>
      <c r="O104" s="788" t="s">
        <v>2499</v>
      </c>
      <c r="Q104" s="1360">
        <v>9129441635</v>
      </c>
      <c r="R104" s="1412"/>
      <c r="S104" s="1361"/>
    </row>
    <row r="105" spans="2:19" s="386" customFormat="1" ht="13.15" customHeight="1">
      <c r="D105" s="431"/>
      <c r="E105" s="392" t="s">
        <v>2495</v>
      </c>
      <c r="H105" s="1413" t="s">
        <v>1242</v>
      </c>
      <c r="I105" s="1414" t="s">
        <v>2954</v>
      </c>
      <c r="J105" s="1415">
        <v>314012700</v>
      </c>
      <c r="K105" s="1411"/>
      <c r="O105" s="788" t="s">
        <v>2691</v>
      </c>
      <c r="Q105" s="1360"/>
      <c r="R105" s="1412"/>
      <c r="S105" s="1361"/>
    </row>
    <row r="106" spans="2:19" ht="13.15" customHeight="1">
      <c r="E106" s="392" t="s">
        <v>2697</v>
      </c>
      <c r="F106" s="386"/>
      <c r="G106" s="386"/>
      <c r="H106" s="1360"/>
      <c r="I106" s="1361"/>
      <c r="J106" s="1416"/>
      <c r="K106" s="802" t="s">
        <v>2498</v>
      </c>
      <c r="L106" s="1417">
        <v>9122364936</v>
      </c>
      <c r="M106" s="1411"/>
      <c r="N106" s="394" t="s">
        <v>2696</v>
      </c>
      <c r="O106" s="1418" t="s">
        <v>4107</v>
      </c>
      <c r="P106" s="1419"/>
      <c r="Q106" s="1419"/>
      <c r="R106" s="1419"/>
      <c r="S106" s="1420"/>
    </row>
    <row r="107" spans="2:19" ht="6" customHeight="1">
      <c r="E107" s="392"/>
      <c r="F107" s="386"/>
      <c r="G107" s="386"/>
      <c r="H107" s="386"/>
      <c r="I107" s="386"/>
      <c r="J107" s="386"/>
      <c r="K107" s="386"/>
      <c r="L107" s="386"/>
      <c r="M107" s="386"/>
      <c r="N107" s="386"/>
      <c r="O107" s="386"/>
      <c r="P107" s="386"/>
      <c r="Q107" s="802"/>
      <c r="R107" s="802"/>
      <c r="S107" s="1423"/>
    </row>
    <row r="108" spans="2:19" ht="0.6" customHeight="1">
      <c r="E108" s="392"/>
      <c r="F108" s="386"/>
      <c r="G108" s="796"/>
      <c r="H108" s="1407"/>
      <c r="I108" s="1407"/>
      <c r="J108" s="1407"/>
      <c r="K108" s="790"/>
      <c r="L108" s="1407"/>
      <c r="M108" s="1407"/>
      <c r="N108" s="790"/>
      <c r="O108" s="1408"/>
      <c r="P108" s="1408"/>
      <c r="Q108" s="802"/>
      <c r="R108" s="1408"/>
      <c r="S108" s="1408"/>
    </row>
    <row r="109" spans="2:19" s="386" customFormat="1" ht="13.15" customHeight="1">
      <c r="B109" s="389" t="s">
        <v>2428</v>
      </c>
      <c r="C109" s="389" t="s">
        <v>320</v>
      </c>
      <c r="H109" s="1347" t="s">
        <v>4108</v>
      </c>
      <c r="I109" s="1410"/>
      <c r="J109" s="1410"/>
      <c r="K109" s="1410"/>
      <c r="L109" s="1410"/>
      <c r="M109" s="1410"/>
      <c r="N109" s="1411"/>
      <c r="O109" s="788" t="s">
        <v>2702</v>
      </c>
      <c r="P109" s="788"/>
      <c r="Q109" s="1347" t="s">
        <v>4109</v>
      </c>
      <c r="R109" s="1410"/>
      <c r="S109" s="1411"/>
    </row>
    <row r="110" spans="2:19" s="386" customFormat="1" ht="13.15" customHeight="1">
      <c r="D110" s="431"/>
      <c r="E110" s="392" t="s">
        <v>1424</v>
      </c>
      <c r="F110" s="400"/>
      <c r="H110" s="1347" t="s">
        <v>4110</v>
      </c>
      <c r="I110" s="1410"/>
      <c r="J110" s="1410"/>
      <c r="K110" s="1410"/>
      <c r="L110" s="1410"/>
      <c r="M110" s="1410"/>
      <c r="N110" s="1411"/>
      <c r="O110" s="788" t="s">
        <v>2441</v>
      </c>
      <c r="Q110" s="1347" t="s">
        <v>4111</v>
      </c>
      <c r="R110" s="1410"/>
      <c r="S110" s="1411"/>
    </row>
    <row r="111" spans="2:19" s="386" customFormat="1" ht="13.15" customHeight="1">
      <c r="D111" s="431"/>
      <c r="E111" s="392" t="s">
        <v>798</v>
      </c>
      <c r="H111" s="1347" t="s">
        <v>1626</v>
      </c>
      <c r="I111" s="1410"/>
      <c r="J111" s="1411"/>
      <c r="O111" s="788" t="s">
        <v>2499</v>
      </c>
      <c r="Q111" s="1360"/>
      <c r="R111" s="1412"/>
      <c r="S111" s="1361"/>
    </row>
    <row r="112" spans="2:19" s="386" customFormat="1" ht="13.15" customHeight="1">
      <c r="D112" s="431"/>
      <c r="E112" s="392" t="s">
        <v>2495</v>
      </c>
      <c r="H112" s="1413" t="s">
        <v>1242</v>
      </c>
      <c r="I112" s="1414" t="s">
        <v>2954</v>
      </c>
      <c r="J112" s="1415">
        <v>303191497</v>
      </c>
      <c r="K112" s="1411"/>
      <c r="O112" s="788" t="s">
        <v>2691</v>
      </c>
      <c r="Q112" s="1360"/>
      <c r="R112" s="1412"/>
      <c r="S112" s="1361"/>
    </row>
    <row r="113" spans="1:19" ht="13.15" customHeight="1">
      <c r="E113" s="392" t="s">
        <v>2697</v>
      </c>
      <c r="F113" s="386"/>
      <c r="G113" s="386"/>
      <c r="H113" s="1360">
        <v>4048479447</v>
      </c>
      <c r="I113" s="1361"/>
      <c r="J113" s="1416"/>
      <c r="K113" s="802" t="s">
        <v>2498</v>
      </c>
      <c r="L113" s="1417">
        <v>7705822900</v>
      </c>
      <c r="M113" s="1411"/>
      <c r="N113" s="394" t="s">
        <v>2696</v>
      </c>
      <c r="O113" s="1418" t="s">
        <v>4112</v>
      </c>
      <c r="P113" s="1419"/>
      <c r="Q113" s="1419"/>
      <c r="R113" s="1419"/>
      <c r="S113" s="1420"/>
    </row>
    <row r="114" spans="1:19" ht="6.6" customHeight="1">
      <c r="E114" s="392"/>
      <c r="F114" s="386"/>
      <c r="G114" s="796"/>
      <c r="H114" s="1421"/>
      <c r="I114" s="1421"/>
      <c r="J114" s="1421"/>
      <c r="K114" s="802"/>
      <c r="L114" s="1421"/>
      <c r="M114" s="1421"/>
      <c r="N114" s="790"/>
      <c r="O114" s="1408"/>
      <c r="P114" s="1408"/>
      <c r="Q114" s="802"/>
      <c r="R114" s="1408"/>
      <c r="S114" s="1408"/>
    </row>
    <row r="115" spans="1:19" s="386" customFormat="1" ht="13.15" customHeight="1">
      <c r="B115" s="389" t="s">
        <v>2429</v>
      </c>
      <c r="C115" s="389" t="s">
        <v>321</v>
      </c>
      <c r="H115" s="1347" t="s">
        <v>4113</v>
      </c>
      <c r="I115" s="1410"/>
      <c r="J115" s="1410"/>
      <c r="K115" s="1410"/>
      <c r="L115" s="1410"/>
      <c r="M115" s="1410"/>
      <c r="N115" s="1411"/>
      <c r="O115" s="788" t="s">
        <v>2702</v>
      </c>
      <c r="P115" s="788"/>
      <c r="Q115" s="1347" t="s">
        <v>4114</v>
      </c>
      <c r="R115" s="1410"/>
      <c r="S115" s="1411"/>
    </row>
    <row r="116" spans="1:19" s="386" customFormat="1" ht="13.15" customHeight="1">
      <c r="D116" s="431"/>
      <c r="E116" s="392" t="s">
        <v>1424</v>
      </c>
      <c r="F116" s="400"/>
      <c r="H116" s="1347" t="s">
        <v>4115</v>
      </c>
      <c r="I116" s="1410"/>
      <c r="J116" s="1410"/>
      <c r="K116" s="1410"/>
      <c r="L116" s="1410"/>
      <c r="M116" s="1410"/>
      <c r="N116" s="1411"/>
      <c r="O116" s="788" t="s">
        <v>2441</v>
      </c>
      <c r="Q116" s="1347" t="s">
        <v>3256</v>
      </c>
      <c r="R116" s="1410"/>
      <c r="S116" s="1411"/>
    </row>
    <row r="117" spans="1:19" s="386" customFormat="1" ht="13.15" customHeight="1">
      <c r="D117" s="431"/>
      <c r="E117" s="392" t="s">
        <v>798</v>
      </c>
      <c r="H117" s="1347" t="s">
        <v>2679</v>
      </c>
      <c r="I117" s="1410"/>
      <c r="J117" s="1411"/>
      <c r="O117" s="788" t="s">
        <v>2499</v>
      </c>
      <c r="Q117" s="1360"/>
      <c r="R117" s="1412"/>
      <c r="S117" s="1361"/>
    </row>
    <row r="118" spans="1:19" s="386" customFormat="1" ht="13.15" customHeight="1">
      <c r="D118" s="436"/>
      <c r="E118" s="392" t="s">
        <v>2495</v>
      </c>
      <c r="H118" s="1413" t="s">
        <v>1794</v>
      </c>
      <c r="I118" s="1414" t="s">
        <v>2954</v>
      </c>
      <c r="J118" s="1415">
        <v>752313769</v>
      </c>
      <c r="K118" s="1411"/>
      <c r="O118" s="788" t="s">
        <v>2691</v>
      </c>
      <c r="Q118" s="1360"/>
      <c r="R118" s="1412"/>
      <c r="S118" s="1361"/>
    </row>
    <row r="119" spans="1:19" s="386" customFormat="1" ht="13.15" customHeight="1">
      <c r="D119" s="436"/>
      <c r="E119" s="392" t="s">
        <v>2697</v>
      </c>
      <c r="H119" s="1360">
        <v>2143635687</v>
      </c>
      <c r="I119" s="1361"/>
      <c r="J119" s="1416"/>
      <c r="K119" s="802" t="s">
        <v>2498</v>
      </c>
      <c r="L119" s="1417">
        <v>2143639563</v>
      </c>
      <c r="M119" s="1411"/>
      <c r="N119" s="394" t="s">
        <v>2696</v>
      </c>
      <c r="O119" s="1418" t="s">
        <v>4116</v>
      </c>
      <c r="P119" s="1419"/>
      <c r="Q119" s="1419"/>
      <c r="R119" s="1419"/>
      <c r="S119" s="1420"/>
    </row>
    <row r="120" spans="1:19" ht="13.15" customHeight="1"/>
    <row r="121" spans="1:19" s="386" customFormat="1" ht="13.15" customHeight="1">
      <c r="A121" s="389" t="s">
        <v>2488</v>
      </c>
      <c r="B121" s="389" t="s">
        <v>3401</v>
      </c>
      <c r="F121" s="389"/>
      <c r="G121" s="802"/>
      <c r="H121" s="802"/>
      <c r="I121" s="802"/>
      <c r="J121" s="802"/>
      <c r="K121" s="802"/>
      <c r="L121" s="802"/>
      <c r="M121" s="802"/>
      <c r="N121" s="802"/>
      <c r="O121" s="802"/>
      <c r="P121" s="802"/>
      <c r="Q121" s="791"/>
    </row>
    <row r="122" spans="1:19" s="386" customFormat="1" ht="6.6" customHeight="1">
      <c r="A122" s="389"/>
      <c r="B122" s="389"/>
      <c r="F122" s="389"/>
      <c r="G122" s="802"/>
      <c r="H122" s="802"/>
      <c r="I122" s="802"/>
      <c r="J122" s="802"/>
      <c r="K122" s="802"/>
      <c r="L122" s="802"/>
      <c r="M122" s="802"/>
      <c r="N122" s="802"/>
      <c r="O122" s="802"/>
      <c r="P122" s="802"/>
      <c r="Q122" s="791"/>
    </row>
    <row r="123" spans="1:19" s="386" customFormat="1" ht="21.6" customHeight="1">
      <c r="A123" s="887" t="s">
        <v>820</v>
      </c>
      <c r="B123" s="1424"/>
      <c r="C123" s="1424"/>
      <c r="D123" s="1425"/>
      <c r="E123" s="888" t="s">
        <v>3950</v>
      </c>
      <c r="F123" s="863" t="s">
        <v>3098</v>
      </c>
      <c r="G123" s="856" t="s">
        <v>3099</v>
      </c>
      <c r="H123" s="867"/>
      <c r="I123" s="868"/>
      <c r="J123" s="856" t="s">
        <v>3100</v>
      </c>
      <c r="K123" s="874"/>
      <c r="L123" s="856" t="s">
        <v>3101</v>
      </c>
      <c r="M123" s="879"/>
      <c r="N123" s="856" t="s">
        <v>3102</v>
      </c>
      <c r="O123" s="868"/>
      <c r="P123" s="856" t="s">
        <v>3103</v>
      </c>
      <c r="Q123" s="868"/>
      <c r="R123" s="856" t="s">
        <v>3104</v>
      </c>
      <c r="S123" s="857"/>
    </row>
    <row r="124" spans="1:19" s="386" customFormat="1" ht="21.6" customHeight="1">
      <c r="A124" s="1426"/>
      <c r="B124" s="1427"/>
      <c r="C124" s="1427"/>
      <c r="D124" s="1428"/>
      <c r="E124" s="889"/>
      <c r="F124" s="864"/>
      <c r="G124" s="858"/>
      <c r="H124" s="869"/>
      <c r="I124" s="870"/>
      <c r="J124" s="875"/>
      <c r="K124" s="876"/>
      <c r="L124" s="858"/>
      <c r="M124" s="880"/>
      <c r="N124" s="858"/>
      <c r="O124" s="870"/>
      <c r="P124" s="858"/>
      <c r="Q124" s="870"/>
      <c r="R124" s="858"/>
      <c r="S124" s="859"/>
    </row>
    <row r="125" spans="1:19" s="386" customFormat="1" ht="21.6" customHeight="1">
      <c r="A125" s="1426"/>
      <c r="B125" s="1427"/>
      <c r="C125" s="1427"/>
      <c r="D125" s="1428"/>
      <c r="E125" s="889"/>
      <c r="F125" s="865"/>
      <c r="G125" s="858"/>
      <c r="H125" s="869"/>
      <c r="I125" s="870"/>
      <c r="J125" s="875"/>
      <c r="K125" s="876"/>
      <c r="L125" s="881"/>
      <c r="M125" s="880"/>
      <c r="N125" s="858"/>
      <c r="O125" s="870"/>
      <c r="P125" s="858"/>
      <c r="Q125" s="870"/>
      <c r="R125" s="860"/>
      <c r="S125" s="859"/>
    </row>
    <row r="126" spans="1:19" s="386" customFormat="1" ht="21.6" customHeight="1">
      <c r="A126" s="1426"/>
      <c r="B126" s="1427"/>
      <c r="C126" s="1427"/>
      <c r="D126" s="1428"/>
      <c r="E126" s="889"/>
      <c r="F126" s="865"/>
      <c r="G126" s="858"/>
      <c r="H126" s="869"/>
      <c r="I126" s="870"/>
      <c r="J126" s="875"/>
      <c r="K126" s="876"/>
      <c r="L126" s="881"/>
      <c r="M126" s="880"/>
      <c r="N126" s="858"/>
      <c r="O126" s="870"/>
      <c r="P126" s="858"/>
      <c r="Q126" s="870"/>
      <c r="R126" s="860"/>
      <c r="S126" s="859"/>
    </row>
    <row r="127" spans="1:19" s="386" customFormat="1" ht="21.6" customHeight="1">
      <c r="A127" s="1429"/>
      <c r="B127" s="1430"/>
      <c r="C127" s="1430"/>
      <c r="D127" s="1431"/>
      <c r="E127" s="890"/>
      <c r="F127" s="866"/>
      <c r="G127" s="871"/>
      <c r="H127" s="872"/>
      <c r="I127" s="873"/>
      <c r="J127" s="877"/>
      <c r="K127" s="878"/>
      <c r="L127" s="882"/>
      <c r="M127" s="883"/>
      <c r="N127" s="871"/>
      <c r="O127" s="873"/>
      <c r="P127" s="871"/>
      <c r="Q127" s="873"/>
      <c r="R127" s="861"/>
      <c r="S127" s="862"/>
    </row>
    <row r="128" spans="1:19" s="386" customFormat="1" ht="15" customHeight="1">
      <c r="A128" s="797" t="s">
        <v>3097</v>
      </c>
      <c r="B128" s="798"/>
      <c r="C128" s="798"/>
      <c r="D128" s="799"/>
      <c r="E128" s="1432" t="s">
        <v>4065</v>
      </c>
      <c r="F128" s="1432" t="s">
        <v>4065</v>
      </c>
      <c r="G128" s="1433" t="s">
        <v>4065</v>
      </c>
      <c r="H128" s="1434"/>
      <c r="I128" s="1435"/>
      <c r="J128" s="1433" t="s">
        <v>4064</v>
      </c>
      <c r="K128" s="1435"/>
      <c r="L128" s="1433" t="s">
        <v>4065</v>
      </c>
      <c r="M128" s="1435"/>
      <c r="N128" s="1433" t="s">
        <v>4065</v>
      </c>
      <c r="O128" s="1435"/>
      <c r="P128" s="1436" t="s">
        <v>3398</v>
      </c>
      <c r="Q128" s="1437"/>
      <c r="R128" s="1438">
        <v>1E-4</v>
      </c>
      <c r="S128" s="1439"/>
    </row>
    <row r="129" spans="1:19" s="386" customFormat="1" ht="15" customHeight="1">
      <c r="A129" s="795" t="s">
        <v>3087</v>
      </c>
      <c r="B129" s="796"/>
      <c r="C129" s="796"/>
      <c r="D129" s="800"/>
      <c r="E129" s="1440"/>
      <c r="F129" s="1440"/>
      <c r="G129" s="1441"/>
      <c r="H129" s="1442"/>
      <c r="I129" s="1443"/>
      <c r="J129" s="1441"/>
      <c r="K129" s="1443"/>
      <c r="L129" s="1441"/>
      <c r="M129" s="1443"/>
      <c r="N129" s="1441"/>
      <c r="O129" s="1443"/>
      <c r="P129" s="1444"/>
      <c r="Q129" s="1445"/>
      <c r="R129" s="1446"/>
      <c r="S129" s="1447"/>
    </row>
    <row r="130" spans="1:19" s="386" customFormat="1" ht="15" customHeight="1">
      <c r="A130" s="795" t="s">
        <v>3088</v>
      </c>
      <c r="B130" s="796"/>
      <c r="C130" s="796"/>
      <c r="D130" s="800"/>
      <c r="E130" s="1440"/>
      <c r="F130" s="1440"/>
      <c r="G130" s="1441"/>
      <c r="H130" s="1442"/>
      <c r="I130" s="1443"/>
      <c r="J130" s="1441"/>
      <c r="K130" s="1443"/>
      <c r="L130" s="1441"/>
      <c r="M130" s="1443"/>
      <c r="N130" s="1441"/>
      <c r="O130" s="1443"/>
      <c r="P130" s="1444"/>
      <c r="Q130" s="1445"/>
      <c r="R130" s="1446"/>
      <c r="S130" s="1447"/>
    </row>
    <row r="131" spans="1:19" s="386" customFormat="1" ht="15" customHeight="1">
      <c r="A131" s="795" t="s">
        <v>3089</v>
      </c>
      <c r="B131" s="796"/>
      <c r="C131" s="796"/>
      <c r="D131" s="800"/>
      <c r="E131" s="1440" t="s">
        <v>4065</v>
      </c>
      <c r="F131" s="1440" t="s">
        <v>4065</v>
      </c>
      <c r="G131" s="1441" t="s">
        <v>4065</v>
      </c>
      <c r="H131" s="1442"/>
      <c r="I131" s="1443"/>
      <c r="J131" s="1441" t="s">
        <v>4065</v>
      </c>
      <c r="K131" s="1443"/>
      <c r="L131" s="1441" t="s">
        <v>4065</v>
      </c>
      <c r="M131" s="1443"/>
      <c r="N131" s="1441" t="s">
        <v>4065</v>
      </c>
      <c r="O131" s="1443"/>
      <c r="P131" s="1444" t="s">
        <v>4117</v>
      </c>
      <c r="Q131" s="1445"/>
      <c r="R131" s="1446">
        <v>0.99980000000000002</v>
      </c>
      <c r="S131" s="1447"/>
    </row>
    <row r="132" spans="1:19" s="386" customFormat="1" ht="15" customHeight="1">
      <c r="A132" s="795" t="s">
        <v>3090</v>
      </c>
      <c r="B132" s="796"/>
      <c r="C132" s="796"/>
      <c r="D132" s="800"/>
      <c r="E132" s="1440" t="s">
        <v>4065</v>
      </c>
      <c r="F132" s="1440" t="s">
        <v>4065</v>
      </c>
      <c r="G132" s="1441" t="s">
        <v>4065</v>
      </c>
      <c r="H132" s="1442"/>
      <c r="I132" s="1443"/>
      <c r="J132" s="1441" t="s">
        <v>4065</v>
      </c>
      <c r="K132" s="1443"/>
      <c r="L132" s="1441" t="s">
        <v>4065</v>
      </c>
      <c r="M132" s="1443"/>
      <c r="N132" s="1441" t="s">
        <v>4065</v>
      </c>
      <c r="O132" s="1443"/>
      <c r="P132" s="1444" t="s">
        <v>4117</v>
      </c>
      <c r="Q132" s="1445"/>
      <c r="R132" s="1446">
        <v>1E-4</v>
      </c>
      <c r="S132" s="1447"/>
    </row>
    <row r="133" spans="1:19" s="386" customFormat="1" ht="15" customHeight="1">
      <c r="A133" s="795" t="s">
        <v>3091</v>
      </c>
      <c r="B133" s="796"/>
      <c r="C133" s="796"/>
      <c r="D133" s="800"/>
      <c r="E133" s="1440"/>
      <c r="F133" s="1440"/>
      <c r="G133" s="1441"/>
      <c r="H133" s="1442"/>
      <c r="I133" s="1443"/>
      <c r="J133" s="1441"/>
      <c r="K133" s="1443"/>
      <c r="L133" s="1441"/>
      <c r="M133" s="1443"/>
      <c r="N133" s="1441"/>
      <c r="O133" s="1443"/>
      <c r="P133" s="1444"/>
      <c r="Q133" s="1445"/>
      <c r="R133" s="1446"/>
      <c r="S133" s="1447"/>
    </row>
    <row r="134" spans="1:19" s="386" customFormat="1" ht="15" customHeight="1">
      <c r="A134" s="795" t="s">
        <v>838</v>
      </c>
      <c r="B134" s="796"/>
      <c r="C134" s="796"/>
      <c r="D134" s="800"/>
      <c r="E134" s="1440" t="s">
        <v>4065</v>
      </c>
      <c r="F134" s="1440" t="s">
        <v>4065</v>
      </c>
      <c r="G134" s="1441" t="s">
        <v>4065</v>
      </c>
      <c r="H134" s="1442"/>
      <c r="I134" s="1443"/>
      <c r="J134" s="1441" t="s">
        <v>4064</v>
      </c>
      <c r="K134" s="1443"/>
      <c r="L134" s="1441" t="s">
        <v>4065</v>
      </c>
      <c r="M134" s="1443"/>
      <c r="N134" s="1441" t="s">
        <v>4065</v>
      </c>
      <c r="O134" s="1443"/>
      <c r="P134" s="1444" t="s">
        <v>4117</v>
      </c>
      <c r="Q134" s="1445"/>
      <c r="R134" s="1446"/>
      <c r="S134" s="1447"/>
    </row>
    <row r="135" spans="1:19" s="386" customFormat="1" ht="15" customHeight="1">
      <c r="A135" s="795" t="s">
        <v>3092</v>
      </c>
      <c r="B135" s="796"/>
      <c r="C135" s="796"/>
      <c r="D135" s="800"/>
      <c r="E135" s="1440" t="s">
        <v>4065</v>
      </c>
      <c r="F135" s="1440" t="s">
        <v>4065</v>
      </c>
      <c r="G135" s="1441" t="s">
        <v>4065</v>
      </c>
      <c r="H135" s="1442"/>
      <c r="I135" s="1443"/>
      <c r="J135" s="1441" t="s">
        <v>4064</v>
      </c>
      <c r="K135" s="1443"/>
      <c r="L135" s="1441" t="s">
        <v>4065</v>
      </c>
      <c r="M135" s="1443"/>
      <c r="N135" s="1441" t="s">
        <v>4065</v>
      </c>
      <c r="O135" s="1443"/>
      <c r="P135" s="1444" t="s">
        <v>3398</v>
      </c>
      <c r="Q135" s="1445"/>
      <c r="R135" s="1446"/>
      <c r="S135" s="1447"/>
    </row>
    <row r="136" spans="1:19" s="386" customFormat="1" ht="15" customHeight="1">
      <c r="A136" s="795" t="s">
        <v>3093</v>
      </c>
      <c r="B136" s="796"/>
      <c r="C136" s="796"/>
      <c r="D136" s="800"/>
      <c r="E136" s="1440"/>
      <c r="F136" s="1440"/>
      <c r="G136" s="1441"/>
      <c r="H136" s="1442"/>
      <c r="I136" s="1443"/>
      <c r="J136" s="1441"/>
      <c r="K136" s="1443"/>
      <c r="L136" s="1441"/>
      <c r="M136" s="1443"/>
      <c r="N136" s="1441"/>
      <c r="O136" s="1443"/>
      <c r="P136" s="1444"/>
      <c r="Q136" s="1445"/>
      <c r="R136" s="1446"/>
      <c r="S136" s="1447"/>
    </row>
    <row r="137" spans="1:19" s="386" customFormat="1" ht="15" customHeight="1">
      <c r="A137" s="795" t="s">
        <v>3094</v>
      </c>
      <c r="B137" s="796"/>
      <c r="C137" s="796"/>
      <c r="D137" s="800"/>
      <c r="E137" s="1440"/>
      <c r="F137" s="1440"/>
      <c r="G137" s="1441"/>
      <c r="H137" s="1442"/>
      <c r="I137" s="1443"/>
      <c r="J137" s="1441"/>
      <c r="K137" s="1443"/>
      <c r="L137" s="1441"/>
      <c r="M137" s="1443"/>
      <c r="N137" s="1441"/>
      <c r="O137" s="1443"/>
      <c r="P137" s="1444"/>
      <c r="Q137" s="1445"/>
      <c r="R137" s="1446"/>
      <c r="S137" s="1447"/>
    </row>
    <row r="138" spans="1:19" s="386" customFormat="1" ht="15" customHeight="1">
      <c r="A138" s="795" t="s">
        <v>3095</v>
      </c>
      <c r="B138" s="796"/>
      <c r="C138" s="796"/>
      <c r="D138" s="800"/>
      <c r="E138" s="1440"/>
      <c r="F138" s="1440"/>
      <c r="G138" s="1441"/>
      <c r="H138" s="1442"/>
      <c r="I138" s="1443"/>
      <c r="J138" s="1441"/>
      <c r="K138" s="1443"/>
      <c r="L138" s="1441"/>
      <c r="M138" s="1443"/>
      <c r="N138" s="1441"/>
      <c r="O138" s="1443"/>
      <c r="P138" s="1444"/>
      <c r="Q138" s="1445"/>
      <c r="R138" s="1446"/>
      <c r="S138" s="1447"/>
    </row>
    <row r="139" spans="1:19" s="386" customFormat="1" ht="15" customHeight="1">
      <c r="A139" s="795" t="s">
        <v>1986</v>
      </c>
      <c r="B139" s="796"/>
      <c r="C139" s="796"/>
      <c r="D139" s="800"/>
      <c r="E139" s="1440" t="s">
        <v>4065</v>
      </c>
      <c r="F139" s="1440" t="s">
        <v>4065</v>
      </c>
      <c r="G139" s="1441" t="s">
        <v>4065</v>
      </c>
      <c r="H139" s="1442"/>
      <c r="I139" s="1443"/>
      <c r="J139" s="1441" t="s">
        <v>4065</v>
      </c>
      <c r="K139" s="1443"/>
      <c r="L139" s="1441" t="s">
        <v>4065</v>
      </c>
      <c r="M139" s="1443"/>
      <c r="N139" s="1441" t="s">
        <v>4065</v>
      </c>
      <c r="O139" s="1443"/>
      <c r="P139" s="1444" t="s">
        <v>4117</v>
      </c>
      <c r="Q139" s="1445"/>
      <c r="R139" s="1446"/>
      <c r="S139" s="1447"/>
    </row>
    <row r="140" spans="1:19" s="386" customFormat="1" ht="15" customHeight="1">
      <c r="A140" s="804" t="s">
        <v>3096</v>
      </c>
      <c r="B140" s="805"/>
      <c r="C140" s="805"/>
      <c r="D140" s="437"/>
      <c r="E140" s="1448" t="s">
        <v>4065</v>
      </c>
      <c r="F140" s="1448" t="s">
        <v>4065</v>
      </c>
      <c r="G140" s="1449" t="s">
        <v>4065</v>
      </c>
      <c r="H140" s="1450"/>
      <c r="I140" s="1451"/>
      <c r="J140" s="1449" t="s">
        <v>4064</v>
      </c>
      <c r="K140" s="1451"/>
      <c r="L140" s="1449" t="s">
        <v>4065</v>
      </c>
      <c r="M140" s="1451"/>
      <c r="N140" s="1449" t="s">
        <v>4065</v>
      </c>
      <c r="O140" s="1451"/>
      <c r="P140" s="1452" t="s">
        <v>4117</v>
      </c>
      <c r="Q140" s="1453"/>
      <c r="R140" s="1454"/>
      <c r="S140" s="1455"/>
    </row>
    <row r="141" spans="1:19" s="796" customFormat="1" ht="13.9" customHeight="1">
      <c r="G141" s="398"/>
      <c r="H141" s="398"/>
      <c r="I141" s="398"/>
      <c r="J141" s="802"/>
      <c r="K141" s="802"/>
      <c r="L141" s="802"/>
      <c r="M141" s="802"/>
      <c r="P141" s="396"/>
      <c r="Q141" s="413" t="s">
        <v>706</v>
      </c>
      <c r="R141" s="854">
        <f>SUM(R128:S140)</f>
        <v>1</v>
      </c>
      <c r="S141" s="855"/>
    </row>
    <row r="142" spans="1:19" s="796" customFormat="1" ht="12" customHeight="1">
      <c r="G142" s="398"/>
      <c r="H142" s="398"/>
      <c r="I142" s="398"/>
      <c r="J142" s="802"/>
      <c r="K142" s="802"/>
      <c r="L142" s="802"/>
      <c r="M142" s="802"/>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456" t="s">
        <v>4118</v>
      </c>
      <c r="B145" s="1457"/>
      <c r="C145" s="1457"/>
      <c r="D145" s="1457"/>
      <c r="E145" s="1457"/>
      <c r="F145" s="1457"/>
      <c r="G145" s="1457"/>
      <c r="H145" s="1457"/>
      <c r="I145" s="1457"/>
      <c r="J145" s="1457"/>
      <c r="K145" s="1457"/>
      <c r="L145" s="1457"/>
      <c r="M145" s="1458"/>
      <c r="N145" s="1394"/>
      <c r="O145" s="1395"/>
      <c r="P145" s="1395"/>
      <c r="Q145" s="1395"/>
      <c r="R145" s="1395"/>
      <c r="S145" s="1396"/>
      <c r="T145" s="826" t="s">
        <v>3595</v>
      </c>
      <c r="U145" s="826"/>
      <c r="V145" s="826"/>
      <c r="W145" s="826"/>
      <c r="X145" s="826"/>
    </row>
    <row r="146" spans="1:24" s="386" customFormat="1" ht="12" customHeight="1">
      <c r="A146" s="393"/>
      <c r="B146" s="406"/>
      <c r="C146" s="406"/>
      <c r="D146" s="406"/>
      <c r="E146" s="406"/>
      <c r="F146" s="406"/>
      <c r="G146" s="406"/>
      <c r="H146" s="406"/>
      <c r="I146" s="406"/>
      <c r="J146" s="406"/>
      <c r="K146" s="406"/>
      <c r="L146" s="406"/>
      <c r="M146" s="406"/>
      <c r="N146" s="406"/>
      <c r="O146" s="406"/>
      <c r="T146" s="826"/>
      <c r="U146" s="826"/>
      <c r="V146" s="826"/>
      <c r="W146" s="826"/>
      <c r="X146" s="82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59" t="s">
        <v>2495</v>
      </c>
    </row>
    <row r="151" spans="1:24" s="386" customFormat="1" ht="12" customHeight="1">
      <c r="A151" s="431"/>
      <c r="B151" s="406"/>
      <c r="C151" s="406"/>
      <c r="D151" s="406"/>
      <c r="E151" s="406"/>
      <c r="F151" s="406"/>
      <c r="G151" s="406"/>
      <c r="H151" s="406"/>
      <c r="I151" s="406"/>
      <c r="J151" s="406"/>
      <c r="K151" s="406"/>
      <c r="L151" s="406"/>
      <c r="M151" s="406"/>
      <c r="N151" s="406"/>
      <c r="O151" s="406"/>
      <c r="P151" s="1460" t="s">
        <v>1232</v>
      </c>
    </row>
    <row r="152" spans="1:24" s="386" customFormat="1" ht="12" customHeight="1">
      <c r="A152" s="431"/>
      <c r="B152" s="406"/>
      <c r="C152" s="406"/>
      <c r="D152" s="406"/>
      <c r="E152" s="406"/>
      <c r="F152" s="406"/>
      <c r="G152" s="406"/>
      <c r="H152" s="406"/>
      <c r="I152" s="406"/>
      <c r="J152" s="406"/>
      <c r="K152" s="406"/>
      <c r="L152" s="406"/>
      <c r="M152" s="406"/>
      <c r="N152" s="406"/>
      <c r="O152" s="406"/>
      <c r="P152" s="1460" t="s">
        <v>1233</v>
      </c>
    </row>
    <row r="153" spans="1:24" s="386" customFormat="1" ht="12" customHeight="1">
      <c r="A153" s="431"/>
      <c r="B153" s="406"/>
      <c r="C153" s="406"/>
      <c r="D153" s="406"/>
      <c r="E153" s="406"/>
      <c r="F153" s="406"/>
      <c r="G153" s="406"/>
      <c r="H153" s="406"/>
      <c r="I153" s="406"/>
      <c r="J153" s="406"/>
      <c r="K153" s="406"/>
      <c r="L153" s="406"/>
      <c r="M153" s="406"/>
      <c r="N153" s="406"/>
      <c r="O153" s="406"/>
      <c r="P153" s="1460" t="s">
        <v>1234</v>
      </c>
    </row>
    <row r="154" spans="1:24" s="386" customFormat="1" ht="12" customHeight="1">
      <c r="A154" s="687"/>
      <c r="B154" s="406"/>
      <c r="C154" s="406"/>
      <c r="D154" s="406"/>
      <c r="E154" s="406"/>
      <c r="F154" s="406"/>
      <c r="G154" s="406"/>
      <c r="H154" s="406"/>
      <c r="I154" s="406"/>
      <c r="J154" s="406"/>
      <c r="K154" s="406"/>
      <c r="L154" s="406"/>
      <c r="M154" s="406"/>
      <c r="N154" s="406"/>
      <c r="O154" s="406"/>
      <c r="P154" s="1460" t="s">
        <v>1235</v>
      </c>
    </row>
    <row r="155" spans="1:24" s="386" customFormat="1" ht="12" customHeight="1">
      <c r="B155" s="406"/>
      <c r="C155" s="406"/>
      <c r="D155" s="406"/>
      <c r="E155" s="406"/>
      <c r="F155" s="406"/>
      <c r="G155" s="406"/>
      <c r="H155" s="406"/>
      <c r="I155" s="406"/>
      <c r="J155" s="406"/>
      <c r="K155" s="406"/>
      <c r="L155" s="406"/>
      <c r="M155" s="406"/>
      <c r="N155" s="406"/>
      <c r="O155" s="406"/>
      <c r="P155" s="1460" t="s">
        <v>1236</v>
      </c>
    </row>
    <row r="156" spans="1:24" s="386" customFormat="1" ht="12" customHeight="1">
      <c r="B156" s="406"/>
      <c r="C156" s="406"/>
      <c r="D156" s="406"/>
      <c r="E156" s="406"/>
      <c r="F156" s="406"/>
      <c r="G156" s="406"/>
      <c r="H156" s="406"/>
      <c r="I156" s="406"/>
      <c r="J156" s="406"/>
      <c r="K156" s="406"/>
      <c r="L156" s="406"/>
      <c r="M156" s="406"/>
      <c r="N156" s="406"/>
      <c r="O156" s="406"/>
      <c r="P156" s="1460" t="s">
        <v>1237</v>
      </c>
    </row>
    <row r="157" spans="1:24" s="386" customFormat="1" ht="12" customHeight="1">
      <c r="B157" s="406"/>
      <c r="C157" s="406"/>
      <c r="D157" s="406"/>
      <c r="E157" s="406"/>
      <c r="F157" s="406"/>
      <c r="G157" s="406"/>
      <c r="H157" s="406"/>
      <c r="I157" s="406"/>
      <c r="J157" s="406"/>
      <c r="K157" s="406"/>
      <c r="L157" s="406"/>
      <c r="M157" s="406"/>
      <c r="N157" s="406"/>
      <c r="O157" s="406"/>
      <c r="P157" s="1460" t="s">
        <v>1238</v>
      </c>
    </row>
    <row r="158" spans="1:24" s="386" customFormat="1" ht="12" customHeight="1">
      <c r="B158" s="406"/>
      <c r="C158" s="406"/>
      <c r="D158" s="406"/>
      <c r="E158" s="406"/>
      <c r="F158" s="406"/>
      <c r="G158" s="406"/>
      <c r="H158" s="406"/>
      <c r="I158" s="406"/>
      <c r="J158" s="406"/>
      <c r="K158" s="406"/>
      <c r="L158" s="406"/>
      <c r="M158" s="406"/>
      <c r="N158" s="406"/>
      <c r="O158" s="406"/>
      <c r="P158" s="1460" t="s">
        <v>1239</v>
      </c>
    </row>
    <row r="159" spans="1:24" ht="12" customHeight="1">
      <c r="P159" s="1460" t="s">
        <v>1240</v>
      </c>
    </row>
    <row r="160" spans="1:24" ht="12" customHeight="1">
      <c r="A160" s="415"/>
      <c r="P160" s="1460" t="s">
        <v>1241</v>
      </c>
    </row>
    <row r="161" spans="16:16" ht="12" customHeight="1">
      <c r="P161" s="1460" t="s">
        <v>1242</v>
      </c>
    </row>
    <row r="162" spans="16:16" ht="12" customHeight="1">
      <c r="P162" s="1460" t="s">
        <v>1243</v>
      </c>
    </row>
    <row r="163" spans="16:16" ht="12" customHeight="1">
      <c r="P163" s="1460" t="s">
        <v>1244</v>
      </c>
    </row>
    <row r="164" spans="16:16" ht="12" customHeight="1">
      <c r="P164" s="1460" t="s">
        <v>1245</v>
      </c>
    </row>
    <row r="165" spans="16:16" ht="12" customHeight="1">
      <c r="P165" s="1460" t="s">
        <v>1246</v>
      </c>
    </row>
    <row r="166" spans="16:16" ht="12" customHeight="1">
      <c r="P166" s="1460" t="s">
        <v>1247</v>
      </c>
    </row>
    <row r="167" spans="16:16" ht="12" customHeight="1">
      <c r="P167" s="1460" t="s">
        <v>1248</v>
      </c>
    </row>
    <row r="168" spans="16:16" ht="12" customHeight="1">
      <c r="P168" s="1460" t="s">
        <v>1249</v>
      </c>
    </row>
    <row r="169" spans="16:16" ht="12" customHeight="1">
      <c r="P169" s="1460" t="s">
        <v>1250</v>
      </c>
    </row>
    <row r="170" spans="16:16" ht="12" customHeight="1">
      <c r="P170" s="1460" t="s">
        <v>1251</v>
      </c>
    </row>
    <row r="171" spans="16:16" ht="12" customHeight="1">
      <c r="P171" s="1460" t="s">
        <v>1252</v>
      </c>
    </row>
    <row r="172" spans="16:16" ht="12" customHeight="1">
      <c r="P172" s="1460" t="s">
        <v>1253</v>
      </c>
    </row>
    <row r="173" spans="16:16" ht="12" customHeight="1">
      <c r="P173" s="1460" t="s">
        <v>1254</v>
      </c>
    </row>
    <row r="174" spans="16:16" ht="12" customHeight="1">
      <c r="P174" s="1460" t="s">
        <v>1255</v>
      </c>
    </row>
    <row r="175" spans="16:16" ht="12" customHeight="1">
      <c r="P175" s="1460" t="s">
        <v>1256</v>
      </c>
    </row>
    <row r="176" spans="16:16" ht="12" customHeight="1">
      <c r="P176" s="1460" t="s">
        <v>1776</v>
      </c>
    </row>
    <row r="177" spans="16:16" ht="12" customHeight="1">
      <c r="P177" s="1460" t="s">
        <v>1777</v>
      </c>
    </row>
    <row r="178" spans="16:16" ht="12" customHeight="1">
      <c r="P178" s="1460" t="s">
        <v>1778</v>
      </c>
    </row>
    <row r="179" spans="16:16" ht="12" customHeight="1">
      <c r="P179" s="1460" t="s">
        <v>1779</v>
      </c>
    </row>
    <row r="180" spans="16:16" ht="12" customHeight="1">
      <c r="P180" s="1460" t="s">
        <v>1780</v>
      </c>
    </row>
    <row r="181" spans="16:16" ht="13.5">
      <c r="P181" s="1460" t="s">
        <v>1781</v>
      </c>
    </row>
    <row r="182" spans="16:16" ht="12" customHeight="1">
      <c r="P182" s="1460" t="s">
        <v>1782</v>
      </c>
    </row>
    <row r="183" spans="16:16" ht="12" customHeight="1">
      <c r="P183" s="1460" t="s">
        <v>1783</v>
      </c>
    </row>
    <row r="184" spans="16:16" ht="12" customHeight="1">
      <c r="P184" s="1460" t="s">
        <v>1784</v>
      </c>
    </row>
    <row r="185" spans="16:16" ht="12" customHeight="1">
      <c r="P185" s="1460" t="s">
        <v>1785</v>
      </c>
    </row>
    <row r="186" spans="16:16" ht="12" customHeight="1">
      <c r="P186" s="1460" t="s">
        <v>1786</v>
      </c>
    </row>
    <row r="187" spans="16:16" ht="12" customHeight="1">
      <c r="P187" s="1460" t="s">
        <v>1787</v>
      </c>
    </row>
    <row r="188" spans="16:16" ht="12" customHeight="1">
      <c r="P188" s="1460" t="s">
        <v>1788</v>
      </c>
    </row>
    <row r="189" spans="16:16" ht="12" customHeight="1">
      <c r="P189" s="1460" t="s">
        <v>1789</v>
      </c>
    </row>
    <row r="190" spans="16:16" ht="12" customHeight="1">
      <c r="P190" s="1460" t="s">
        <v>1790</v>
      </c>
    </row>
    <row r="191" spans="16:16" ht="12" customHeight="1">
      <c r="P191" s="1460" t="s">
        <v>1791</v>
      </c>
    </row>
    <row r="192" spans="16:16" ht="12" customHeight="1">
      <c r="P192" s="1460" t="s">
        <v>1792</v>
      </c>
    </row>
    <row r="193" spans="16:16" ht="12" customHeight="1">
      <c r="P193" s="1460" t="s">
        <v>1793</v>
      </c>
    </row>
    <row r="194" spans="16:16" ht="12" customHeight="1">
      <c r="P194" s="1460" t="s">
        <v>1794</v>
      </c>
    </row>
    <row r="195" spans="16:16" ht="12" customHeight="1">
      <c r="P195" s="1460" t="s">
        <v>1795</v>
      </c>
    </row>
    <row r="196" spans="16:16" ht="12" customHeight="1">
      <c r="P196" s="1460" t="s">
        <v>1796</v>
      </c>
    </row>
    <row r="197" spans="16:16" ht="12" customHeight="1">
      <c r="P197" s="1460" t="s">
        <v>1797</v>
      </c>
    </row>
    <row r="198" spans="16:16" ht="12" customHeight="1">
      <c r="P198" s="1460" t="s">
        <v>1798</v>
      </c>
    </row>
    <row r="199" spans="16:16" ht="12" customHeight="1">
      <c r="P199" s="1460" t="s">
        <v>1799</v>
      </c>
    </row>
    <row r="200" spans="16:16" ht="12" customHeight="1">
      <c r="P200" s="1460" t="s">
        <v>1800</v>
      </c>
    </row>
    <row r="201" spans="16:16" ht="12" customHeight="1">
      <c r="P201" s="1460"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84" t="str">
        <f>CONCATENATE("PART THREE - SOURCES OF FUNDS","  -  ",'Part I-Project Information'!$O$4," ",'Part I-Project Information'!$F$23,", ",'Part I-Project Information'!$F$26,", ",'Part I-Project Information'!$J$27," County")</f>
        <v>PART THREE - SOURCES OF FUNDS  -  2013-019 BTW-Chapman Phase I, Columbus, Muscogee County</v>
      </c>
      <c r="B1" s="885"/>
      <c r="C1" s="885"/>
      <c r="D1" s="885"/>
      <c r="E1" s="885"/>
      <c r="F1" s="885"/>
      <c r="G1" s="885"/>
      <c r="H1" s="885"/>
      <c r="I1" s="885"/>
      <c r="J1" s="885"/>
      <c r="K1" s="885"/>
      <c r="L1" s="885"/>
      <c r="M1" s="885"/>
      <c r="N1" s="885"/>
      <c r="O1" s="885"/>
      <c r="P1" s="885"/>
      <c r="Q1" s="886"/>
      <c r="S1" s="892" t="str">
        <f>$A$1</f>
        <v>PART THREE - SOURCES OF FUNDS  -  2013-019 BTW-Chapman Phase I, Columbus, Muscogee County</v>
      </c>
      <c r="T1" s="89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96"/>
      <c r="E3" s="796"/>
      <c r="F3" s="796"/>
      <c r="G3" s="796"/>
      <c r="J3" s="796"/>
      <c r="K3" s="796"/>
      <c r="L3" s="796"/>
      <c r="M3" s="796"/>
      <c r="N3" s="796"/>
      <c r="S3" s="440" t="str">
        <f>B3</f>
        <v>GOVERNMENT FUNDING SOURCES  (check all that apply)</v>
      </c>
    </row>
    <row r="4" spans="1:20" s="351" customFormat="1" ht="13.9" customHeight="1">
      <c r="A4" s="415"/>
      <c r="B4" s="687"/>
      <c r="C4" s="409"/>
      <c r="D4" s="796"/>
      <c r="E4" s="796"/>
      <c r="F4" s="796"/>
      <c r="G4" s="796"/>
      <c r="I4" s="386"/>
      <c r="J4" s="386"/>
      <c r="K4" s="386"/>
      <c r="L4" s="386"/>
      <c r="M4" s="386"/>
      <c r="S4" s="893" t="s">
        <v>3548</v>
      </c>
      <c r="T4" s="893"/>
    </row>
    <row r="5" spans="1:20" s="351" customFormat="1" ht="16.899999999999999" customHeight="1">
      <c r="A5" s="687"/>
      <c r="B5" s="1324" t="s">
        <v>4064</v>
      </c>
      <c r="C5" s="788" t="s">
        <v>3175</v>
      </c>
      <c r="D5" s="386"/>
      <c r="E5" s="1324"/>
      <c r="F5" s="793" t="s">
        <v>2343</v>
      </c>
      <c r="G5" s="386"/>
      <c r="J5" s="1461"/>
      <c r="K5" s="1462"/>
      <c r="M5" s="1324"/>
      <c r="N5" s="386" t="s">
        <v>3410</v>
      </c>
      <c r="S5" s="1463"/>
      <c r="T5" s="1464"/>
    </row>
    <row r="6" spans="1:20" s="351" customFormat="1" ht="16.899999999999999" customHeight="1">
      <c r="A6" s="687"/>
      <c r="B6" s="1324"/>
      <c r="C6" s="788" t="s">
        <v>2500</v>
      </c>
      <c r="D6" s="386"/>
      <c r="E6" s="1324"/>
      <c r="F6" s="386" t="s">
        <v>3408</v>
      </c>
      <c r="H6" s="1324"/>
      <c r="I6" s="392" t="s">
        <v>3407</v>
      </c>
      <c r="J6" s="788"/>
      <c r="K6" s="377"/>
      <c r="L6" s="377"/>
      <c r="M6" s="1324"/>
      <c r="N6" s="788" t="s">
        <v>716</v>
      </c>
      <c r="Q6" s="775"/>
      <c r="S6" s="1465"/>
      <c r="T6" s="1466"/>
    </row>
    <row r="7" spans="1:20" s="351" customFormat="1" ht="16.899999999999999" customHeight="1">
      <c r="A7" s="386"/>
      <c r="B7" s="1324"/>
      <c r="C7" s="788" t="s">
        <v>2501</v>
      </c>
      <c r="E7" s="1324"/>
      <c r="F7" s="793" t="s">
        <v>2920</v>
      </c>
      <c r="G7" s="386"/>
      <c r="H7" s="1324"/>
      <c r="I7" s="788" t="s">
        <v>1996</v>
      </c>
      <c r="J7" s="377"/>
      <c r="K7" s="1324"/>
      <c r="L7" s="788" t="s">
        <v>718</v>
      </c>
      <c r="M7" s="1324"/>
      <c r="N7" s="392" t="s">
        <v>3409</v>
      </c>
      <c r="Q7" s="776"/>
      <c r="S7" s="1465"/>
      <c r="T7" s="1466"/>
    </row>
    <row r="8" spans="1:20" s="351" customFormat="1" ht="16.899999999999999" customHeight="1">
      <c r="A8" s="687"/>
      <c r="B8" s="1324"/>
      <c r="C8" s="796" t="s">
        <v>3399</v>
      </c>
      <c r="D8" s="386"/>
      <c r="E8" s="1324"/>
      <c r="F8" s="411" t="s">
        <v>3400</v>
      </c>
      <c r="H8" s="1324"/>
      <c r="I8" s="788" t="s">
        <v>717</v>
      </c>
      <c r="J8" s="377"/>
      <c r="K8" s="392"/>
      <c r="L8" s="424"/>
      <c r="M8" s="1324" t="s">
        <v>4064</v>
      </c>
      <c r="N8" s="1310" t="s">
        <v>4138</v>
      </c>
      <c r="O8" s="1311"/>
      <c r="P8" s="1311"/>
      <c r="Q8" s="1312"/>
      <c r="S8" s="1467"/>
      <c r="T8" s="1468"/>
    </row>
    <row r="9" spans="1:20" s="351" customFormat="1" ht="16.899999999999999" customHeight="1">
      <c r="A9" s="687"/>
      <c r="B9" s="351" t="s">
        <v>3951</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96"/>
      <c r="E11" s="386"/>
      <c r="F11" s="386"/>
      <c r="G11" s="386"/>
      <c r="H11" s="351"/>
      <c r="I11" s="351"/>
      <c r="J11" s="389"/>
      <c r="K11" s="386"/>
      <c r="L11" s="386"/>
      <c r="M11" s="796"/>
      <c r="N11" s="828"/>
      <c r="O11" s="828"/>
      <c r="P11" s="386"/>
      <c r="Q11" s="386"/>
      <c r="S11" s="440" t="str">
        <f>B11</f>
        <v>CONSTRUCTION FINANCING</v>
      </c>
    </row>
    <row r="12" spans="1:20" s="440" customFormat="1" ht="13.9" customHeight="1">
      <c r="A12" s="389"/>
      <c r="B12" s="350"/>
      <c r="C12" s="386"/>
      <c r="K12" s="386"/>
      <c r="L12" s="386"/>
      <c r="M12" s="796"/>
      <c r="N12" s="791"/>
      <c r="O12" s="791"/>
      <c r="P12" s="386"/>
      <c r="Q12" s="386"/>
    </row>
    <row r="13" spans="1:20" s="351" customFormat="1" ht="16.899999999999999" customHeight="1">
      <c r="A13" s="386"/>
      <c r="B13" s="788" t="s">
        <v>2577</v>
      </c>
      <c r="C13" s="386"/>
      <c r="D13" s="386"/>
      <c r="E13" s="386"/>
      <c r="F13" s="386"/>
      <c r="G13" s="386"/>
      <c r="H13" s="912" t="s">
        <v>1731</v>
      </c>
      <c r="I13" s="912"/>
      <c r="J13" s="912"/>
      <c r="K13" s="912"/>
      <c r="L13" s="841" t="s">
        <v>2703</v>
      </c>
      <c r="M13" s="841"/>
      <c r="N13" s="841" t="s">
        <v>1964</v>
      </c>
      <c r="O13" s="841"/>
      <c r="P13" s="841" t="s">
        <v>2233</v>
      </c>
      <c r="Q13" s="841"/>
      <c r="S13" s="893" t="s">
        <v>3548</v>
      </c>
      <c r="T13" s="893"/>
    </row>
    <row r="14" spans="1:20" s="351" customFormat="1" ht="16.899999999999999" customHeight="1">
      <c r="A14" s="386"/>
      <c r="B14" s="896" t="s">
        <v>2051</v>
      </c>
      <c r="C14" s="897"/>
      <c r="D14" s="897"/>
      <c r="E14" s="798"/>
      <c r="F14" s="798"/>
      <c r="G14" s="798"/>
      <c r="H14" s="1310" t="s">
        <v>4135</v>
      </c>
      <c r="I14" s="1311"/>
      <c r="J14" s="1311"/>
      <c r="K14" s="1312"/>
      <c r="L14" s="1469">
        <v>3909381</v>
      </c>
      <c r="M14" s="1470"/>
      <c r="N14" s="1471">
        <v>3.2000000000000001E-2</v>
      </c>
      <c r="O14" s="1472"/>
      <c r="P14" s="1473">
        <v>24</v>
      </c>
      <c r="Q14" s="1474"/>
      <c r="S14" s="1463"/>
      <c r="T14" s="1464"/>
    </row>
    <row r="15" spans="1:20" s="351" customFormat="1" ht="16.899999999999999" customHeight="1">
      <c r="A15" s="386"/>
      <c r="B15" s="894" t="s">
        <v>2052</v>
      </c>
      <c r="C15" s="895"/>
      <c r="D15" s="895"/>
      <c r="E15" s="796"/>
      <c r="F15" s="796"/>
      <c r="G15" s="796"/>
      <c r="H15" s="1310" t="s">
        <v>4139</v>
      </c>
      <c r="I15" s="1311"/>
      <c r="J15" s="1311"/>
      <c r="K15" s="1312"/>
      <c r="L15" s="1469">
        <v>1000000</v>
      </c>
      <c r="M15" s="1470"/>
      <c r="N15" s="1471">
        <v>3.2500000000000001E-2</v>
      </c>
      <c r="O15" s="1472"/>
      <c r="P15" s="1475">
        <v>48</v>
      </c>
      <c r="Q15" s="1476"/>
      <c r="S15" s="1465"/>
      <c r="T15" s="1466"/>
    </row>
    <row r="16" spans="1:20" s="351" customFormat="1" ht="16.899999999999999" customHeight="1">
      <c r="A16" s="386"/>
      <c r="B16" s="901" t="s">
        <v>2053</v>
      </c>
      <c r="C16" s="902"/>
      <c r="D16" s="902"/>
      <c r="E16" s="805"/>
      <c r="F16" s="805"/>
      <c r="G16" s="805"/>
      <c r="H16" s="1310" t="s">
        <v>4074</v>
      </c>
      <c r="I16" s="1311"/>
      <c r="J16" s="1311"/>
      <c r="K16" s="1312"/>
      <c r="L16" s="1469">
        <v>2750000</v>
      </c>
      <c r="M16" s="1470"/>
      <c r="N16" s="1471">
        <v>0</v>
      </c>
      <c r="O16" s="1472"/>
      <c r="P16" s="1475">
        <v>24</v>
      </c>
      <c r="Q16" s="1476"/>
      <c r="S16" s="1465"/>
      <c r="T16" s="1466"/>
    </row>
    <row r="17" spans="1:20" s="351" customFormat="1" ht="16.899999999999999" customHeight="1">
      <c r="A17" s="386"/>
      <c r="B17" s="896" t="s">
        <v>2938</v>
      </c>
      <c r="C17" s="897"/>
      <c r="D17" s="897"/>
      <c r="E17" s="796"/>
      <c r="F17" s="796"/>
      <c r="G17" s="796"/>
      <c r="H17" s="1310"/>
      <c r="I17" s="1311"/>
      <c r="J17" s="1311"/>
      <c r="K17" s="1312"/>
      <c r="L17" s="1469"/>
      <c r="M17" s="1470"/>
      <c r="N17" s="898"/>
      <c r="O17" s="899"/>
      <c r="P17" s="900"/>
      <c r="Q17" s="900"/>
      <c r="S17" s="1465"/>
      <c r="T17" s="1466"/>
    </row>
    <row r="18" spans="1:20" s="351" customFormat="1" ht="16.899999999999999" customHeight="1">
      <c r="A18" s="386"/>
      <c r="B18" s="894" t="s">
        <v>1194</v>
      </c>
      <c r="C18" s="895"/>
      <c r="D18" s="895"/>
      <c r="E18" s="796"/>
      <c r="H18" s="1310"/>
      <c r="I18" s="1311"/>
      <c r="J18" s="1311"/>
      <c r="K18" s="1312"/>
      <c r="L18" s="1469"/>
      <c r="M18" s="1470"/>
      <c r="N18" s="898"/>
      <c r="O18" s="899"/>
      <c r="P18" s="900"/>
      <c r="Q18" s="900"/>
      <c r="S18" s="1465"/>
      <c r="T18" s="1466"/>
    </row>
    <row r="19" spans="1:20" s="351" customFormat="1" ht="16.899999999999999" customHeight="1">
      <c r="A19" s="386"/>
      <c r="B19" s="894" t="s">
        <v>821</v>
      </c>
      <c r="C19" s="895"/>
      <c r="D19" s="895"/>
      <c r="E19" s="796"/>
      <c r="H19" s="1310"/>
      <c r="I19" s="1311"/>
      <c r="J19" s="1311"/>
      <c r="K19" s="1312"/>
      <c r="L19" s="1469"/>
      <c r="M19" s="1470"/>
      <c r="N19" s="898"/>
      <c r="O19" s="899"/>
      <c r="P19" s="900"/>
      <c r="Q19" s="900"/>
      <c r="S19" s="1465"/>
      <c r="T19" s="1466"/>
    </row>
    <row r="20" spans="1:20" s="351" customFormat="1" ht="16.899999999999999" customHeight="1">
      <c r="A20" s="386"/>
      <c r="B20" s="894" t="s">
        <v>1195</v>
      </c>
      <c r="C20" s="895"/>
      <c r="D20" s="895"/>
      <c r="E20" s="796"/>
      <c r="H20" s="1310" t="s">
        <v>4136</v>
      </c>
      <c r="I20" s="1311"/>
      <c r="J20" s="1311"/>
      <c r="K20" s="1312"/>
      <c r="L20" s="1469">
        <v>2156462</v>
      </c>
      <c r="M20" s="1470"/>
      <c r="N20" s="386"/>
      <c r="O20" s="386"/>
      <c r="P20" s="386"/>
      <c r="Q20" s="386"/>
      <c r="S20" s="1467"/>
      <c r="T20" s="1468"/>
    </row>
    <row r="21" spans="1:20" s="351" customFormat="1" ht="16.899999999999999" customHeight="1">
      <c r="A21" s="386"/>
      <c r="B21" s="894" t="s">
        <v>1196</v>
      </c>
      <c r="C21" s="895"/>
      <c r="D21" s="895"/>
      <c r="E21" s="796"/>
      <c r="H21" s="1310" t="s">
        <v>4136</v>
      </c>
      <c r="I21" s="1311"/>
      <c r="J21" s="1311"/>
      <c r="K21" s="1312"/>
      <c r="L21" s="1469">
        <v>916496</v>
      </c>
      <c r="M21" s="1470"/>
      <c r="N21" s="386"/>
      <c r="O21" s="386"/>
      <c r="P21" s="386"/>
      <c r="Q21" s="386"/>
      <c r="S21" s="1463"/>
      <c r="T21" s="1464"/>
    </row>
    <row r="22" spans="1:20" s="351" customFormat="1" ht="16.899999999999999" customHeight="1">
      <c r="A22" s="386"/>
      <c r="B22" s="795" t="s">
        <v>265</v>
      </c>
      <c r="C22" s="796"/>
      <c r="D22" s="1477"/>
      <c r="E22" s="1477"/>
      <c r="F22" s="1477"/>
      <c r="G22" s="1477"/>
      <c r="H22" s="1310"/>
      <c r="I22" s="1311"/>
      <c r="J22" s="1311"/>
      <c r="K22" s="1312"/>
      <c r="L22" s="1469"/>
      <c r="M22" s="1470"/>
      <c r="N22" s="386"/>
      <c r="O22" s="386"/>
      <c r="P22" s="386"/>
      <c r="Q22" s="386"/>
      <c r="S22" s="1465"/>
      <c r="T22" s="1466"/>
    </row>
    <row r="23" spans="1:20" s="351" customFormat="1" ht="16.899999999999999" customHeight="1">
      <c r="A23" s="386"/>
      <c r="B23" s="795" t="s">
        <v>265</v>
      </c>
      <c r="C23" s="796"/>
      <c r="D23" s="1477"/>
      <c r="E23" s="1477"/>
      <c r="F23" s="1477"/>
      <c r="G23" s="1477"/>
      <c r="H23" s="1310"/>
      <c r="I23" s="1311"/>
      <c r="J23" s="1311"/>
      <c r="K23" s="1312"/>
      <c r="L23" s="1469"/>
      <c r="M23" s="1470"/>
      <c r="N23" s="386"/>
      <c r="O23" s="386"/>
      <c r="P23" s="386"/>
      <c r="Q23" s="386"/>
      <c r="S23" s="1465"/>
      <c r="T23" s="1466"/>
    </row>
    <row r="24" spans="1:20" s="351" customFormat="1" ht="16.899999999999999" customHeight="1">
      <c r="A24" s="386"/>
      <c r="B24" s="804" t="s">
        <v>265</v>
      </c>
      <c r="C24" s="805"/>
      <c r="D24" s="1477"/>
      <c r="E24" s="1477"/>
      <c r="F24" s="1477"/>
      <c r="G24" s="1477"/>
      <c r="H24" s="1310"/>
      <c r="I24" s="1311"/>
      <c r="J24" s="1311"/>
      <c r="K24" s="1312"/>
      <c r="L24" s="1469"/>
      <c r="M24" s="1470"/>
      <c r="N24" s="386"/>
      <c r="O24" s="386"/>
      <c r="P24" s="386"/>
      <c r="Q24" s="386"/>
      <c r="S24" s="1465"/>
      <c r="T24" s="1466"/>
    </row>
    <row r="25" spans="1:20" s="351" customFormat="1" ht="16.899999999999999" customHeight="1">
      <c r="A25" s="386"/>
      <c r="B25" s="350" t="s">
        <v>1732</v>
      </c>
      <c r="C25" s="386"/>
      <c r="D25" s="386"/>
      <c r="E25" s="386"/>
      <c r="F25" s="386"/>
      <c r="G25" s="386"/>
      <c r="H25" s="386"/>
      <c r="I25" s="386"/>
      <c r="L25" s="917">
        <f>SUM(L14:L24)</f>
        <v>10732339</v>
      </c>
      <c r="M25" s="918"/>
      <c r="N25" s="406"/>
      <c r="O25" s="406"/>
      <c r="P25" s="406"/>
      <c r="Q25" s="406"/>
      <c r="S25" s="1465"/>
      <c r="T25" s="1466"/>
    </row>
    <row r="26" spans="1:20" s="351" customFormat="1" ht="16.899999999999999" customHeight="1">
      <c r="A26" s="386"/>
      <c r="B26" s="788" t="s">
        <v>1733</v>
      </c>
      <c r="C26" s="386"/>
      <c r="D26" s="386"/>
      <c r="E26" s="386"/>
      <c r="F26" s="386"/>
      <c r="G26" s="386"/>
      <c r="H26" s="386"/>
      <c r="I26" s="386"/>
      <c r="L26" s="1478">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10732339</v>
      </c>
      <c r="M26" s="1479"/>
      <c r="N26" s="915"/>
      <c r="O26" s="916"/>
      <c r="P26" s="916"/>
      <c r="Q26" s="916"/>
      <c r="S26" s="1465"/>
      <c r="T26" s="1466"/>
    </row>
    <row r="27" spans="1:20" s="351" customFormat="1" ht="16.899999999999999" customHeight="1">
      <c r="A27" s="386"/>
      <c r="B27" s="392" t="s">
        <v>2874</v>
      </c>
      <c r="C27" s="386"/>
      <c r="D27" s="386"/>
      <c r="E27" s="386"/>
      <c r="F27" s="386"/>
      <c r="G27" s="386"/>
      <c r="H27" s="386"/>
      <c r="I27" s="386"/>
      <c r="L27" s="919">
        <f>L25-L26</f>
        <v>0</v>
      </c>
      <c r="M27" s="920"/>
      <c r="N27" s="915"/>
      <c r="O27" s="916"/>
      <c r="P27" s="916"/>
      <c r="Q27" s="916"/>
      <c r="S27" s="1467"/>
      <c r="T27" s="1468"/>
    </row>
    <row r="28" spans="1:20" ht="9.6" customHeight="1">
      <c r="A28" s="415"/>
      <c r="B28" s="350"/>
      <c r="C28" s="406"/>
      <c r="D28" s="406"/>
      <c r="E28" s="406"/>
      <c r="F28" s="406"/>
      <c r="G28" s="406"/>
      <c r="H28" s="406"/>
      <c r="I28" s="406"/>
      <c r="J28" s="406"/>
      <c r="K28" s="406"/>
      <c r="L28" s="406"/>
      <c r="M28" s="802"/>
      <c r="N28" s="802"/>
      <c r="O28" s="406"/>
      <c r="P28" s="389"/>
      <c r="Q28" s="389"/>
    </row>
    <row r="29" spans="1:20" ht="9.6" customHeight="1">
      <c r="A29" s="389" t="s">
        <v>1047</v>
      </c>
      <c r="B29" s="350" t="s">
        <v>1193</v>
      </c>
      <c r="C29" s="406"/>
      <c r="D29" s="406"/>
      <c r="E29" s="406"/>
      <c r="F29" s="406"/>
      <c r="G29" s="406"/>
      <c r="H29" s="406"/>
      <c r="I29" s="406"/>
      <c r="J29" s="406"/>
      <c r="K29" s="406"/>
      <c r="L29" s="406"/>
      <c r="M29" s="802"/>
      <c r="N29" s="802"/>
      <c r="O29" s="406"/>
      <c r="P29" s="389"/>
      <c r="Q29" s="389"/>
      <c r="S29" s="440" t="str">
        <f>B29</f>
        <v>PERMANENT FINANCING</v>
      </c>
    </row>
    <row r="30" spans="1:20" s="351" customFormat="1" ht="13.15" customHeight="1">
      <c r="A30" s="386"/>
      <c r="B30" s="386"/>
      <c r="C30" s="386"/>
      <c r="D30" s="386"/>
      <c r="E30" s="386"/>
      <c r="F30" s="802"/>
      <c r="G30" s="802"/>
      <c r="H30" s="900"/>
      <c r="I30" s="900"/>
      <c r="J30" s="474" t="s">
        <v>2815</v>
      </c>
      <c r="K30" s="802" t="s">
        <v>1729</v>
      </c>
      <c r="L30" s="802" t="s">
        <v>1734</v>
      </c>
      <c r="M30" s="836" t="s">
        <v>37</v>
      </c>
      <c r="N30" s="836"/>
      <c r="O30" s="791"/>
      <c r="P30" s="802"/>
      <c r="Q30" s="910" t="s">
        <v>3075</v>
      </c>
      <c r="S30" s="440"/>
    </row>
    <row r="31" spans="1:20" s="351" customFormat="1" ht="13.15" customHeight="1">
      <c r="A31" s="386"/>
      <c r="B31" s="801" t="s">
        <v>2577</v>
      </c>
      <c r="C31" s="805"/>
      <c r="D31" s="805"/>
      <c r="E31" s="895" t="s">
        <v>1731</v>
      </c>
      <c r="F31" s="895"/>
      <c r="G31" s="895"/>
      <c r="H31" s="841" t="s">
        <v>622</v>
      </c>
      <c r="I31" s="841"/>
      <c r="J31" s="790" t="s">
        <v>2505</v>
      </c>
      <c r="K31" s="790" t="s">
        <v>2937</v>
      </c>
      <c r="L31" s="790" t="s">
        <v>2937</v>
      </c>
      <c r="M31" s="1480"/>
      <c r="N31" s="1480"/>
      <c r="O31" s="841" t="s">
        <v>78</v>
      </c>
      <c r="P31" s="841"/>
      <c r="Q31" s="911"/>
      <c r="S31" s="893" t="s">
        <v>3548</v>
      </c>
      <c r="T31" s="893"/>
    </row>
    <row r="32" spans="1:20" s="351" customFormat="1" ht="13.15" customHeight="1">
      <c r="A32" s="386"/>
      <c r="B32" s="896" t="s">
        <v>3414</v>
      </c>
      <c r="C32" s="897"/>
      <c r="D32" s="897"/>
      <c r="E32" s="1347" t="s">
        <v>4135</v>
      </c>
      <c r="F32" s="1481"/>
      <c r="G32" s="1482"/>
      <c r="H32" s="1483">
        <v>681939</v>
      </c>
      <c r="I32" s="1484"/>
      <c r="J32" s="1485">
        <v>6.5000000000000002E-2</v>
      </c>
      <c r="K32" s="1324">
        <v>18</v>
      </c>
      <c r="L32" s="1324">
        <v>30</v>
      </c>
      <c r="M32" s="1486">
        <f t="shared" ref="M32:M37" si="0">IF(OR(H32&lt;=0,H32=""),"",IF(O32="Amortizing",-PMT(J32/12,L32*12,H32,0,0)*12,""))</f>
        <v>51723.820304732188</v>
      </c>
      <c r="N32" s="1487"/>
      <c r="O32" s="1306" t="s">
        <v>4125</v>
      </c>
      <c r="P32" s="1307"/>
      <c r="Q32" s="1488"/>
      <c r="S32" s="1463"/>
      <c r="T32" s="1464"/>
    </row>
    <row r="33" spans="1:20" s="351" customFormat="1" ht="13.15" customHeight="1">
      <c r="A33" s="386"/>
      <c r="B33" s="894" t="s">
        <v>3415</v>
      </c>
      <c r="C33" s="895"/>
      <c r="D33" s="895"/>
      <c r="E33" s="1315" t="s">
        <v>4124</v>
      </c>
      <c r="F33" s="1489"/>
      <c r="G33" s="1490"/>
      <c r="H33" s="1491">
        <v>2750000</v>
      </c>
      <c r="I33" s="1484"/>
      <c r="J33" s="1485">
        <v>2.5999999999999999E-2</v>
      </c>
      <c r="K33" s="1324">
        <v>35</v>
      </c>
      <c r="L33" s="1324">
        <v>35</v>
      </c>
      <c r="M33" s="1486" t="str">
        <f t="shared" si="0"/>
        <v/>
      </c>
      <c r="N33" s="1487"/>
      <c r="O33" s="1306" t="s">
        <v>1579</v>
      </c>
      <c r="P33" s="1307"/>
      <c r="Q33" s="1488">
        <v>1.2</v>
      </c>
      <c r="S33" s="1465"/>
      <c r="T33" s="1466"/>
    </row>
    <row r="34" spans="1:20" s="351" customFormat="1" ht="13.15" customHeight="1">
      <c r="A34" s="386"/>
      <c r="B34" s="894" t="s">
        <v>3416</v>
      </c>
      <c r="C34" s="895"/>
      <c r="D34" s="895"/>
      <c r="E34" s="1310"/>
      <c r="F34" s="1492"/>
      <c r="G34" s="1484"/>
      <c r="H34" s="1491"/>
      <c r="I34" s="1484"/>
      <c r="J34" s="1485"/>
      <c r="K34" s="1324"/>
      <c r="L34" s="1324"/>
      <c r="M34" s="1486" t="str">
        <f t="shared" si="0"/>
        <v/>
      </c>
      <c r="N34" s="1487"/>
      <c r="O34" s="1306"/>
      <c r="P34" s="1307"/>
      <c r="Q34" s="1488"/>
      <c r="S34" s="1465"/>
      <c r="T34" s="1466"/>
    </row>
    <row r="35" spans="1:20" s="351" customFormat="1" ht="13.15" customHeight="1">
      <c r="A35" s="386"/>
      <c r="B35" s="795" t="s">
        <v>1046</v>
      </c>
      <c r="C35" s="1347"/>
      <c r="D35" s="1349"/>
      <c r="E35" s="1310"/>
      <c r="F35" s="1492"/>
      <c r="G35" s="1484"/>
      <c r="H35" s="1491"/>
      <c r="I35" s="1484"/>
      <c r="J35" s="1485"/>
      <c r="K35" s="1324"/>
      <c r="L35" s="1324"/>
      <c r="M35" s="1486" t="str">
        <f t="shared" si="0"/>
        <v/>
      </c>
      <c r="N35" s="1487"/>
      <c r="O35" s="1306"/>
      <c r="P35" s="1307"/>
      <c r="Q35" s="1488"/>
      <c r="S35" s="1465"/>
      <c r="T35" s="1466"/>
    </row>
    <row r="36" spans="1:20" s="351" customFormat="1" ht="13.15" customHeight="1">
      <c r="A36" s="386"/>
      <c r="B36" s="795" t="s">
        <v>3773</v>
      </c>
      <c r="C36" s="796"/>
      <c r="D36" s="800"/>
      <c r="E36" s="1310"/>
      <c r="F36" s="1492"/>
      <c r="G36" s="1484"/>
      <c r="H36" s="1491"/>
      <c r="I36" s="1484"/>
      <c r="J36" s="648"/>
      <c r="K36" s="794"/>
      <c r="L36" s="794"/>
      <c r="M36" s="927" t="str">
        <f t="shared" si="0"/>
        <v/>
      </c>
      <c r="N36" s="927"/>
      <c r="O36" s="926"/>
      <c r="P36" s="926"/>
      <c r="Q36" s="649"/>
      <c r="S36" s="1465"/>
      <c r="T36" s="1466"/>
    </row>
    <row r="37" spans="1:20" s="351" customFormat="1" ht="13.15" customHeight="1">
      <c r="A37" s="386"/>
      <c r="B37" s="804" t="s">
        <v>249</v>
      </c>
      <c r="C37" s="805"/>
      <c r="D37" s="475" t="str">
        <f>IF(OR(H37="",H37=0,'Part IV-Uses of Funds'!$G$115="",'Part IV-Uses of Funds'!$G$115=0),"",H37/'Part IV-Uses of Funds'!$G$115)</f>
        <v/>
      </c>
      <c r="E37" s="1310"/>
      <c r="F37" s="1492"/>
      <c r="G37" s="1484"/>
      <c r="H37" s="1491"/>
      <c r="I37" s="1484"/>
      <c r="J37" s="1485"/>
      <c r="K37" s="1324"/>
      <c r="L37" s="1324"/>
      <c r="M37" s="1486" t="str">
        <f t="shared" si="0"/>
        <v/>
      </c>
      <c r="N37" s="1487"/>
      <c r="O37" s="1306" t="s">
        <v>1579</v>
      </c>
      <c r="P37" s="1307"/>
      <c r="Q37" s="1488"/>
      <c r="S37" s="1465"/>
      <c r="T37" s="1466"/>
    </row>
    <row r="38" spans="1:20" s="351" customFormat="1" ht="13.15" customHeight="1">
      <c r="A38" s="386"/>
      <c r="B38" s="896" t="s">
        <v>2938</v>
      </c>
      <c r="C38" s="897"/>
      <c r="D38" s="921"/>
      <c r="E38" s="1310"/>
      <c r="F38" s="1492"/>
      <c r="G38" s="1484"/>
      <c r="H38" s="1493"/>
      <c r="I38" s="1494"/>
      <c r="K38" s="476"/>
      <c r="L38" s="476"/>
      <c r="M38" s="476"/>
      <c r="N38" s="476"/>
      <c r="O38" s="476"/>
      <c r="P38" s="476"/>
      <c r="Q38" s="476"/>
      <c r="S38" s="1463"/>
      <c r="T38" s="1464"/>
    </row>
    <row r="39" spans="1:20" s="351" customFormat="1" ht="13.15" customHeight="1">
      <c r="A39" s="386"/>
      <c r="B39" s="894" t="s">
        <v>1194</v>
      </c>
      <c r="C39" s="895"/>
      <c r="D39" s="903"/>
      <c r="E39" s="1310" t="s">
        <v>4078</v>
      </c>
      <c r="F39" s="1492"/>
      <c r="G39" s="1484"/>
      <c r="H39" s="1493">
        <v>1000000</v>
      </c>
      <c r="I39" s="1494"/>
      <c r="J39" s="906" t="s">
        <v>684</v>
      </c>
      <c r="K39" s="907"/>
      <c r="L39" s="905" t="s">
        <v>685</v>
      </c>
      <c r="M39" s="905"/>
      <c r="O39" s="528" t="s">
        <v>683</v>
      </c>
      <c r="P39" s="477"/>
      <c r="Q39" s="476"/>
      <c r="S39" s="1465"/>
      <c r="T39" s="1466"/>
    </row>
    <row r="40" spans="1:20" s="351" customFormat="1" ht="13.15" customHeight="1">
      <c r="A40" s="386"/>
      <c r="B40" s="894" t="s">
        <v>1195</v>
      </c>
      <c r="C40" s="895"/>
      <c r="D40" s="903"/>
      <c r="E40" s="1310" t="s">
        <v>4136</v>
      </c>
      <c r="F40" s="1311"/>
      <c r="G40" s="1312"/>
      <c r="H40" s="1491">
        <v>6161320</v>
      </c>
      <c r="I40" s="1495"/>
      <c r="J40" s="908">
        <f>'Part IV-Uses of Funds'!$J$172*10*'Part IV-Uses of Funds'!$N$165</f>
        <v>6161320</v>
      </c>
      <c r="K40" s="909"/>
      <c r="L40" s="904">
        <f>H40-J40</f>
        <v>0</v>
      </c>
      <c r="M40" s="904"/>
      <c r="O40" s="529" t="s">
        <v>3358</v>
      </c>
      <c r="P40" s="477"/>
      <c r="Q40" s="476"/>
      <c r="S40" s="1465"/>
      <c r="T40" s="1466"/>
    </row>
    <row r="41" spans="1:20" s="351" customFormat="1" ht="13.15" customHeight="1">
      <c r="A41" s="386"/>
      <c r="B41" s="894" t="s">
        <v>1196</v>
      </c>
      <c r="C41" s="895"/>
      <c r="D41" s="903"/>
      <c r="E41" s="1310" t="s">
        <v>4136</v>
      </c>
      <c r="F41" s="1311"/>
      <c r="G41" s="1312"/>
      <c r="H41" s="1491">
        <v>2618561</v>
      </c>
      <c r="I41" s="1495"/>
      <c r="J41" s="908">
        <f>'Part IV-Uses of Funds'!$J$172*10*'Part IV-Uses of Funds'!$Q$165</f>
        <v>2618561</v>
      </c>
      <c r="K41" s="909"/>
      <c r="L41" s="904">
        <f>H41-J41</f>
        <v>0</v>
      </c>
      <c r="M41" s="904"/>
      <c r="O41" s="530">
        <f>H40/H50</f>
        <v>0.46634906203375254</v>
      </c>
      <c r="P41" s="477"/>
      <c r="Q41" s="476"/>
      <c r="S41" s="1465"/>
      <c r="T41" s="1466"/>
    </row>
    <row r="42" spans="1:20" s="351" customFormat="1" ht="13.15" customHeight="1">
      <c r="A42" s="386"/>
      <c r="B42" s="894" t="s">
        <v>1850</v>
      </c>
      <c r="C42" s="895"/>
      <c r="D42" s="903"/>
      <c r="E42" s="1310"/>
      <c r="F42" s="1311"/>
      <c r="G42" s="1312"/>
      <c r="H42" s="1491"/>
      <c r="I42" s="1495"/>
      <c r="M42" s="477"/>
      <c r="O42" s="530">
        <f>H41/H50</f>
        <v>0.19819835136434483</v>
      </c>
      <c r="P42" s="477"/>
      <c r="Q42" s="476"/>
      <c r="S42" s="1467"/>
      <c r="T42" s="1468"/>
    </row>
    <row r="43" spans="1:20" s="351" customFormat="1" ht="13.15" customHeight="1">
      <c r="A43" s="386"/>
      <c r="B43" s="795" t="s">
        <v>698</v>
      </c>
      <c r="C43" s="796"/>
      <c r="D43" s="800"/>
      <c r="E43" s="1310"/>
      <c r="F43" s="1311"/>
      <c r="G43" s="1312"/>
      <c r="H43" s="1491"/>
      <c r="I43" s="1495"/>
      <c r="K43" s="386"/>
      <c r="L43" s="386"/>
      <c r="M43" s="477"/>
      <c r="O43" s="531">
        <f>SUM(O41:O42)</f>
        <v>0.66454741339809731</v>
      </c>
      <c r="P43" s="477"/>
      <c r="Q43" s="476"/>
      <c r="S43" s="1465"/>
      <c r="T43" s="1466"/>
    </row>
    <row r="44" spans="1:20" s="351" customFormat="1" ht="13.15" customHeight="1">
      <c r="A44" s="386"/>
      <c r="B44" s="795" t="s">
        <v>2575</v>
      </c>
      <c r="C44" s="796"/>
      <c r="D44" s="800"/>
      <c r="E44" s="1310"/>
      <c r="F44" s="1311"/>
      <c r="G44" s="1312"/>
      <c r="H44" s="1491"/>
      <c r="I44" s="1495"/>
      <c r="J44" s="386"/>
      <c r="M44" s="477"/>
      <c r="N44" s="477"/>
      <c r="O44" s="477"/>
      <c r="P44" s="477"/>
      <c r="Q44" s="476"/>
      <c r="S44" s="1465"/>
      <c r="T44" s="1466"/>
    </row>
    <row r="45" spans="1:20" s="351" customFormat="1" ht="13.15" customHeight="1">
      <c r="A45" s="386"/>
      <c r="B45" s="795" t="s">
        <v>2576</v>
      </c>
      <c r="C45" s="796"/>
      <c r="D45" s="800"/>
      <c r="E45" s="1310"/>
      <c r="F45" s="1311"/>
      <c r="G45" s="1312"/>
      <c r="H45" s="1491"/>
      <c r="I45" s="1495"/>
      <c r="J45" s="386"/>
      <c r="M45" s="477"/>
      <c r="N45" s="477"/>
      <c r="O45" s="477"/>
      <c r="P45" s="477"/>
      <c r="Q45" s="476"/>
      <c r="S45" s="1465"/>
      <c r="T45" s="1466"/>
    </row>
    <row r="46" spans="1:20" s="351" customFormat="1" ht="13.15" customHeight="1">
      <c r="A46" s="386"/>
      <c r="B46" s="795" t="s">
        <v>1046</v>
      </c>
      <c r="C46" s="1310"/>
      <c r="D46" s="1312"/>
      <c r="E46" s="1310"/>
      <c r="F46" s="1311"/>
      <c r="G46" s="1312"/>
      <c r="H46" s="1491"/>
      <c r="I46" s="1495"/>
      <c r="J46" s="386"/>
      <c r="M46" s="477"/>
      <c r="N46" s="477"/>
      <c r="O46" s="477"/>
      <c r="P46" s="477"/>
      <c r="Q46" s="476"/>
      <c r="S46" s="1465"/>
      <c r="T46" s="1466"/>
    </row>
    <row r="47" spans="1:20" s="351" customFormat="1" ht="13.15" customHeight="1">
      <c r="A47" s="386"/>
      <c r="B47" s="795" t="s">
        <v>1046</v>
      </c>
      <c r="C47" s="1310"/>
      <c r="D47" s="1312"/>
      <c r="E47" s="1310"/>
      <c r="F47" s="1311"/>
      <c r="G47" s="1312"/>
      <c r="H47" s="1491"/>
      <c r="I47" s="1495"/>
      <c r="J47" s="386"/>
      <c r="K47" s="386"/>
      <c r="L47" s="478"/>
      <c r="M47" s="477"/>
      <c r="N47" s="477"/>
      <c r="O47" s="477"/>
      <c r="P47" s="477"/>
      <c r="Q47" s="476"/>
      <c r="S47" s="1465"/>
      <c r="T47" s="1466"/>
    </row>
    <row r="48" spans="1:20" s="351" customFormat="1" ht="13.15" customHeight="1">
      <c r="A48" s="386"/>
      <c r="B48" s="804" t="s">
        <v>1046</v>
      </c>
      <c r="C48" s="1310"/>
      <c r="D48" s="1312"/>
      <c r="E48" s="1310"/>
      <c r="F48" s="1311"/>
      <c r="G48" s="1312"/>
      <c r="H48" s="1491"/>
      <c r="I48" s="1495"/>
      <c r="J48" s="386"/>
      <c r="K48" s="386"/>
      <c r="L48" s="478"/>
      <c r="M48" s="477"/>
      <c r="N48" s="477"/>
      <c r="O48" s="477"/>
      <c r="P48" s="477"/>
      <c r="Q48" s="476"/>
      <c r="S48" s="1465"/>
      <c r="T48" s="1466"/>
    </row>
    <row r="49" spans="1:23" s="351" customFormat="1" ht="13.15" customHeight="1">
      <c r="A49" s="386"/>
      <c r="B49" s="788" t="s">
        <v>2939</v>
      </c>
      <c r="C49" s="386"/>
      <c r="D49" s="386"/>
      <c r="E49" s="386"/>
      <c r="F49" s="386"/>
      <c r="G49" s="386"/>
      <c r="H49" s="924">
        <f>SUM(H32:I48)</f>
        <v>13211820</v>
      </c>
      <c r="I49" s="925"/>
      <c r="J49" s="406"/>
      <c r="K49" s="386"/>
      <c r="L49" s="478"/>
      <c r="M49" s="477"/>
      <c r="N49" s="477"/>
      <c r="O49" s="477"/>
      <c r="P49" s="477"/>
      <c r="Q49" s="476"/>
      <c r="S49" s="1465"/>
      <c r="T49" s="1466"/>
    </row>
    <row r="50" spans="1:23" s="351" customFormat="1" ht="13.15" customHeight="1" thickBot="1">
      <c r="A50" s="386"/>
      <c r="B50" s="788" t="s">
        <v>2940</v>
      </c>
      <c r="C50" s="386"/>
      <c r="D50" s="386"/>
      <c r="E50" s="386"/>
      <c r="F50" s="386"/>
      <c r="G50" s="386"/>
      <c r="H50" s="922">
        <f>'Part IV-Uses of Funds'!$G$129</f>
        <v>13211820.289999999</v>
      </c>
      <c r="I50" s="923"/>
      <c r="J50" s="406"/>
      <c r="K50" s="386"/>
      <c r="L50" s="478"/>
      <c r="M50" s="477"/>
      <c r="N50" s="477"/>
      <c r="O50" s="477"/>
      <c r="P50" s="477"/>
      <c r="Q50" s="476"/>
      <c r="S50" s="1465"/>
      <c r="T50" s="1466"/>
    </row>
    <row r="51" spans="1:23" s="351" customFormat="1" ht="13.15" customHeight="1" thickBot="1">
      <c r="A51" s="386"/>
      <c r="B51" s="392" t="s">
        <v>1982</v>
      </c>
      <c r="C51" s="386"/>
      <c r="D51" s="386"/>
      <c r="E51" s="386"/>
      <c r="F51" s="386"/>
      <c r="G51" s="386"/>
      <c r="H51" s="913">
        <f>H49-H50</f>
        <v>-0.28999999910593033</v>
      </c>
      <c r="I51" s="914"/>
      <c r="J51" s="406"/>
      <c r="K51" s="386"/>
      <c r="L51" s="478"/>
      <c r="M51" s="477"/>
      <c r="N51" s="477"/>
      <c r="O51" s="477"/>
      <c r="P51" s="477"/>
      <c r="Q51" s="476"/>
      <c r="S51" s="1467"/>
      <c r="T51" s="1468"/>
    </row>
    <row r="52" spans="1:23" s="351" customFormat="1" ht="13.15" customHeight="1">
      <c r="A52" s="386" t="s">
        <v>3774</v>
      </c>
      <c r="B52" s="392"/>
      <c r="C52" s="386"/>
      <c r="D52" s="386"/>
      <c r="E52" s="386"/>
      <c r="F52" s="386"/>
      <c r="G52" s="386"/>
      <c r="H52" s="469"/>
      <c r="I52" s="469"/>
      <c r="J52" s="406"/>
      <c r="K52" s="386"/>
      <c r="L52" s="478"/>
      <c r="M52" s="477"/>
      <c r="N52" s="477"/>
      <c r="O52" s="477"/>
      <c r="P52" s="477"/>
      <c r="Q52" s="476"/>
      <c r="S52" s="1496"/>
      <c r="T52" s="1496"/>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91"/>
      <c r="B56" s="1497"/>
      <c r="C56" s="1497"/>
      <c r="D56" s="1497"/>
      <c r="E56" s="1497"/>
      <c r="F56" s="1497"/>
      <c r="G56" s="1497"/>
      <c r="H56" s="1497"/>
      <c r="I56" s="1497"/>
      <c r="J56" s="1498"/>
      <c r="K56" s="1394"/>
      <c r="L56" s="1497"/>
      <c r="M56" s="1497"/>
      <c r="N56" s="1497"/>
      <c r="O56" s="1497"/>
      <c r="P56" s="1497"/>
      <c r="Q56" s="1498"/>
      <c r="S56" s="891" t="s">
        <v>3595</v>
      </c>
      <c r="T56" s="89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36" t="str">
        <f>CONCATENATE("PART III B: USD 538 LOAN","  -  ",'Part I-Project Information'!$O$4," ",'Part I-Project Information'!$F$23,", ",'Part I-Project Information'!$F$26,", ",'Part I-Project Information'!$J$27," County")</f>
        <v>PART III B: USD 538 LOAN  -  2013-019 BTW-Chapman Phase I, Columbus, Muscogee County</v>
      </c>
      <c r="B1" s="937"/>
      <c r="C1" s="937"/>
      <c r="D1" s="937"/>
      <c r="E1" s="937"/>
      <c r="F1" s="93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9" t="s">
        <v>236</v>
      </c>
      <c r="B3" s="929"/>
      <c r="C3" s="929"/>
      <c r="D3" s="929"/>
      <c r="E3" s="929"/>
      <c r="F3" s="929"/>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30" t="s">
        <v>134</v>
      </c>
      <c r="B14" s="930"/>
      <c r="C14" s="930"/>
      <c r="D14" s="930"/>
      <c r="E14" s="930"/>
      <c r="F14" s="930"/>
      <c r="G14" s="247"/>
      <c r="H14" s="247"/>
    </row>
    <row r="15" spans="1:17" ht="5.45" customHeight="1">
      <c r="A15" s="32"/>
      <c r="E15" s="258"/>
      <c r="F15" s="247"/>
      <c r="G15" s="247"/>
      <c r="H15" s="247"/>
    </row>
    <row r="16" spans="1:17" ht="13.15" customHeight="1">
      <c r="A16" s="260" t="s">
        <v>3262</v>
      </c>
      <c r="B16" s="261" t="s">
        <v>3259</v>
      </c>
      <c r="C16" s="261" t="s">
        <v>3260</v>
      </c>
      <c r="D16" s="939" t="s">
        <v>2982</v>
      </c>
      <c r="E16" s="939"/>
      <c r="F16" s="247"/>
      <c r="G16" s="247"/>
      <c r="H16" s="247"/>
    </row>
    <row r="17" spans="1:8" ht="12.6" customHeight="1">
      <c r="A17" s="97">
        <v>1</v>
      </c>
      <c r="B17" s="236">
        <f>IF(A17&gt;$C$9,0,SUM(C64:C75)*($C$6/$C$7))</f>
        <v>0</v>
      </c>
      <c r="C17" s="259">
        <f>IF(A17&gt;C9,0,(E63+K63)*$C$8)</f>
        <v>0</v>
      </c>
      <c r="D17" s="934">
        <f t="shared" ref="D17:D56" si="0">IF(A17&gt;$C$9,0,$C$11+C17)</f>
        <v>0</v>
      </c>
      <c r="E17" s="934"/>
      <c r="F17" s="247"/>
      <c r="G17" s="247"/>
      <c r="H17" s="247"/>
    </row>
    <row r="18" spans="1:8" ht="12.6" customHeight="1">
      <c r="A18" s="97">
        <v>2</v>
      </c>
      <c r="B18" s="236">
        <f>IF(A18&gt;C9,0,SUM(C76:C87)*($C$6/$C$7))</f>
        <v>0</v>
      </c>
      <c r="C18" s="266">
        <f>IF(A18&gt;C9,0,(E75+K75)*$C$8)</f>
        <v>0</v>
      </c>
      <c r="D18" s="932">
        <f t="shared" si="0"/>
        <v>0</v>
      </c>
      <c r="E18" s="932"/>
      <c r="F18" s="247"/>
      <c r="G18" s="247"/>
      <c r="H18" s="247"/>
    </row>
    <row r="19" spans="1:8" ht="12.6" customHeight="1">
      <c r="A19" s="97">
        <v>3</v>
      </c>
      <c r="B19" s="236">
        <f>IF(A19&gt;C9,0,SUM(C88:C99)*($C$6/$C$7))</f>
        <v>0</v>
      </c>
      <c r="C19" s="259">
        <f>IF(A19&gt;C9,0,(E87+K87)*$C$8)</f>
        <v>0</v>
      </c>
      <c r="D19" s="932">
        <f t="shared" si="0"/>
        <v>0</v>
      </c>
      <c r="E19" s="932"/>
      <c r="F19" s="247"/>
      <c r="G19" s="247"/>
      <c r="H19" s="247"/>
    </row>
    <row r="20" spans="1:8" ht="12.6" customHeight="1">
      <c r="A20" s="97">
        <v>4</v>
      </c>
      <c r="B20" s="236">
        <f>IF(A20&gt;C9,0,SUM(C100:C111)*($C$6/$C$7))</f>
        <v>0</v>
      </c>
      <c r="C20" s="259">
        <f>IF(A20&gt;C9,0,(E99+K99)*$C$8)</f>
        <v>0</v>
      </c>
      <c r="D20" s="932">
        <f t="shared" si="0"/>
        <v>0</v>
      </c>
      <c r="E20" s="932"/>
      <c r="F20" s="247"/>
      <c r="G20" s="247"/>
      <c r="H20" s="247"/>
    </row>
    <row r="21" spans="1:8" ht="12.6" customHeight="1">
      <c r="A21" s="97">
        <v>5</v>
      </c>
      <c r="B21" s="236">
        <f>IF(A21&gt;C9,0,SUM(C112:C123)*($C$6/$C$7))</f>
        <v>0</v>
      </c>
      <c r="C21" s="259">
        <f>IF(A21&gt;C9,0,(E111+K111)*$C$8)</f>
        <v>0</v>
      </c>
      <c r="D21" s="933">
        <f t="shared" si="0"/>
        <v>0</v>
      </c>
      <c r="E21" s="933"/>
      <c r="F21" s="247"/>
      <c r="G21" s="247"/>
      <c r="H21" s="247"/>
    </row>
    <row r="22" spans="1:8" ht="12.6" customHeight="1">
      <c r="A22" s="237">
        <v>6</v>
      </c>
      <c r="B22" s="238">
        <f>IF(A22&gt;C9,0,SUM(C124:C135)*($C$6/$C$7))</f>
        <v>0</v>
      </c>
      <c r="C22" s="263">
        <f>IF(A22&gt;C9,0,(E123+K123)*$C$8)</f>
        <v>0</v>
      </c>
      <c r="D22" s="932">
        <f t="shared" si="0"/>
        <v>0</v>
      </c>
      <c r="E22" s="932"/>
      <c r="F22" s="247"/>
      <c r="G22" s="247"/>
      <c r="H22" s="247"/>
    </row>
    <row r="23" spans="1:8" ht="12.6" customHeight="1">
      <c r="A23" s="239">
        <v>7</v>
      </c>
      <c r="B23" s="240">
        <f>IF(A23&gt;C9,0,SUM(C136:C147)*($C$6/$C$7))</f>
        <v>0</v>
      </c>
      <c r="C23" s="241">
        <f>IF(A23&gt;C9,0,(E135+K135)*$C$8)</f>
        <v>0</v>
      </c>
      <c r="D23" s="932">
        <f t="shared" si="0"/>
        <v>0</v>
      </c>
      <c r="E23" s="932"/>
      <c r="F23" s="247"/>
      <c r="G23" s="247"/>
      <c r="H23" s="247"/>
    </row>
    <row r="24" spans="1:8" ht="12.6" customHeight="1">
      <c r="A24" s="239">
        <v>8</v>
      </c>
      <c r="B24" s="240">
        <f>IF(A24&gt;C9,0,SUM(C148:C159)*($C$6/$C$7))</f>
        <v>0</v>
      </c>
      <c r="C24" s="241">
        <f>IF(A24&gt;C9,0,(E147+K147)*$C$8)</f>
        <v>0</v>
      </c>
      <c r="D24" s="932">
        <f t="shared" si="0"/>
        <v>0</v>
      </c>
      <c r="E24" s="932"/>
      <c r="F24" s="247"/>
      <c r="G24" s="247"/>
      <c r="H24" s="247"/>
    </row>
    <row r="25" spans="1:8" ht="12.6" customHeight="1">
      <c r="A25" s="239">
        <v>9</v>
      </c>
      <c r="B25" s="240">
        <f>IF(A25&gt;C9,0,SUM(C160:C171)*($C$6/$C$7))</f>
        <v>0</v>
      </c>
      <c r="C25" s="241">
        <f>IF(A25&gt;C9,0,(E159+K159)*$C$8)</f>
        <v>0</v>
      </c>
      <c r="D25" s="932">
        <f t="shared" si="0"/>
        <v>0</v>
      </c>
      <c r="E25" s="932"/>
      <c r="F25" s="247"/>
      <c r="G25" s="247"/>
      <c r="H25" s="247"/>
    </row>
    <row r="26" spans="1:8" ht="12.6" customHeight="1">
      <c r="A26" s="242">
        <v>10</v>
      </c>
      <c r="B26" s="243">
        <f>IF(A26&gt;C9,0,SUM(C172:C183)*($C$6/$C$7))</f>
        <v>0</v>
      </c>
      <c r="C26" s="262">
        <f>IF(A26&gt;C9,0,(E171+K171)*$C$8)</f>
        <v>0</v>
      </c>
      <c r="D26" s="933">
        <f t="shared" si="0"/>
        <v>0</v>
      </c>
      <c r="E26" s="933"/>
      <c r="F26" s="247"/>
      <c r="G26" s="247"/>
      <c r="H26" s="247"/>
    </row>
    <row r="27" spans="1:8" ht="12.6" customHeight="1">
      <c r="A27" s="244">
        <v>11</v>
      </c>
      <c r="B27" s="236">
        <f>IF(A27&gt;C9,0,SUM(C184:C195)*($C$6/$C$7))</f>
        <v>0</v>
      </c>
      <c r="C27" s="259">
        <f>IF(A27&gt;C9,0,(E183+K183)*$C$8)</f>
        <v>0</v>
      </c>
      <c r="D27" s="932">
        <f t="shared" si="0"/>
        <v>0</v>
      </c>
      <c r="E27" s="932"/>
      <c r="F27" s="247"/>
      <c r="G27" s="247"/>
      <c r="H27" s="247"/>
    </row>
    <row r="28" spans="1:8" ht="12.6" customHeight="1">
      <c r="A28" s="244">
        <v>12</v>
      </c>
      <c r="B28" s="236">
        <f>IF(A28&gt;C9,0,SUM(C196:C207)*($C$6/$C$7))</f>
        <v>0</v>
      </c>
      <c r="C28" s="259">
        <f>IF(A28&gt;C9,0,(E195+K195)*$C$8)</f>
        <v>0</v>
      </c>
      <c r="D28" s="932">
        <f t="shared" si="0"/>
        <v>0</v>
      </c>
      <c r="E28" s="932"/>
      <c r="F28" s="247"/>
      <c r="G28" s="247"/>
      <c r="H28" s="247"/>
    </row>
    <row r="29" spans="1:8" ht="12.6" customHeight="1">
      <c r="A29" s="244">
        <v>13</v>
      </c>
      <c r="B29" s="236">
        <f>IF(A29&gt;C9,0,SUM(C208:C219)*($C$6/$C$7))</f>
        <v>0</v>
      </c>
      <c r="C29" s="259">
        <f>IF(A29&gt;C9,0,(E207+K207)*$C$8)</f>
        <v>0</v>
      </c>
      <c r="D29" s="932">
        <f t="shared" si="0"/>
        <v>0</v>
      </c>
      <c r="E29" s="932"/>
      <c r="F29" s="247"/>
      <c r="G29" s="247"/>
      <c r="H29" s="247"/>
    </row>
    <row r="30" spans="1:8" ht="12.6" customHeight="1">
      <c r="A30" s="244">
        <v>14</v>
      </c>
      <c r="B30" s="236">
        <f>IF(A30&gt;C9,0,SUM(C220:C231)*($C$6/$C$7))</f>
        <v>0</v>
      </c>
      <c r="C30" s="259">
        <f>IF(A30&gt;C9,0,(E219+K219)*$C$8)</f>
        <v>0</v>
      </c>
      <c r="D30" s="932">
        <f t="shared" si="0"/>
        <v>0</v>
      </c>
      <c r="E30" s="932"/>
      <c r="F30" s="247"/>
      <c r="G30" s="247"/>
      <c r="H30" s="247"/>
    </row>
    <row r="31" spans="1:8" ht="12.6" customHeight="1">
      <c r="A31" s="244">
        <v>15</v>
      </c>
      <c r="B31" s="236">
        <f>IF(A31&gt;C9,0,SUM(C232:C243)*($C$6/$C$7))</f>
        <v>0</v>
      </c>
      <c r="C31" s="259">
        <f>IF(A31&gt;C9,0,(E231+K231)*$C$8)</f>
        <v>0</v>
      </c>
      <c r="D31" s="933">
        <f t="shared" si="0"/>
        <v>0</v>
      </c>
      <c r="E31" s="933"/>
      <c r="F31" s="247"/>
      <c r="G31" s="247"/>
      <c r="H31" s="247"/>
    </row>
    <row r="32" spans="1:8" ht="12.6" customHeight="1">
      <c r="A32" s="246">
        <v>16</v>
      </c>
      <c r="B32" s="238">
        <f>IF(A32&gt;C9,0,SUM(C244:C255)*($C$6/$C$7))</f>
        <v>0</v>
      </c>
      <c r="C32" s="263">
        <f>IF(A32&gt;C9,0,(E243+K243)*$C$8)</f>
        <v>0</v>
      </c>
      <c r="D32" s="932">
        <f t="shared" si="0"/>
        <v>0</v>
      </c>
      <c r="E32" s="932"/>
      <c r="F32" s="247"/>
      <c r="G32" s="247"/>
      <c r="H32" s="247"/>
    </row>
    <row r="33" spans="1:8" ht="12.6" customHeight="1">
      <c r="A33" s="239">
        <v>17</v>
      </c>
      <c r="B33" s="240">
        <f>IF(A33&gt;C9,0,SUM(C256:C267)*($C$6/$C$7))</f>
        <v>0</v>
      </c>
      <c r="C33" s="241">
        <f>IF(A33&gt;C9,0,(E255+K255)*$C$8)</f>
        <v>0</v>
      </c>
      <c r="D33" s="932">
        <f t="shared" si="0"/>
        <v>0</v>
      </c>
      <c r="E33" s="932"/>
      <c r="F33" s="247"/>
      <c r="G33" s="247"/>
      <c r="H33" s="247"/>
    </row>
    <row r="34" spans="1:8" ht="12.6" customHeight="1">
      <c r="A34" s="239">
        <v>18</v>
      </c>
      <c r="B34" s="240">
        <f>IF(A34&gt;C9,0,SUM(C268:C279)*($C$6/$C$7))</f>
        <v>0</v>
      </c>
      <c r="C34" s="241">
        <f>IF(A34&gt;C9,0,(E267+K267)*$C$8)</f>
        <v>0</v>
      </c>
      <c r="D34" s="932">
        <f t="shared" si="0"/>
        <v>0</v>
      </c>
      <c r="E34" s="932"/>
      <c r="F34" s="247"/>
      <c r="G34" s="247"/>
      <c r="H34" s="247"/>
    </row>
    <row r="35" spans="1:8" ht="12.6" customHeight="1">
      <c r="A35" s="239">
        <v>19</v>
      </c>
      <c r="B35" s="240">
        <f>IF(A35&gt;C9,0,SUM(C280:C291)*($C$6/$C$7))</f>
        <v>0</v>
      </c>
      <c r="C35" s="241">
        <f>IF(A35&gt;C9,0,(E279+K279)*$C$8)</f>
        <v>0</v>
      </c>
      <c r="D35" s="932">
        <f t="shared" si="0"/>
        <v>0</v>
      </c>
      <c r="E35" s="932"/>
      <c r="F35" s="247"/>
      <c r="G35" s="247"/>
      <c r="H35" s="247"/>
    </row>
    <row r="36" spans="1:8" ht="12.6" customHeight="1">
      <c r="A36" s="242">
        <v>20</v>
      </c>
      <c r="B36" s="243">
        <f>IF(A36&gt;C9,0,SUM(C292:C303)*($C$6/$C$7))</f>
        <v>0</v>
      </c>
      <c r="C36" s="262">
        <f>IF(A36&gt;C9,0,(E291+K291)*$C$8)</f>
        <v>0</v>
      </c>
      <c r="D36" s="933">
        <f t="shared" si="0"/>
        <v>0</v>
      </c>
      <c r="E36" s="933"/>
      <c r="F36" s="247"/>
      <c r="G36" s="247"/>
      <c r="H36" s="247"/>
    </row>
    <row r="37" spans="1:8" ht="12.6" customHeight="1">
      <c r="A37" s="97">
        <v>21</v>
      </c>
      <c r="B37" s="238">
        <f>IF(A37&gt;C9,0,SUM(C293:C304)*($C$6/$C$7))</f>
        <v>0</v>
      </c>
      <c r="C37" s="263">
        <f>IF(A37&gt;C9,0,(E303+K303)*$C$8)</f>
        <v>0</v>
      </c>
      <c r="D37" s="935">
        <f t="shared" si="0"/>
        <v>0</v>
      </c>
      <c r="E37" s="935"/>
      <c r="F37" s="247"/>
      <c r="G37" s="247"/>
      <c r="H37" s="247"/>
    </row>
    <row r="38" spans="1:8" ht="12.6" customHeight="1">
      <c r="A38" s="97">
        <v>22</v>
      </c>
      <c r="B38" s="240">
        <f>IF(A38&gt;C9,0,SUM(C294:C305)*($C$6/$C$7))</f>
        <v>0</v>
      </c>
      <c r="C38" s="241">
        <f>IF(A38&gt;C9,0,(E315+K315)*$C$8)</f>
        <v>0</v>
      </c>
      <c r="D38" s="932">
        <f t="shared" si="0"/>
        <v>0</v>
      </c>
      <c r="E38" s="932"/>
      <c r="F38" s="247"/>
      <c r="G38" s="247"/>
      <c r="H38" s="247"/>
    </row>
    <row r="39" spans="1:8" ht="12.6" customHeight="1">
      <c r="A39" s="97">
        <v>23</v>
      </c>
      <c r="B39" s="240">
        <f>IF(A39&gt;C9,0,SUM(C295:C306)*($C$6/$C$7))</f>
        <v>0</v>
      </c>
      <c r="C39" s="241">
        <f>IF(A39&gt;C9,0,(E327+K327)*$C$8)</f>
        <v>0</v>
      </c>
      <c r="D39" s="932">
        <f t="shared" si="0"/>
        <v>0</v>
      </c>
      <c r="E39" s="932"/>
      <c r="F39" s="247"/>
      <c r="G39" s="247"/>
      <c r="H39" s="247"/>
    </row>
    <row r="40" spans="1:8" ht="12.6" customHeight="1">
      <c r="A40" s="97">
        <v>24</v>
      </c>
      <c r="B40" s="240">
        <f>IF(A40&gt;C9,0,SUM(C296:C307)*($C$6/$C$7))</f>
        <v>0</v>
      </c>
      <c r="C40" s="241">
        <f>IF(A40&gt;C9,0,(E339+K339)*$C$8)</f>
        <v>0</v>
      </c>
      <c r="D40" s="932">
        <f t="shared" si="0"/>
        <v>0</v>
      </c>
      <c r="E40" s="932"/>
      <c r="F40" s="247"/>
      <c r="G40" s="247"/>
      <c r="H40" s="247"/>
    </row>
    <row r="41" spans="1:8" ht="12.6" customHeight="1">
      <c r="A41" s="97">
        <v>25</v>
      </c>
      <c r="B41" s="243">
        <f>IF(A41&gt;C9,0,SUM(C297:C308)*($C$6/$C$7))</f>
        <v>0</v>
      </c>
      <c r="C41" s="262">
        <f>IF(A41&gt;C9,0,(E351+K351)*$C$8)</f>
        <v>0</v>
      </c>
      <c r="D41" s="933">
        <f t="shared" si="0"/>
        <v>0</v>
      </c>
      <c r="E41" s="933"/>
      <c r="F41" s="247"/>
      <c r="G41" s="247"/>
      <c r="H41" s="247"/>
    </row>
    <row r="42" spans="1:8" ht="12.6" customHeight="1">
      <c r="A42" s="237">
        <v>26</v>
      </c>
      <c r="B42" s="238">
        <f>IF(A42&gt;C9,0,SUM(C298:C309)*($C$6/$C$7))</f>
        <v>0</v>
      </c>
      <c r="C42" s="263">
        <f>IF(A42&gt;C9,0,(E363+K363)*$C$8)</f>
        <v>0</v>
      </c>
      <c r="D42" s="935">
        <f t="shared" si="0"/>
        <v>0</v>
      </c>
      <c r="E42" s="935"/>
      <c r="F42" s="247"/>
      <c r="G42" s="247"/>
      <c r="H42" s="247"/>
    </row>
    <row r="43" spans="1:8" ht="12.6" customHeight="1">
      <c r="A43" s="239">
        <v>27</v>
      </c>
      <c r="B43" s="240">
        <f>IF(A43&gt;C9,0,SUM(C299:C310)*($C$6/$C$7))</f>
        <v>0</v>
      </c>
      <c r="C43" s="241">
        <f>IF(A43&gt;C9,0,(E375+K375)*$C$8)</f>
        <v>0</v>
      </c>
      <c r="D43" s="932">
        <f t="shared" si="0"/>
        <v>0</v>
      </c>
      <c r="E43" s="932"/>
      <c r="F43" s="247"/>
      <c r="G43" s="247"/>
      <c r="H43" s="247"/>
    </row>
    <row r="44" spans="1:8" ht="12.6" customHeight="1">
      <c r="A44" s="239">
        <v>28</v>
      </c>
      <c r="B44" s="240">
        <f>IF(A44&gt;C9,0,SUM(C300:C311)*($C$6/$C$7))</f>
        <v>0</v>
      </c>
      <c r="C44" s="241">
        <f>IF(A44&gt;C9,0,(E387+K387)*$C$8)</f>
        <v>0</v>
      </c>
      <c r="D44" s="932">
        <f t="shared" si="0"/>
        <v>0</v>
      </c>
      <c r="E44" s="932"/>
      <c r="F44" s="247"/>
      <c r="G44" s="247"/>
      <c r="H44" s="247"/>
    </row>
    <row r="45" spans="1:8" ht="12.6" customHeight="1">
      <c r="A45" s="239">
        <v>29</v>
      </c>
      <c r="B45" s="240">
        <f>IF(A45&gt;C9,0,SUM(C301:C312)*($C$6/$C$7))</f>
        <v>0</v>
      </c>
      <c r="C45" s="241">
        <f>IF(A45&gt;C9,0,(E411+K411)*$C$8)</f>
        <v>0</v>
      </c>
      <c r="D45" s="932">
        <f t="shared" si="0"/>
        <v>0</v>
      </c>
      <c r="E45" s="932"/>
      <c r="F45" s="247"/>
      <c r="G45" s="247"/>
      <c r="H45" s="247"/>
    </row>
    <row r="46" spans="1:8" ht="12.6" customHeight="1">
      <c r="A46" s="242">
        <v>30</v>
      </c>
      <c r="B46" s="243">
        <f>IF(A46&gt;C9,0,SUM(C302:C313)*($C$6/$C$7))</f>
        <v>0</v>
      </c>
      <c r="C46" s="262">
        <f>IF(A46&gt;C9,0,(E423+K423)*$C$8)</f>
        <v>0</v>
      </c>
      <c r="D46" s="933">
        <f t="shared" si="0"/>
        <v>0</v>
      </c>
      <c r="E46" s="933"/>
      <c r="F46" s="247"/>
      <c r="G46" s="247"/>
      <c r="H46" s="247"/>
    </row>
    <row r="47" spans="1:8" ht="12.6" customHeight="1">
      <c r="A47" s="246">
        <v>31</v>
      </c>
      <c r="B47" s="238">
        <f>IF(A47&gt;C9,0,SUM(C303:C314)*($C$6/$C$7))</f>
        <v>0</v>
      </c>
      <c r="C47" s="263">
        <f>IF(A47&gt;C9,0,(E435+K435)*$C$8)</f>
        <v>0</v>
      </c>
      <c r="D47" s="935">
        <f t="shared" si="0"/>
        <v>0</v>
      </c>
      <c r="E47" s="935"/>
      <c r="F47" s="247"/>
      <c r="G47" s="247"/>
      <c r="H47" s="247"/>
    </row>
    <row r="48" spans="1:8" ht="12.6" customHeight="1">
      <c r="A48" s="239">
        <v>32</v>
      </c>
      <c r="B48" s="240">
        <f>IF(A48&gt;C9,0,SUM(C304:C315)*($C$6/$C$7))</f>
        <v>0</v>
      </c>
      <c r="C48" s="241">
        <f>IF(A48&gt;C9,0,(E447+K447)*$C$8)</f>
        <v>0</v>
      </c>
      <c r="D48" s="932">
        <f t="shared" si="0"/>
        <v>0</v>
      </c>
      <c r="E48" s="932"/>
      <c r="F48" s="247"/>
      <c r="G48" s="247"/>
      <c r="H48" s="247"/>
    </row>
    <row r="49" spans="1:12" ht="12.6" customHeight="1">
      <c r="A49" s="239">
        <v>33</v>
      </c>
      <c r="B49" s="240">
        <f>IF(A49&gt;C9,0,SUM(C305:C316)*($C$6/$C$7))</f>
        <v>0</v>
      </c>
      <c r="C49" s="241">
        <f>IF(A49&gt;C9,0,(E459+K459)*$C$8)</f>
        <v>0</v>
      </c>
      <c r="D49" s="932">
        <f t="shared" si="0"/>
        <v>0</v>
      </c>
      <c r="E49" s="932"/>
      <c r="F49" s="247"/>
      <c r="G49" s="247"/>
      <c r="H49" s="247"/>
    </row>
    <row r="50" spans="1:12" ht="12.6" customHeight="1">
      <c r="A50" s="239">
        <v>34</v>
      </c>
      <c r="B50" s="240">
        <f>IF(A50&gt;C9,0,SUM(C306:C317)*($C$6/$C$7))</f>
        <v>0</v>
      </c>
      <c r="C50" s="241">
        <f>IF(A50&gt;C9,0,(E471+K471)*$C$8)</f>
        <v>0</v>
      </c>
      <c r="D50" s="932">
        <f t="shared" si="0"/>
        <v>0</v>
      </c>
      <c r="E50" s="932"/>
      <c r="F50" s="247"/>
      <c r="G50" s="247"/>
      <c r="H50" s="247"/>
    </row>
    <row r="51" spans="1:12" ht="12.6" customHeight="1">
      <c r="A51" s="242">
        <v>35</v>
      </c>
      <c r="B51" s="243">
        <f>IF(A51&gt;C9,0,SUM(C307:C318)*($C$6/$C$7))</f>
        <v>0</v>
      </c>
      <c r="C51" s="262">
        <f>IF(A51&gt;C9,0,(E483+K483)*$C$8)</f>
        <v>0</v>
      </c>
      <c r="D51" s="933">
        <f t="shared" si="0"/>
        <v>0</v>
      </c>
      <c r="E51" s="933"/>
      <c r="F51" s="247"/>
      <c r="G51" s="247"/>
      <c r="H51" s="247"/>
    </row>
    <row r="52" spans="1:12" ht="12.6" customHeight="1">
      <c r="A52" s="246">
        <v>36</v>
      </c>
      <c r="B52" s="238">
        <f>IF(A52&gt;C9,0,SUM(C308:C319)*($C$6/$C$7))</f>
        <v>0</v>
      </c>
      <c r="C52" s="263">
        <f>IF(A52&gt;C9,0,(E495+K495)*$C$8)</f>
        <v>0</v>
      </c>
      <c r="D52" s="935">
        <f t="shared" si="0"/>
        <v>0</v>
      </c>
      <c r="E52" s="935"/>
      <c r="F52" s="247"/>
      <c r="G52" s="247"/>
      <c r="H52" s="247"/>
    </row>
    <row r="53" spans="1:12" ht="12.6" customHeight="1">
      <c r="A53" s="239">
        <v>37</v>
      </c>
      <c r="B53" s="240">
        <f>IF(A53&gt;C9,0,SUM(C309:C320)*($C$6/$C$7))</f>
        <v>0</v>
      </c>
      <c r="C53" s="241">
        <f>IF(A53&gt;C9,0,(E507+K507)*$C$8)</f>
        <v>0</v>
      </c>
      <c r="D53" s="932">
        <f t="shared" si="0"/>
        <v>0</v>
      </c>
      <c r="E53" s="932"/>
      <c r="F53" s="247"/>
      <c r="G53" s="247"/>
      <c r="H53" s="247"/>
    </row>
    <row r="54" spans="1:12" ht="12.6" customHeight="1">
      <c r="A54" s="239">
        <v>38</v>
      </c>
      <c r="B54" s="240">
        <f>IF(A54&gt;C9,0,SUM(C310:C321)*($C$6/$C$7))</f>
        <v>0</v>
      </c>
      <c r="C54" s="241">
        <f>IF(A54&gt;C9,0,(E519+K519)*$C$8)</f>
        <v>0</v>
      </c>
      <c r="D54" s="932">
        <f t="shared" si="0"/>
        <v>0</v>
      </c>
      <c r="E54" s="932"/>
      <c r="F54" s="247"/>
      <c r="G54" s="247"/>
      <c r="H54" s="247"/>
    </row>
    <row r="55" spans="1:12" ht="12.6" customHeight="1">
      <c r="A55" s="239">
        <v>39</v>
      </c>
      <c r="B55" s="240">
        <f>IF(A55&gt;C9,0,SUM(C311:C322)*($C$6/$C$7))</f>
        <v>0</v>
      </c>
      <c r="C55" s="241">
        <f>IF(A55&gt;C9,0,(E531+K531)*$C$8)</f>
        <v>0</v>
      </c>
      <c r="D55" s="932">
        <f t="shared" si="0"/>
        <v>0</v>
      </c>
      <c r="E55" s="932"/>
      <c r="F55" s="247"/>
      <c r="G55" s="247"/>
      <c r="H55" s="247"/>
    </row>
    <row r="56" spans="1:12" ht="12.6" customHeight="1">
      <c r="A56" s="242">
        <v>40</v>
      </c>
      <c r="B56" s="243">
        <f>IF(A56&gt;C9,0,SUM(C312:C323)*($C$6/$C$7))</f>
        <v>0</v>
      </c>
      <c r="C56" s="262">
        <f>IF(A56&gt;C9,0,(E543+K543)*$C$8)</f>
        <v>0</v>
      </c>
      <c r="D56" s="933">
        <f t="shared" si="0"/>
        <v>0</v>
      </c>
      <c r="E56" s="933"/>
      <c r="F56" s="247"/>
      <c r="G56" s="247"/>
      <c r="H56" s="247"/>
    </row>
    <row r="57" spans="1:12" ht="3" customHeight="1">
      <c r="A57" s="247"/>
      <c r="B57" s="247"/>
      <c r="C57" s="247"/>
      <c r="D57" s="247"/>
      <c r="E57" s="247"/>
      <c r="F57" s="247"/>
      <c r="G57" s="247"/>
      <c r="H57" s="247"/>
    </row>
    <row r="58" spans="1:12" ht="13.15" customHeight="1">
      <c r="A58" s="931" t="str">
        <f>CONCATENATE('Part I-Project Information'!$O$4," ",'Part I-Project Information'!$F$23,", ",'Part I-Project Information'!$F$26,", ",'Part I-Project Information'!$J$27," County")</f>
        <v>2013-019 BTW-Chapman Phase I, Columbus, Muscogee County</v>
      </c>
      <c r="B58" s="931"/>
      <c r="C58" s="931"/>
      <c r="D58" s="931"/>
      <c r="E58" s="931"/>
      <c r="F58" s="931"/>
      <c r="G58" s="931" t="str">
        <f>CONCATENATE('Part I-Project Information'!$O$4," ",'Part I-Project Information'!$F$23,", ",'Part I-Project Information'!$F$26,", ",'Part I-Project Information'!$J$27," County")</f>
        <v>2013-019 BTW-Chapman Phase I, Columbus, Muscogee County</v>
      </c>
      <c r="H58" s="931"/>
      <c r="I58" s="931"/>
      <c r="J58" s="931"/>
      <c r="K58" s="931"/>
      <c r="L58" s="931"/>
    </row>
    <row r="59" spans="1:12" ht="15">
      <c r="A59" s="928" t="s">
        <v>3253</v>
      </c>
      <c r="B59" s="928"/>
      <c r="C59" s="928"/>
      <c r="D59" s="928"/>
      <c r="E59" s="928"/>
      <c r="F59" s="928"/>
      <c r="G59" s="928" t="s">
        <v>3253</v>
      </c>
      <c r="H59" s="928"/>
      <c r="I59" s="928"/>
      <c r="J59" s="928"/>
      <c r="K59" s="928"/>
      <c r="L59" s="928"/>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36" t="str">
        <f>CONCATENATE("PART III C  - HUD INSURED LOAN","  -  ",'Part I-Project Information'!$O$4," ",'Part I-Project Information'!$F$23,", ",'Part I-Project Information'!$F$26,", ",'Part I-Project Information'!$J$27," County")</f>
        <v>PART III C  - HUD INSURED LOAN  -  2013-019 BTW-Chapman Phase I, Columbus, Muscogee County</v>
      </c>
      <c r="B1" s="937"/>
      <c r="C1" s="937"/>
      <c r="D1" s="937"/>
      <c r="E1" s="937"/>
      <c r="F1" s="938"/>
      <c r="G1" s="208"/>
      <c r="H1" s="208"/>
      <c r="I1" s="208"/>
      <c r="J1" s="208"/>
      <c r="K1" s="208"/>
      <c r="L1" s="208"/>
      <c r="M1" s="208"/>
      <c r="N1" s="208"/>
      <c r="O1" s="208"/>
      <c r="P1" s="208"/>
      <c r="Q1" s="208"/>
    </row>
    <row r="2" spans="1:17">
      <c r="A2" s="16"/>
      <c r="B2" s="235"/>
      <c r="C2" s="235"/>
      <c r="D2" s="235"/>
    </row>
    <row r="3" spans="1:17" ht="15.6" customHeight="1">
      <c r="A3" s="929" t="s">
        <v>236</v>
      </c>
      <c r="B3" s="929"/>
      <c r="C3" s="929"/>
      <c r="D3" s="929"/>
      <c r="E3" s="929"/>
      <c r="F3" s="929"/>
      <c r="G3" s="286"/>
      <c r="H3" s="286"/>
    </row>
    <row r="4" spans="1:17">
      <c r="A4" s="16"/>
      <c r="B4" s="235"/>
      <c r="C4" s="235"/>
      <c r="D4" s="235"/>
    </row>
    <row r="5" spans="1:17" ht="13.15" customHeight="1">
      <c r="A5" s="31" t="s">
        <v>2983</v>
      </c>
      <c r="D5" s="278"/>
      <c r="E5" s="940" t="s">
        <v>1353</v>
      </c>
      <c r="F5" s="941"/>
      <c r="G5" s="197"/>
    </row>
    <row r="6" spans="1:17">
      <c r="E6" s="941"/>
      <c r="F6" s="941"/>
      <c r="G6" s="197"/>
    </row>
    <row r="7" spans="1:17">
      <c r="A7" s="31" t="s">
        <v>3245</v>
      </c>
      <c r="C7" s="31" t="s">
        <v>3246</v>
      </c>
      <c r="D7" s="279"/>
      <c r="E7" s="941"/>
      <c r="F7" s="941"/>
      <c r="G7" s="197"/>
    </row>
    <row r="8" spans="1:17">
      <c r="C8" s="31" t="s">
        <v>3247</v>
      </c>
      <c r="D8" s="279"/>
      <c r="E8" s="941"/>
      <c r="F8" s="941"/>
      <c r="G8" s="197"/>
    </row>
    <row r="9" spans="1:17">
      <c r="C9" s="31" t="s">
        <v>3248</v>
      </c>
      <c r="D9" s="279"/>
      <c r="E9" s="941"/>
      <c r="F9" s="941"/>
      <c r="G9" s="197"/>
    </row>
    <row r="10" spans="1:17">
      <c r="C10" s="31" t="s">
        <v>3261</v>
      </c>
      <c r="D10" s="287">
        <f>D7+D8+D9</f>
        <v>0</v>
      </c>
      <c r="E10" s="941"/>
      <c r="F10" s="941"/>
      <c r="G10" s="197"/>
    </row>
    <row r="11" spans="1:17">
      <c r="F11" s="197"/>
      <c r="G11" s="197"/>
    </row>
    <row r="12" spans="1:17">
      <c r="A12" s="31" t="s">
        <v>2408</v>
      </c>
      <c r="D12" s="277"/>
      <c r="E12" s="31" t="s">
        <v>2850</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30" t="s">
        <v>2409</v>
      </c>
      <c r="B24" s="930"/>
      <c r="C24" s="930"/>
      <c r="D24" s="930"/>
      <c r="E24" s="930"/>
      <c r="F24" s="930"/>
      <c r="J24" s="290"/>
    </row>
    <row r="25" spans="1:10">
      <c r="C25" s="245"/>
      <c r="J25" s="290"/>
    </row>
    <row r="26" spans="1:10">
      <c r="A26" s="125"/>
      <c r="B26" s="97"/>
      <c r="C26" s="942" t="s">
        <v>2982</v>
      </c>
      <c r="D26" s="285"/>
      <c r="E26" s="97"/>
      <c r="F26" s="942" t="s">
        <v>2982</v>
      </c>
      <c r="J26" s="290"/>
    </row>
    <row r="27" spans="1:10">
      <c r="A27" s="291" t="s">
        <v>3262</v>
      </c>
      <c r="B27" s="86" t="s">
        <v>1429</v>
      </c>
      <c r="C27" s="943"/>
      <c r="D27" s="292" t="s">
        <v>3262</v>
      </c>
      <c r="E27" s="86" t="s">
        <v>1429</v>
      </c>
      <c r="F27" s="94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31" t="str">
        <f>CONCATENATE('Part I-Project Information'!$O$4," ",'Part I-Project Information'!$F$23,", ",'Part I-Project Information'!$F$26,", ",'Part I-Project Information'!$J$27," County")</f>
        <v>2013-019 BTW-Chapman Phase I, Columbus, Muscogee County</v>
      </c>
      <c r="B50" s="931"/>
      <c r="C50" s="931"/>
      <c r="D50" s="931"/>
      <c r="E50" s="931"/>
      <c r="F50" s="931"/>
      <c r="G50" s="272"/>
      <c r="H50" s="272"/>
    </row>
    <row r="51" spans="1:10" ht="15">
      <c r="A51" s="928" t="s">
        <v>3253</v>
      </c>
      <c r="B51" s="928"/>
      <c r="C51" s="928"/>
      <c r="D51" s="928"/>
      <c r="E51" s="928"/>
      <c r="F51" s="928"/>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1001" t="str">
        <f>CONCATENATE("PART FOUR -  USES OF FUNDS","  -  ",'Part I-Project Information'!$O$4," ",'Part I-Project Information'!$F$23,", ",'Part I-Project Information'!F26,", ",'Part I-Project Information'!J27," County")</f>
        <v>PART FOUR -  USES OF FUNDS  -  2013-019 BTW-Chapman Phase I, Columbus, Muscogee County</v>
      </c>
      <c r="B1" s="1002"/>
      <c r="C1" s="1002"/>
      <c r="D1" s="1002"/>
      <c r="E1" s="1002"/>
      <c r="F1" s="1002"/>
      <c r="G1" s="1002"/>
      <c r="H1" s="1002"/>
      <c r="I1" s="1002"/>
      <c r="J1" s="1002"/>
      <c r="K1" s="1002"/>
      <c r="L1" s="1002"/>
      <c r="M1" s="1002"/>
      <c r="N1" s="1002"/>
      <c r="O1" s="1002"/>
      <c r="P1" s="1002"/>
      <c r="Q1" s="1002"/>
      <c r="R1" s="1002"/>
      <c r="S1" s="1002"/>
      <c r="T1" s="1002"/>
      <c r="V1" s="1000" t="str">
        <f>A1</f>
        <v>PART FOUR -  USES OF FUNDS  -  2013-019 BTW-Chapman Phase I, Columbus, Muscogee County</v>
      </c>
      <c r="W1" s="100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49" t="s">
        <v>299</v>
      </c>
      <c r="K5" s="950"/>
      <c r="L5" s="445"/>
      <c r="M5" s="945" t="s">
        <v>623</v>
      </c>
      <c r="N5" s="946"/>
      <c r="P5" s="949" t="s">
        <v>300</v>
      </c>
      <c r="Q5" s="950"/>
      <c r="S5" s="949" t="s">
        <v>301</v>
      </c>
      <c r="T5" s="950"/>
      <c r="V5" s="567" t="str">
        <f>B5</f>
        <v>DEVELOPMENT BUDGET</v>
      </c>
    </row>
    <row r="6" spans="1:23" s="386" customFormat="1" ht="21" customHeight="1" thickBot="1">
      <c r="G6" s="1003" t="s">
        <v>107</v>
      </c>
      <c r="H6" s="1004"/>
      <c r="J6" s="951"/>
      <c r="K6" s="952"/>
      <c r="L6" s="445"/>
      <c r="M6" s="947"/>
      <c r="N6" s="948"/>
      <c r="P6" s="951"/>
      <c r="Q6" s="952"/>
      <c r="S6" s="951"/>
      <c r="T6" s="952"/>
      <c r="V6" s="1014" t="s">
        <v>3548</v>
      </c>
      <c r="W6" s="1014"/>
    </row>
    <row r="7" spans="1:23" s="386" customFormat="1" ht="13.15" customHeight="1">
      <c r="B7" s="389" t="s">
        <v>108</v>
      </c>
      <c r="O7" s="687" t="str">
        <f>B7</f>
        <v>PRE-DEVELOPMENT COSTS</v>
      </c>
      <c r="V7" s="386" t="str">
        <f>B7</f>
        <v>PRE-DEVELOPMENT COSTS</v>
      </c>
    </row>
    <row r="8" spans="1:23" s="386" customFormat="1" ht="12.6" customHeight="1">
      <c r="B8" s="386" t="s">
        <v>2713</v>
      </c>
      <c r="G8" s="1469">
        <v>10000</v>
      </c>
      <c r="H8" s="1470"/>
      <c r="J8" s="1469">
        <v>10000</v>
      </c>
      <c r="K8" s="1470"/>
      <c r="L8" s="806"/>
      <c r="M8" s="1469"/>
      <c r="N8" s="1470"/>
      <c r="P8" s="1469"/>
      <c r="Q8" s="1470"/>
      <c r="S8" s="1469"/>
      <c r="T8" s="1470"/>
      <c r="V8" s="1499"/>
      <c r="W8" s="1500"/>
    </row>
    <row r="9" spans="1:23" s="386" customFormat="1" ht="12.6" customHeight="1">
      <c r="B9" s="386" t="s">
        <v>584</v>
      </c>
      <c r="G9" s="1469">
        <v>10000</v>
      </c>
      <c r="H9" s="1470"/>
      <c r="J9" s="1469">
        <v>10000</v>
      </c>
      <c r="K9" s="1470"/>
      <c r="L9" s="806"/>
      <c r="M9" s="1469"/>
      <c r="N9" s="1470"/>
      <c r="P9" s="1469"/>
      <c r="Q9" s="1470"/>
      <c r="S9" s="1469"/>
      <c r="T9" s="1470"/>
      <c r="V9" s="1501"/>
      <c r="W9" s="1502"/>
    </row>
    <row r="10" spans="1:23" s="386" customFormat="1" ht="12.6" customHeight="1">
      <c r="B10" s="386" t="s">
        <v>620</v>
      </c>
      <c r="G10" s="1469">
        <v>70000</v>
      </c>
      <c r="H10" s="1470"/>
      <c r="J10" s="1469">
        <v>70000</v>
      </c>
      <c r="K10" s="1470"/>
      <c r="L10" s="806"/>
      <c r="M10" s="1469"/>
      <c r="N10" s="1470"/>
      <c r="P10" s="1469"/>
      <c r="Q10" s="1470"/>
      <c r="S10" s="1469"/>
      <c r="T10" s="1470"/>
      <c r="V10" s="1501"/>
      <c r="W10" s="1502"/>
    </row>
    <row r="11" spans="1:23" s="386" customFormat="1" ht="12.6" customHeight="1">
      <c r="B11" s="386" t="s">
        <v>621</v>
      </c>
      <c r="G11" s="1469">
        <v>15000</v>
      </c>
      <c r="H11" s="1470"/>
      <c r="J11" s="1469">
        <v>15000</v>
      </c>
      <c r="K11" s="1470"/>
      <c r="L11" s="806"/>
      <c r="M11" s="1469"/>
      <c r="N11" s="1470"/>
      <c r="P11" s="1469"/>
      <c r="Q11" s="1470"/>
      <c r="S11" s="1469"/>
      <c r="T11" s="1470"/>
      <c r="V11" s="1501"/>
      <c r="W11" s="1502"/>
    </row>
    <row r="12" spans="1:23" s="386" customFormat="1" ht="12.6" customHeight="1">
      <c r="B12" s="386" t="s">
        <v>3282</v>
      </c>
      <c r="G12" s="1469">
        <v>25000</v>
      </c>
      <c r="H12" s="1470"/>
      <c r="J12" s="1469">
        <v>25000</v>
      </c>
      <c r="K12" s="1470"/>
      <c r="L12" s="806"/>
      <c r="M12" s="1469"/>
      <c r="N12" s="1470"/>
      <c r="P12" s="1469"/>
      <c r="Q12" s="1470"/>
      <c r="S12" s="1469"/>
      <c r="T12" s="1470"/>
      <c r="V12" s="1501"/>
      <c r="W12" s="1502"/>
    </row>
    <row r="13" spans="1:23" s="386" customFormat="1" ht="12.6" customHeight="1">
      <c r="B13" s="386" t="s">
        <v>208</v>
      </c>
      <c r="G13" s="1469"/>
      <c r="H13" s="1470"/>
      <c r="J13" s="1469"/>
      <c r="K13" s="1470"/>
      <c r="L13" s="806"/>
      <c r="M13" s="1469"/>
      <c r="N13" s="1470"/>
      <c r="P13" s="1469"/>
      <c r="Q13" s="1470"/>
      <c r="S13" s="1469"/>
      <c r="T13" s="1470"/>
      <c r="V13" s="1501"/>
      <c r="W13" s="1502"/>
    </row>
    <row r="14" spans="1:23" s="386" customFormat="1" ht="12.6" customHeight="1">
      <c r="A14" s="480" t="str">
        <f>IF(AND(G14&gt;0,OR(C14="",C14="&lt;Enter detailed description here; use Comments section if needed&gt;")),"X","")</f>
        <v/>
      </c>
      <c r="B14" s="386" t="s">
        <v>1046</v>
      </c>
      <c r="C14" s="1316" t="s">
        <v>3181</v>
      </c>
      <c r="D14" s="1316"/>
      <c r="E14" s="1316"/>
      <c r="F14" s="1317"/>
      <c r="G14" s="1469"/>
      <c r="H14" s="1470"/>
      <c r="J14" s="1469"/>
      <c r="K14" s="1470"/>
      <c r="L14" s="806"/>
      <c r="M14" s="1469"/>
      <c r="N14" s="1470"/>
      <c r="P14" s="1469"/>
      <c r="Q14" s="1470"/>
      <c r="S14" s="1469"/>
      <c r="T14" s="1470"/>
      <c r="U14" s="479" t="str">
        <f>IF(AND(G14&gt;0,OR(C14="",C14="&lt;Enter detailed description here; use Comments section if needed&gt;")),"NO DESCRIPTION PROVIDED - please enter detailed description in Other box at left; use Comments section below if needed.","")</f>
        <v/>
      </c>
      <c r="V14" s="1501"/>
      <c r="W14" s="1502"/>
    </row>
    <row r="15" spans="1:23" s="386" customFormat="1" ht="12.6" customHeight="1">
      <c r="A15" s="480" t="str">
        <f>IF(AND(G15&gt;0,OR(C15="",C15="&lt;Enter detailed description here; use Comments section if needed&gt;")),"X","")</f>
        <v/>
      </c>
      <c r="B15" s="386" t="s">
        <v>1046</v>
      </c>
      <c r="C15" s="1316" t="s">
        <v>3181</v>
      </c>
      <c r="D15" s="1316"/>
      <c r="E15" s="1316"/>
      <c r="F15" s="1317"/>
      <c r="G15" s="1469"/>
      <c r="H15" s="1470"/>
      <c r="J15" s="1469"/>
      <c r="K15" s="1470"/>
      <c r="L15" s="806"/>
      <c r="M15" s="1469"/>
      <c r="N15" s="1470"/>
      <c r="P15" s="1469"/>
      <c r="Q15" s="1470"/>
      <c r="S15" s="1469"/>
      <c r="T15" s="1470"/>
      <c r="U15" s="479" t="str">
        <f>IF(AND(G15&gt;0,OR(C15="",C15="&lt;Enter detailed description here; use Comments section if needed&gt;")),"NO DESCRIPTION PROVIDED - please enter detailed description in Other box at left; use Comments section below if needed.","")</f>
        <v/>
      </c>
      <c r="V15" s="1501"/>
      <c r="W15" s="1502"/>
    </row>
    <row r="16" spans="1:23" s="386" customFormat="1" ht="12.6" customHeight="1" thickBot="1">
      <c r="A16" s="480" t="str">
        <f>IF(AND(G16&gt;0,OR(C16="",C16="&lt;Enter detailed description here; use Comments section if needed&gt;")),"X","")</f>
        <v/>
      </c>
      <c r="B16" s="386" t="s">
        <v>1046</v>
      </c>
      <c r="C16" s="1316" t="s">
        <v>3181</v>
      </c>
      <c r="D16" s="1316"/>
      <c r="E16" s="1316"/>
      <c r="F16" s="1317"/>
      <c r="G16" s="1469"/>
      <c r="H16" s="1470"/>
      <c r="J16" s="1503"/>
      <c r="K16" s="1504"/>
      <c r="L16" s="806"/>
      <c r="M16" s="1469"/>
      <c r="N16" s="1470"/>
      <c r="P16" s="1469"/>
      <c r="Q16" s="1470"/>
      <c r="S16" s="1503"/>
      <c r="T16" s="1504"/>
      <c r="U16" s="479" t="str">
        <f>IF(AND(G16&gt;0,OR(C16="",C16="&lt;Enter detailed description here; use Comments section if needed&gt;")),"NO DESCRIPTION PROVIDED - please enter detailed description in Other box at left; use Comments section below if needed.","")</f>
        <v/>
      </c>
      <c r="V16" s="1501"/>
      <c r="W16" s="1502"/>
    </row>
    <row r="17" spans="2:23" s="386" customFormat="1" ht="12.6" customHeight="1" thickTop="1">
      <c r="F17" s="446" t="s">
        <v>209</v>
      </c>
      <c r="G17" s="953">
        <f>SUM(G8:H16)</f>
        <v>130000</v>
      </c>
      <c r="H17" s="954"/>
      <c r="J17" s="953">
        <f>SUM(J8:K16)</f>
        <v>130000</v>
      </c>
      <c r="K17" s="1015"/>
      <c r="L17" s="806"/>
      <c r="M17" s="953">
        <f>SUM(M8:N16)</f>
        <v>0</v>
      </c>
      <c r="N17" s="954"/>
      <c r="P17" s="953">
        <f>SUM(P8:Q16)</f>
        <v>0</v>
      </c>
      <c r="Q17" s="954"/>
      <c r="S17" s="953">
        <f>SUM(S8:T16)</f>
        <v>0</v>
      </c>
      <c r="T17" s="954"/>
      <c r="V17" s="1505"/>
      <c r="W17" s="1506"/>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469"/>
      <c r="H19" s="1470"/>
      <c r="J19" s="448"/>
      <c r="K19" s="445"/>
      <c r="L19" s="448"/>
      <c r="M19" s="448"/>
      <c r="N19" s="445"/>
      <c r="P19" s="448"/>
      <c r="Q19" s="445"/>
      <c r="S19" s="1469"/>
      <c r="T19" s="1470"/>
      <c r="V19" s="1499"/>
      <c r="W19" s="1500"/>
    </row>
    <row r="20" spans="2:23" s="386" customFormat="1" ht="12.6" customHeight="1">
      <c r="B20" s="386" t="s">
        <v>1527</v>
      </c>
      <c r="G20" s="1469"/>
      <c r="H20" s="1470"/>
      <c r="J20" s="448"/>
      <c r="K20" s="445"/>
      <c r="L20" s="448"/>
      <c r="M20" s="448"/>
      <c r="N20" s="445"/>
      <c r="P20" s="448"/>
      <c r="Q20" s="445"/>
      <c r="S20" s="1469"/>
      <c r="T20" s="1470"/>
      <c r="V20" s="1501"/>
      <c r="W20" s="1502"/>
    </row>
    <row r="21" spans="2:23" s="386" customFormat="1" ht="12.6" customHeight="1">
      <c r="B21" s="386" t="s">
        <v>585</v>
      </c>
      <c r="G21" s="1469"/>
      <c r="H21" s="1470"/>
      <c r="J21" s="448"/>
      <c r="K21" s="445"/>
      <c r="L21" s="448"/>
      <c r="M21" s="1469"/>
      <c r="N21" s="1470"/>
      <c r="P21" s="448"/>
      <c r="Q21" s="445"/>
      <c r="S21" s="1469"/>
      <c r="T21" s="1470"/>
      <c r="V21" s="1501"/>
      <c r="W21" s="1502"/>
    </row>
    <row r="22" spans="2:23" s="386" customFormat="1" ht="12.6" customHeight="1" thickBot="1">
      <c r="B22" s="386" t="s">
        <v>553</v>
      </c>
      <c r="G22" s="1507"/>
      <c r="H22" s="1508"/>
      <c r="J22" s="448"/>
      <c r="K22" s="445"/>
      <c r="L22" s="448"/>
      <c r="M22" s="1507"/>
      <c r="N22" s="1508"/>
      <c r="P22" s="448"/>
      <c r="Q22" s="445"/>
      <c r="S22" s="1469"/>
      <c r="T22" s="1470"/>
      <c r="V22" s="1501"/>
      <c r="W22" s="1502"/>
    </row>
    <row r="23" spans="2:23" s="386" customFormat="1" ht="12.6" customHeight="1" thickTop="1">
      <c r="F23" s="446" t="s">
        <v>209</v>
      </c>
      <c r="G23" s="953">
        <f>SUM(G19:H22)</f>
        <v>0</v>
      </c>
      <c r="H23" s="954"/>
      <c r="J23" s="448"/>
      <c r="K23" s="445"/>
      <c r="L23" s="448"/>
      <c r="M23" s="953">
        <f>SUM(M21:N22)</f>
        <v>0</v>
      </c>
      <c r="N23" s="954"/>
      <c r="P23" s="448"/>
      <c r="Q23" s="445"/>
      <c r="S23" s="953">
        <f>SUM(S19:T22)</f>
        <v>0</v>
      </c>
      <c r="T23" s="954"/>
      <c r="V23" s="1505"/>
      <c r="W23" s="1506"/>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69">
        <v>1075000</v>
      </c>
      <c r="H25" s="1470"/>
      <c r="J25" s="1503">
        <v>900000</v>
      </c>
      <c r="K25" s="1504"/>
      <c r="L25" s="806"/>
      <c r="M25" s="1503"/>
      <c r="N25" s="1504"/>
      <c r="P25" s="1503"/>
      <c r="Q25" s="1504"/>
      <c r="S25" s="1469">
        <f>G25-J25</f>
        <v>175000</v>
      </c>
      <c r="T25" s="1470"/>
      <c r="V25" s="1499"/>
      <c r="W25" s="1500"/>
    </row>
    <row r="26" spans="2:23" s="386" customFormat="1" ht="12.6" customHeight="1" thickBot="1">
      <c r="B26" s="386" t="s">
        <v>1530</v>
      </c>
      <c r="G26" s="1469"/>
      <c r="H26" s="1470"/>
      <c r="J26" s="1503"/>
      <c r="K26" s="1504"/>
      <c r="L26" s="449"/>
      <c r="M26" s="999"/>
      <c r="N26" s="999"/>
      <c r="P26" s="999"/>
      <c r="Q26" s="999"/>
      <c r="S26" s="1469"/>
      <c r="T26" s="1470"/>
      <c r="V26" s="1501"/>
      <c r="W26" s="1502"/>
    </row>
    <row r="27" spans="2:23" s="386" customFormat="1" ht="12.6" customHeight="1" thickTop="1">
      <c r="F27" s="446" t="s">
        <v>209</v>
      </c>
      <c r="G27" s="953">
        <f>SUM(G25:H26)</f>
        <v>1075000</v>
      </c>
      <c r="H27" s="954"/>
      <c r="J27" s="953">
        <f>SUM(J25:K26)</f>
        <v>900000</v>
      </c>
      <c r="K27" s="954"/>
      <c r="L27" s="448"/>
      <c r="M27" s="953">
        <f>M25</f>
        <v>0</v>
      </c>
      <c r="N27" s="954"/>
      <c r="P27" s="953">
        <f>P25</f>
        <v>0</v>
      </c>
      <c r="Q27" s="954"/>
      <c r="S27" s="953">
        <f>SUM(S25:T26)</f>
        <v>175000</v>
      </c>
      <c r="T27" s="954"/>
      <c r="V27" s="1505"/>
      <c r="W27" s="1506"/>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69">
        <v>6632896</v>
      </c>
      <c r="H29" s="1470"/>
      <c r="J29" s="1469">
        <v>6632896</v>
      </c>
      <c r="K29" s="1470"/>
      <c r="L29" s="806"/>
      <c r="M29" s="1469"/>
      <c r="N29" s="1470"/>
      <c r="P29" s="1469"/>
      <c r="Q29" s="1470"/>
      <c r="S29" s="1469"/>
      <c r="T29" s="1470"/>
      <c r="V29" s="1499"/>
      <c r="W29" s="1500"/>
    </row>
    <row r="30" spans="2:23" s="386" customFormat="1" ht="12.6" customHeight="1">
      <c r="B30" s="386" t="s">
        <v>1533</v>
      </c>
      <c r="G30" s="1469"/>
      <c r="H30" s="1470"/>
      <c r="J30" s="1469"/>
      <c r="K30" s="1470"/>
      <c r="L30" s="806"/>
      <c r="M30" s="1469"/>
      <c r="N30" s="1470"/>
      <c r="P30" s="1469"/>
      <c r="Q30" s="1470"/>
      <c r="S30" s="1469"/>
      <c r="T30" s="1470"/>
      <c r="V30" s="1501"/>
      <c r="W30" s="1502"/>
    </row>
    <row r="31" spans="2:23" ht="12.6" customHeight="1" thickBot="1">
      <c r="B31" s="386" t="s">
        <v>1534</v>
      </c>
      <c r="G31" s="1469"/>
      <c r="H31" s="1470"/>
      <c r="I31" s="386"/>
      <c r="J31" s="1469"/>
      <c r="K31" s="1470"/>
      <c r="L31" s="806"/>
      <c r="M31" s="1469"/>
      <c r="N31" s="1470"/>
      <c r="O31" s="386"/>
      <c r="P31" s="1469"/>
      <c r="Q31" s="1470"/>
      <c r="R31" s="386"/>
      <c r="S31" s="1469"/>
      <c r="T31" s="1470"/>
      <c r="V31" s="1501"/>
      <c r="W31" s="1502"/>
    </row>
    <row r="32" spans="2:23" s="386" customFormat="1" ht="12.6" customHeight="1" thickTop="1">
      <c r="C32" s="967"/>
      <c r="D32" s="967"/>
      <c r="E32" s="808"/>
      <c r="F32" s="446" t="s">
        <v>209</v>
      </c>
      <c r="G32" s="953">
        <f>SUM(G29:H31)</f>
        <v>6632896</v>
      </c>
      <c r="H32" s="954"/>
      <c r="J32" s="953">
        <f>SUM(J29:K31)</f>
        <v>6632896</v>
      </c>
      <c r="K32" s="954"/>
      <c r="L32" s="806"/>
      <c r="M32" s="953">
        <f>SUM(M29:N31)</f>
        <v>0</v>
      </c>
      <c r="N32" s="954"/>
      <c r="P32" s="953">
        <f>SUM(P29:Q31)</f>
        <v>0</v>
      </c>
      <c r="Q32" s="954"/>
      <c r="S32" s="953">
        <f>SUM(S29:T31)</f>
        <v>0</v>
      </c>
      <c r="T32" s="954"/>
      <c r="V32" s="1505"/>
      <c r="W32" s="1506"/>
    </row>
    <row r="33" spans="1:23" s="386" customFormat="1" ht="13.15" customHeight="1">
      <c r="B33" s="389" t="s">
        <v>3076</v>
      </c>
      <c r="E33" s="721">
        <f>SUM(E34:E36)</f>
        <v>0.14000000000000001</v>
      </c>
      <c r="F33" s="79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462473.76</v>
      </c>
      <c r="G34" s="1469">
        <v>462473</v>
      </c>
      <c r="H34" s="1470"/>
      <c r="I34" s="406"/>
      <c r="J34" s="1469">
        <v>462473</v>
      </c>
      <c r="K34" s="1470"/>
      <c r="L34" s="806"/>
      <c r="M34" s="1469"/>
      <c r="N34" s="1470"/>
      <c r="P34" s="1469"/>
      <c r="Q34" s="1470"/>
      <c r="S34" s="1469"/>
      <c r="T34" s="1470"/>
      <c r="V34" s="1499"/>
      <c r="W34" s="1500"/>
    </row>
    <row r="35" spans="1:23" s="386" customFormat="1" ht="12.6" customHeight="1">
      <c r="B35" s="386" t="s">
        <v>3751</v>
      </c>
      <c r="E35" s="520">
        <f>'DCA Underwriting Assumptions'!$R$37</f>
        <v>0.02</v>
      </c>
      <c r="F35" s="521">
        <f>E35*($G$27+$G$32)</f>
        <v>154157.92000000001</v>
      </c>
      <c r="G35" s="1469">
        <v>154158</v>
      </c>
      <c r="H35" s="1470"/>
      <c r="I35" s="406"/>
      <c r="J35" s="1469">
        <v>154158</v>
      </c>
      <c r="K35" s="1470"/>
      <c r="L35" s="806"/>
      <c r="M35" s="1469"/>
      <c r="N35" s="1470"/>
      <c r="P35" s="1469"/>
      <c r="Q35" s="1470"/>
      <c r="S35" s="1469"/>
      <c r="T35" s="1470"/>
      <c r="V35" s="1501"/>
      <c r="W35" s="1502"/>
    </row>
    <row r="36" spans="1:23" s="386" customFormat="1" ht="12.6" customHeight="1" thickBot="1">
      <c r="B36" s="386" t="s">
        <v>3752</v>
      </c>
      <c r="E36" s="520">
        <f>'DCA Underwriting Assumptions'!$R$38</f>
        <v>0.06</v>
      </c>
      <c r="F36" s="521">
        <f>E36*($G$27+$G$32)</f>
        <v>462473.76</v>
      </c>
      <c r="G36" s="1469">
        <v>462473</v>
      </c>
      <c r="H36" s="1470"/>
      <c r="I36" s="406"/>
      <c r="J36" s="1469">
        <v>462473</v>
      </c>
      <c r="K36" s="1470"/>
      <c r="L36" s="806"/>
      <c r="M36" s="1469"/>
      <c r="N36" s="1470"/>
      <c r="P36" s="1469"/>
      <c r="Q36" s="1470"/>
      <c r="S36" s="1469"/>
      <c r="T36" s="1470"/>
      <c r="V36" s="1501"/>
      <c r="W36" s="1502"/>
    </row>
    <row r="37" spans="1:23" s="386" customFormat="1" ht="12.6" customHeight="1" thickTop="1">
      <c r="B37" s="386" t="s">
        <v>2754</v>
      </c>
      <c r="D37" s="453"/>
      <c r="E37" s="796"/>
      <c r="F37" s="522" t="s">
        <v>209</v>
      </c>
      <c r="G37" s="953">
        <f>SUM(G34:H36)</f>
        <v>1079104</v>
      </c>
      <c r="H37" s="954"/>
      <c r="J37" s="953">
        <f>SUM(J34:K36)</f>
        <v>1079104</v>
      </c>
      <c r="K37" s="954"/>
      <c r="L37" s="448"/>
      <c r="M37" s="953">
        <f>SUM(M34:N36)</f>
        <v>0</v>
      </c>
      <c r="N37" s="954"/>
      <c r="P37" s="953">
        <f>SUM(P34:Q36)</f>
        <v>0</v>
      </c>
      <c r="Q37" s="954"/>
      <c r="S37" s="953">
        <f>SUM(S34:T36)</f>
        <v>0</v>
      </c>
      <c r="T37" s="954"/>
      <c r="V37" s="1505"/>
      <c r="W37" s="1506"/>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3757</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316" t="s">
        <v>3181</v>
      </c>
      <c r="D40" s="1509"/>
      <c r="E40" s="1509"/>
      <c r="F40" s="1510"/>
      <c r="G40" s="1469"/>
      <c r="H40" s="1470"/>
      <c r="I40" s="386"/>
      <c r="J40" s="1469"/>
      <c r="K40" s="1470"/>
      <c r="L40" s="806"/>
      <c r="M40" s="1469"/>
      <c r="N40" s="1470"/>
      <c r="O40" s="386"/>
      <c r="P40" s="1469"/>
      <c r="Q40" s="1470"/>
      <c r="R40" s="386"/>
      <c r="S40" s="1469"/>
      <c r="T40" s="1470"/>
      <c r="V40" s="1499"/>
      <c r="W40" s="1500"/>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501"/>
      <c r="W41" s="1502"/>
    </row>
    <row r="42" spans="1:23" s="386" customFormat="1" ht="12.6" customHeight="1">
      <c r="B42" s="454" t="s">
        <v>3766</v>
      </c>
      <c r="C42" s="455"/>
      <c r="D42" s="1006" t="s">
        <v>3765</v>
      </c>
      <c r="E42" s="456">
        <f>B43/'Part VI-Revenues &amp; Expenses'!$M$60</f>
        <v>87870</v>
      </c>
      <c r="F42" s="688" t="s">
        <v>3730</v>
      </c>
      <c r="G42" s="1008">
        <f>B43/'Part VI-Revenues &amp; Expenses'!$M$62</f>
        <v>87870</v>
      </c>
      <c r="H42" s="1008"/>
      <c r="I42" s="690"/>
      <c r="J42" s="457" t="s">
        <v>1840</v>
      </c>
      <c r="V42" s="1501"/>
      <c r="W42" s="1502"/>
    </row>
    <row r="43" spans="1:23" s="386" customFormat="1" ht="12.6" customHeight="1">
      <c r="B43" s="1009">
        <f>G27+G32+G37+G40</f>
        <v>8787000</v>
      </c>
      <c r="C43" s="1010"/>
      <c r="D43" s="1007"/>
      <c r="E43" s="807">
        <f>B43/'Part VI-Revenues &amp; Expenses'!$M$98</f>
        <v>113.58583247156153</v>
      </c>
      <c r="F43" s="689" t="s">
        <v>3731</v>
      </c>
      <c r="G43" s="1005">
        <f>B43/'Part VI-Revenues &amp; Expenses'!$M$100</f>
        <v>113.58583247156153</v>
      </c>
      <c r="H43" s="1005"/>
      <c r="I43" s="805"/>
      <c r="J43" s="458" t="s">
        <v>1151</v>
      </c>
      <c r="K43" s="445"/>
      <c r="L43" s="459"/>
      <c r="M43" s="445"/>
      <c r="N43" s="806"/>
      <c r="P43" s="445"/>
      <c r="Q43" s="806"/>
      <c r="S43" s="445"/>
      <c r="T43" s="806"/>
      <c r="V43" s="1505"/>
      <c r="W43" s="1506"/>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2673</v>
      </c>
      <c r="F46" s="526">
        <f>G46/$B$43</f>
        <v>0.04</v>
      </c>
      <c r="G46" s="1469">
        <v>351480</v>
      </c>
      <c r="H46" s="1470"/>
      <c r="I46" s="386"/>
      <c r="J46" s="1469">
        <v>351480</v>
      </c>
      <c r="K46" s="1470"/>
      <c r="L46" s="806"/>
      <c r="M46" s="1469"/>
      <c r="N46" s="1470"/>
      <c r="O46" s="386"/>
      <c r="P46" s="1469"/>
      <c r="Q46" s="1470"/>
      <c r="R46" s="386"/>
      <c r="S46" s="1469"/>
      <c r="T46" s="1470"/>
      <c r="V46" s="1511"/>
      <c r="W46" s="1512"/>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96"/>
      <c r="I49" s="796"/>
      <c r="J49" s="949" t="s">
        <v>299</v>
      </c>
      <c r="K49" s="950"/>
      <c r="L49" s="445"/>
      <c r="M49" s="945" t="s">
        <v>623</v>
      </c>
      <c r="N49" s="946"/>
      <c r="P49" s="949" t="s">
        <v>300</v>
      </c>
      <c r="Q49" s="950"/>
      <c r="S49" s="949" t="s">
        <v>301</v>
      </c>
      <c r="T49" s="950"/>
      <c r="V49" s="567" t="str">
        <f>B49</f>
        <v>DEVELOPMENT BUDGET</v>
      </c>
    </row>
    <row r="50" spans="1:23" s="386" customFormat="1" ht="18.75" customHeight="1" thickBot="1">
      <c r="G50" s="1003" t="s">
        <v>107</v>
      </c>
      <c r="H50" s="1004"/>
      <c r="J50" s="951"/>
      <c r="K50" s="952"/>
      <c r="L50" s="445"/>
      <c r="M50" s="947"/>
      <c r="N50" s="948"/>
      <c r="P50" s="951"/>
      <c r="Q50" s="952"/>
      <c r="S50" s="951"/>
      <c r="T50" s="952"/>
      <c r="V50" s="1014" t="s">
        <v>3548</v>
      </c>
      <c r="W50" s="101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469">
        <v>39094</v>
      </c>
      <c r="H52" s="1470"/>
      <c r="J52" s="1469">
        <v>39094</v>
      </c>
      <c r="K52" s="1470"/>
      <c r="L52" s="806"/>
      <c r="M52" s="1469"/>
      <c r="N52" s="1470"/>
      <c r="P52" s="1469"/>
      <c r="Q52" s="1470"/>
      <c r="S52" s="1469"/>
      <c r="T52" s="1470"/>
      <c r="V52" s="1499"/>
      <c r="W52" s="1500"/>
    </row>
    <row r="53" spans="1:23" s="386" customFormat="1" ht="12" customHeight="1">
      <c r="B53" s="386" t="s">
        <v>3080</v>
      </c>
      <c r="G53" s="1469">
        <v>133423</v>
      </c>
      <c r="H53" s="1470"/>
      <c r="J53" s="1469">
        <v>44640</v>
      </c>
      <c r="K53" s="1470"/>
      <c r="L53" s="806"/>
      <c r="M53" s="1469"/>
      <c r="N53" s="1470"/>
      <c r="P53" s="1469"/>
      <c r="Q53" s="1470"/>
      <c r="S53" s="1469">
        <f>G53-J53</f>
        <v>88783</v>
      </c>
      <c r="T53" s="1470"/>
      <c r="V53" s="1501"/>
      <c r="W53" s="1502"/>
    </row>
    <row r="54" spans="1:23" s="386" customFormat="1" ht="12" customHeight="1">
      <c r="B54" s="386" t="s">
        <v>3081</v>
      </c>
      <c r="G54" s="1469">
        <v>50000</v>
      </c>
      <c r="H54" s="1470"/>
      <c r="J54" s="1469">
        <v>50000</v>
      </c>
      <c r="K54" s="1470"/>
      <c r="L54" s="806"/>
      <c r="M54" s="1469"/>
      <c r="N54" s="1470"/>
      <c r="P54" s="1469"/>
      <c r="Q54" s="1470"/>
      <c r="S54" s="1469"/>
      <c r="T54" s="1470"/>
      <c r="V54" s="1501"/>
      <c r="W54" s="1502"/>
    </row>
    <row r="55" spans="1:23" s="386" customFormat="1" ht="12" customHeight="1">
      <c r="B55" s="386" t="s">
        <v>3580</v>
      </c>
      <c r="G55" s="1469">
        <v>35000</v>
      </c>
      <c r="H55" s="1470"/>
      <c r="J55" s="1469">
        <v>35000</v>
      </c>
      <c r="K55" s="1470"/>
      <c r="L55" s="806"/>
      <c r="M55" s="1469"/>
      <c r="N55" s="1470"/>
      <c r="P55" s="1469"/>
      <c r="Q55" s="1470"/>
      <c r="S55" s="1469"/>
      <c r="T55" s="1470"/>
      <c r="V55" s="1501"/>
      <c r="W55" s="1502"/>
    </row>
    <row r="56" spans="1:23" s="386" customFormat="1" ht="12" customHeight="1">
      <c r="B56" s="386" t="s">
        <v>916</v>
      </c>
      <c r="G56" s="1469">
        <v>50000</v>
      </c>
      <c r="H56" s="1470"/>
      <c r="J56" s="1469">
        <v>35000</v>
      </c>
      <c r="K56" s="1470"/>
      <c r="L56" s="806"/>
      <c r="M56" s="1469"/>
      <c r="N56" s="1470"/>
      <c r="P56" s="1469"/>
      <c r="Q56" s="1470"/>
      <c r="S56" s="1469">
        <v>15000</v>
      </c>
      <c r="T56" s="1470"/>
      <c r="V56" s="1501"/>
      <c r="W56" s="1502"/>
    </row>
    <row r="57" spans="1:23" s="386" customFormat="1" ht="12" customHeight="1">
      <c r="B57" s="386" t="s">
        <v>3082</v>
      </c>
      <c r="G57" s="1469">
        <v>60000</v>
      </c>
      <c r="H57" s="1470"/>
      <c r="J57" s="1469">
        <v>30000</v>
      </c>
      <c r="K57" s="1470"/>
      <c r="L57" s="806"/>
      <c r="M57" s="1469"/>
      <c r="N57" s="1470"/>
      <c r="P57" s="1469"/>
      <c r="Q57" s="1470"/>
      <c r="S57" s="1469">
        <v>30000</v>
      </c>
      <c r="T57" s="1470"/>
      <c r="V57" s="1501"/>
      <c r="W57" s="1502"/>
    </row>
    <row r="58" spans="1:23" s="386" customFormat="1" ht="12" customHeight="1">
      <c r="B58" s="386" t="s">
        <v>1701</v>
      </c>
      <c r="G58" s="1469">
        <v>25000</v>
      </c>
      <c r="H58" s="1470"/>
      <c r="J58" s="1469"/>
      <c r="K58" s="1470"/>
      <c r="L58" s="806"/>
      <c r="M58" s="1469"/>
      <c r="N58" s="1470"/>
      <c r="P58" s="1469"/>
      <c r="Q58" s="1470"/>
      <c r="S58" s="1469">
        <v>25000</v>
      </c>
      <c r="T58" s="1470"/>
      <c r="V58" s="1501"/>
      <c r="W58" s="1502"/>
    </row>
    <row r="59" spans="1:23" s="386" customFormat="1" ht="12" customHeight="1">
      <c r="B59" s="386" t="s">
        <v>309</v>
      </c>
      <c r="G59" s="1469">
        <v>39382</v>
      </c>
      <c r="H59" s="1470"/>
      <c r="J59" s="1469">
        <v>39382</v>
      </c>
      <c r="K59" s="1470"/>
      <c r="L59" s="806"/>
      <c r="M59" s="1469"/>
      <c r="N59" s="1470"/>
      <c r="P59" s="1469"/>
      <c r="Q59" s="1470"/>
      <c r="S59" s="1469"/>
      <c r="T59" s="1470"/>
      <c r="V59" s="1501"/>
      <c r="W59" s="1502"/>
    </row>
    <row r="60" spans="1:23" s="386" customFormat="1" ht="12" customHeight="1">
      <c r="B60" s="452" t="s">
        <v>1566</v>
      </c>
      <c r="D60" s="450"/>
      <c r="E60" s="450"/>
      <c r="F60" s="451"/>
      <c r="G60" s="1469">
        <v>61509</v>
      </c>
      <c r="H60" s="1470"/>
      <c r="I60" s="406"/>
      <c r="J60" s="1469">
        <v>61509</v>
      </c>
      <c r="K60" s="1470"/>
      <c r="L60" s="806"/>
      <c r="M60" s="1469"/>
      <c r="N60" s="1470"/>
      <c r="P60" s="1469"/>
      <c r="Q60" s="1470"/>
      <c r="S60" s="1469"/>
      <c r="T60" s="1470"/>
      <c r="V60" s="1501"/>
      <c r="W60" s="1502"/>
    </row>
    <row r="61" spans="1:23" s="386" customFormat="1" ht="12" customHeight="1">
      <c r="A61" s="480" t="str">
        <f>IF(AND(G61&gt;0,OR(C61="",C61="&lt;Enter detailed description here; use Comments section if needed&gt;")),"X","")</f>
        <v/>
      </c>
      <c r="B61" s="386" t="s">
        <v>1046</v>
      </c>
      <c r="C61" s="1316" t="s">
        <v>3181</v>
      </c>
      <c r="D61" s="1316"/>
      <c r="E61" s="1316"/>
      <c r="F61" s="1317"/>
      <c r="G61" s="1469"/>
      <c r="H61" s="1470"/>
      <c r="J61" s="1469"/>
      <c r="K61" s="1470"/>
      <c r="L61" s="806"/>
      <c r="M61" s="1469"/>
      <c r="N61" s="1470"/>
      <c r="P61" s="1469"/>
      <c r="Q61" s="1470"/>
      <c r="S61" s="1469"/>
      <c r="T61" s="1470"/>
      <c r="U61" s="479" t="str">
        <f>IF(AND(G61&gt;0,OR(C61="",C61="&lt;Enter detailed description here; use Comments section if needed&gt;")),"NO DESCRIPTION PROVIDED - please enter detailed description in Other box at left; use Comments section below if needed.","")</f>
        <v/>
      </c>
      <c r="V61" s="1501"/>
      <c r="W61" s="1502"/>
    </row>
    <row r="62" spans="1:23" s="386" customFormat="1" ht="12" customHeight="1" thickBot="1">
      <c r="A62" s="480" t="str">
        <f>IF(AND(G62&gt;0,OR(C62="",C62="&lt;Enter detailed description here; use Comments section if needed&gt;")),"X","")</f>
        <v/>
      </c>
      <c r="B62" s="386" t="s">
        <v>1046</v>
      </c>
      <c r="C62" s="1316" t="s">
        <v>3181</v>
      </c>
      <c r="D62" s="1316"/>
      <c r="E62" s="1316"/>
      <c r="F62" s="1317"/>
      <c r="G62" s="1469"/>
      <c r="H62" s="1470"/>
      <c r="J62" s="1469"/>
      <c r="K62" s="1470"/>
      <c r="L62" s="806"/>
      <c r="M62" s="1469"/>
      <c r="N62" s="1470"/>
      <c r="P62" s="1469"/>
      <c r="Q62" s="1470"/>
      <c r="S62" s="1469"/>
      <c r="T62" s="1470"/>
      <c r="U62" s="479" t="str">
        <f>IF(AND(G62&gt;0,OR(C62="",C62="&lt;Enter detailed description here; use Comments section if needed&gt;")),"NO DESCRIPTION PROVIDED - please enter detailed description in Other box at left; use Comments section below if needed.","")</f>
        <v/>
      </c>
      <c r="V62" s="1501"/>
      <c r="W62" s="1502"/>
    </row>
    <row r="63" spans="1:23" s="386" customFormat="1" ht="12" customHeight="1" thickTop="1">
      <c r="F63" s="446" t="s">
        <v>209</v>
      </c>
      <c r="G63" s="953">
        <f>SUM(G52:H62)</f>
        <v>493408</v>
      </c>
      <c r="H63" s="954"/>
      <c r="J63" s="953">
        <f>SUM(J52:K62)</f>
        <v>334625</v>
      </c>
      <c r="K63" s="954"/>
      <c r="L63" s="448"/>
      <c r="M63" s="953">
        <f>SUM(M52:N62)</f>
        <v>0</v>
      </c>
      <c r="N63" s="954"/>
      <c r="P63" s="953">
        <f>SUM(P52:Q62)</f>
        <v>0</v>
      </c>
      <c r="Q63" s="954"/>
      <c r="S63" s="953">
        <f>SUM(S52:T62)</f>
        <v>158783</v>
      </c>
      <c r="T63" s="954"/>
      <c r="V63" s="1505"/>
      <c r="W63" s="1506"/>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69">
        <v>307500</v>
      </c>
      <c r="H65" s="1470"/>
      <c r="J65" s="1469">
        <v>307500</v>
      </c>
      <c r="K65" s="1470"/>
      <c r="L65" s="806"/>
      <c r="M65" s="1469"/>
      <c r="N65" s="1470"/>
      <c r="P65" s="1469"/>
      <c r="Q65" s="1470"/>
      <c r="S65" s="1469"/>
      <c r="T65" s="1470"/>
      <c r="V65" s="1499"/>
      <c r="W65" s="1500"/>
    </row>
    <row r="66" spans="1:23" s="386" customFormat="1" ht="12" customHeight="1">
      <c r="B66" s="386" t="s">
        <v>610</v>
      </c>
      <c r="G66" s="1469">
        <v>102500</v>
      </c>
      <c r="H66" s="1470"/>
      <c r="J66" s="1469">
        <v>102500</v>
      </c>
      <c r="K66" s="1470"/>
      <c r="L66" s="806"/>
      <c r="M66" s="1469"/>
      <c r="N66" s="1470"/>
      <c r="P66" s="1469"/>
      <c r="Q66" s="1470"/>
      <c r="S66" s="1469"/>
      <c r="T66" s="1470"/>
      <c r="V66" s="1501"/>
      <c r="W66" s="1502"/>
    </row>
    <row r="67" spans="1:23" s="386" customFormat="1" ht="12" customHeight="1">
      <c r="B67" s="386" t="s">
        <v>1537</v>
      </c>
      <c r="F67" s="386" t="s">
        <v>3952</v>
      </c>
      <c r="G67" s="1469">
        <v>19000</v>
      </c>
      <c r="H67" s="1470"/>
      <c r="J67" s="1469">
        <v>19000</v>
      </c>
      <c r="K67" s="1470"/>
      <c r="L67" s="806"/>
      <c r="M67" s="1469"/>
      <c r="N67" s="1470"/>
      <c r="P67" s="1469"/>
      <c r="Q67" s="1470"/>
      <c r="S67" s="1469"/>
      <c r="T67" s="1470"/>
      <c r="V67" s="1501"/>
      <c r="W67" s="1502"/>
    </row>
    <row r="68" spans="1:23" s="386" customFormat="1" ht="12" customHeight="1">
      <c r="B68" s="386" t="s">
        <v>1538</v>
      </c>
      <c r="G68" s="1469">
        <v>50000</v>
      </c>
      <c r="H68" s="1470"/>
      <c r="J68" s="1469">
        <v>50000</v>
      </c>
      <c r="K68" s="1470"/>
      <c r="L68" s="806"/>
      <c r="M68" s="1469"/>
      <c r="N68" s="1470"/>
      <c r="P68" s="1469"/>
      <c r="Q68" s="1470"/>
      <c r="S68" s="1469"/>
      <c r="T68" s="1470"/>
      <c r="V68" s="1501"/>
      <c r="W68" s="1502"/>
    </row>
    <row r="69" spans="1:23" s="386" customFormat="1" ht="12" customHeight="1">
      <c r="B69" s="386" t="s">
        <v>1539</v>
      </c>
      <c r="G69" s="1469">
        <v>25000</v>
      </c>
      <c r="H69" s="1470"/>
      <c r="J69" s="1469">
        <v>25000</v>
      </c>
      <c r="K69" s="1470"/>
      <c r="L69" s="806"/>
      <c r="M69" s="1469"/>
      <c r="N69" s="1470"/>
      <c r="P69" s="1469"/>
      <c r="Q69" s="1470"/>
      <c r="S69" s="1469"/>
      <c r="T69" s="1470"/>
      <c r="V69" s="1501"/>
      <c r="W69" s="1502"/>
    </row>
    <row r="70" spans="1:23" s="386" customFormat="1" ht="12" customHeight="1">
      <c r="B70" s="386" t="s">
        <v>1540</v>
      </c>
      <c r="G70" s="1469">
        <v>45000</v>
      </c>
      <c r="H70" s="1470"/>
      <c r="J70" s="1469">
        <v>45000</v>
      </c>
      <c r="K70" s="1470"/>
      <c r="L70" s="806"/>
      <c r="M70" s="1469"/>
      <c r="N70" s="1470"/>
      <c r="P70" s="1469"/>
      <c r="Q70" s="1470"/>
      <c r="S70" s="1469"/>
      <c r="T70" s="1470"/>
      <c r="V70" s="1501"/>
      <c r="W70" s="1502"/>
    </row>
    <row r="71" spans="1:23" s="386" customFormat="1" ht="12" customHeight="1">
      <c r="B71" s="386" t="s">
        <v>611</v>
      </c>
      <c r="G71" s="1469">
        <v>110000</v>
      </c>
      <c r="H71" s="1470"/>
      <c r="J71" s="1469">
        <v>110000</v>
      </c>
      <c r="K71" s="1470"/>
      <c r="L71" s="806"/>
      <c r="M71" s="1469"/>
      <c r="N71" s="1470"/>
      <c r="P71" s="1469"/>
      <c r="Q71" s="1470"/>
      <c r="S71" s="1469"/>
      <c r="T71" s="1470"/>
      <c r="V71" s="1501"/>
      <c r="W71" s="1502"/>
    </row>
    <row r="72" spans="1:23" s="386" customFormat="1" ht="12" customHeight="1">
      <c r="B72" s="386" t="s">
        <v>612</v>
      </c>
      <c r="G72" s="1469">
        <v>100000</v>
      </c>
      <c r="H72" s="1470"/>
      <c r="J72" s="1469">
        <v>100000</v>
      </c>
      <c r="K72" s="1470"/>
      <c r="L72" s="806"/>
      <c r="M72" s="1469"/>
      <c r="N72" s="1470"/>
      <c r="P72" s="1469"/>
      <c r="Q72" s="1470"/>
      <c r="S72" s="1469"/>
      <c r="T72" s="1470"/>
      <c r="V72" s="1501"/>
      <c r="W72" s="1502"/>
    </row>
    <row r="73" spans="1:23" s="386" customFormat="1" ht="12" customHeight="1">
      <c r="B73" s="386" t="s">
        <v>2764</v>
      </c>
      <c r="G73" s="1469">
        <v>80000</v>
      </c>
      <c r="H73" s="1470"/>
      <c r="J73" s="1469">
        <v>80000</v>
      </c>
      <c r="K73" s="1470"/>
      <c r="L73" s="806"/>
      <c r="M73" s="1469"/>
      <c r="N73" s="1470"/>
      <c r="P73" s="1469"/>
      <c r="Q73" s="1470"/>
      <c r="S73" s="1469"/>
      <c r="T73" s="1470"/>
      <c r="V73" s="1501"/>
      <c r="W73" s="1502"/>
    </row>
    <row r="74" spans="1:23" s="386" customFormat="1" ht="12" customHeight="1">
      <c r="B74" s="386" t="s">
        <v>1702</v>
      </c>
      <c r="G74" s="1469">
        <v>5000</v>
      </c>
      <c r="H74" s="1470"/>
      <c r="J74" s="1469">
        <v>5000</v>
      </c>
      <c r="K74" s="1470"/>
      <c r="L74" s="806"/>
      <c r="M74" s="1469"/>
      <c r="N74" s="1470"/>
      <c r="P74" s="1469"/>
      <c r="Q74" s="1470"/>
      <c r="S74" s="1469"/>
      <c r="T74" s="1470"/>
      <c r="V74" s="1501"/>
      <c r="W74" s="1502"/>
    </row>
    <row r="75" spans="1:23" s="386" customFormat="1" ht="12" customHeight="1" thickBot="1">
      <c r="A75" s="480" t="str">
        <f>IF(AND(G75&gt;0,OR(C75="",C75="&lt;Enter detailed description here; use Comments section if needed&gt;")),"X","")</f>
        <v/>
      </c>
      <c r="B75" s="386" t="s">
        <v>1046</v>
      </c>
      <c r="C75" s="1316" t="s">
        <v>3181</v>
      </c>
      <c r="D75" s="1316"/>
      <c r="E75" s="1316"/>
      <c r="F75" s="1317"/>
      <c r="G75" s="1469"/>
      <c r="H75" s="1470"/>
      <c r="J75" s="1469"/>
      <c r="K75" s="1470"/>
      <c r="L75" s="806"/>
      <c r="M75" s="1469"/>
      <c r="N75" s="1470"/>
      <c r="P75" s="1469"/>
      <c r="Q75" s="1470"/>
      <c r="S75" s="1469"/>
      <c r="T75" s="1470"/>
      <c r="U75" s="479" t="str">
        <f>IF(AND(G75&gt;0,OR(C75="",C75="&lt;Enter detailed description here; use Comments section if needed&gt;")),"NO DESCRIPTION PROVIDED - please enter detailed description in Other box at left; use Comments section below if needed.","")</f>
        <v/>
      </c>
      <c r="V75" s="1501"/>
      <c r="W75" s="1502"/>
    </row>
    <row r="76" spans="1:23" s="386" customFormat="1" ht="12" customHeight="1" thickTop="1">
      <c r="F76" s="446" t="s">
        <v>209</v>
      </c>
      <c r="G76" s="953">
        <f>SUM(G65:H75)</f>
        <v>844000</v>
      </c>
      <c r="H76" s="954"/>
      <c r="J76" s="953">
        <f>SUM(J65:K75)</f>
        <v>844000</v>
      </c>
      <c r="K76" s="954"/>
      <c r="L76" s="448"/>
      <c r="M76" s="953">
        <f>SUM(M65:N75)</f>
        <v>0</v>
      </c>
      <c r="N76" s="954"/>
      <c r="P76" s="953">
        <f>SUM(P65:Q75)</f>
        <v>0</v>
      </c>
      <c r="Q76" s="954"/>
      <c r="S76" s="953">
        <f>SUM(S65:T75)</f>
        <v>0</v>
      </c>
      <c r="T76" s="954"/>
      <c r="V76" s="1505"/>
      <c r="W76" s="1506"/>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513">
        <v>25000</v>
      </c>
      <c r="H78" s="1514"/>
      <c r="J78" s="1513">
        <v>25000</v>
      </c>
      <c r="K78" s="1514"/>
      <c r="L78" s="806"/>
      <c r="M78" s="1469"/>
      <c r="N78" s="1470"/>
      <c r="P78" s="1469"/>
      <c r="Q78" s="1470"/>
      <c r="S78" s="1469"/>
      <c r="T78" s="1470"/>
      <c r="V78" s="1515"/>
      <c r="W78" s="1516"/>
    </row>
    <row r="79" spans="1:23" s="386" customFormat="1" ht="12" customHeight="1">
      <c r="B79" s="386" t="s">
        <v>1696</v>
      </c>
      <c r="G79" s="1513">
        <v>15000</v>
      </c>
      <c r="H79" s="1514"/>
      <c r="J79" s="1513">
        <v>15000</v>
      </c>
      <c r="K79" s="1514"/>
      <c r="L79" s="806"/>
      <c r="M79" s="1469"/>
      <c r="N79" s="1470"/>
      <c r="P79" s="1469"/>
      <c r="Q79" s="1470"/>
      <c r="S79" s="1469"/>
      <c r="T79" s="1470"/>
      <c r="V79" s="1517"/>
      <c r="W79" s="1518"/>
    </row>
    <row r="80" spans="1:23" s="386" customFormat="1" ht="12" customHeight="1">
      <c r="B80" s="386" t="s">
        <v>1697</v>
      </c>
      <c r="D80" s="461" t="s">
        <v>1841</v>
      </c>
      <c r="E80" s="1519" t="s">
        <v>4065</v>
      </c>
      <c r="G80" s="1513">
        <v>10000</v>
      </c>
      <c r="H80" s="1514"/>
      <c r="I80" s="406"/>
      <c r="J80" s="1513">
        <v>10000</v>
      </c>
      <c r="K80" s="1514"/>
      <c r="L80" s="806"/>
      <c r="M80" s="1469"/>
      <c r="N80" s="1470"/>
      <c r="P80" s="1469"/>
      <c r="Q80" s="1470"/>
      <c r="S80" s="1469"/>
      <c r="T80" s="1470"/>
      <c r="V80" s="1517"/>
      <c r="W80" s="1518"/>
    </row>
    <row r="81" spans="1:23" s="386" customFormat="1" ht="12" customHeight="1" thickBot="1">
      <c r="B81" s="386" t="s">
        <v>1698</v>
      </c>
      <c r="D81" s="461" t="s">
        <v>1841</v>
      </c>
      <c r="E81" s="1519" t="s">
        <v>4065</v>
      </c>
      <c r="G81" s="1513">
        <v>10000</v>
      </c>
      <c r="H81" s="1514"/>
      <c r="I81" s="406"/>
      <c r="J81" s="1513">
        <v>10000</v>
      </c>
      <c r="K81" s="1514"/>
      <c r="L81" s="806"/>
      <c r="M81" s="1469"/>
      <c r="N81" s="1470"/>
      <c r="P81" s="1469"/>
      <c r="Q81" s="1470"/>
      <c r="S81" s="1469"/>
      <c r="T81" s="1470"/>
      <c r="V81" s="1517"/>
      <c r="W81" s="1518"/>
    </row>
    <row r="82" spans="1:23" s="386" customFormat="1" ht="12" customHeight="1" thickTop="1">
      <c r="F82" s="446" t="s">
        <v>209</v>
      </c>
      <c r="G82" s="953">
        <f>SUM(G78:H81)</f>
        <v>60000</v>
      </c>
      <c r="H82" s="954"/>
      <c r="J82" s="953">
        <f>SUM(J78:K81)</f>
        <v>60000</v>
      </c>
      <c r="K82" s="954"/>
      <c r="L82" s="448"/>
      <c r="M82" s="953">
        <f>SUM(M78:N81)</f>
        <v>0</v>
      </c>
      <c r="N82" s="954"/>
      <c r="P82" s="953">
        <f>SUM(P78:Q81)</f>
        <v>0</v>
      </c>
      <c r="Q82" s="954"/>
      <c r="S82" s="953">
        <f>SUM(S78:T81)</f>
        <v>0</v>
      </c>
      <c r="T82" s="954"/>
      <c r="V82" s="1520"/>
      <c r="W82" s="1521"/>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69">
        <f>681929*0.01</f>
        <v>6819.29</v>
      </c>
      <c r="H84" s="1470"/>
      <c r="J84" s="944"/>
      <c r="K84" s="944"/>
      <c r="L84" s="806"/>
      <c r="M84" s="944"/>
      <c r="N84" s="944"/>
      <c r="P84" s="944"/>
      <c r="Q84" s="944"/>
      <c r="S84" s="1469">
        <v>6819</v>
      </c>
      <c r="T84" s="1470"/>
      <c r="V84" s="1515"/>
      <c r="W84" s="1516"/>
    </row>
    <row r="85" spans="1:23" s="386" customFormat="1" ht="12" customHeight="1">
      <c r="B85" s="386" t="s">
        <v>1700</v>
      </c>
      <c r="G85" s="1469">
        <v>45000</v>
      </c>
      <c r="H85" s="1470"/>
      <c r="J85" s="944"/>
      <c r="K85" s="944"/>
      <c r="L85" s="806"/>
      <c r="M85" s="944"/>
      <c r="N85" s="944"/>
      <c r="P85" s="944"/>
      <c r="Q85" s="944"/>
      <c r="S85" s="1469">
        <v>45000</v>
      </c>
      <c r="T85" s="1470"/>
      <c r="V85" s="1517"/>
      <c r="W85" s="1518"/>
    </row>
    <row r="86" spans="1:23" s="386" customFormat="1" ht="12" customHeight="1">
      <c r="B86" s="386" t="s">
        <v>1701</v>
      </c>
      <c r="G86" s="1469">
        <v>12000</v>
      </c>
      <c r="H86" s="1470"/>
      <c r="J86" s="944"/>
      <c r="K86" s="944"/>
      <c r="L86" s="806"/>
      <c r="M86" s="944"/>
      <c r="N86" s="944"/>
      <c r="P86" s="944"/>
      <c r="Q86" s="944"/>
      <c r="S86" s="1469">
        <v>12000</v>
      </c>
      <c r="T86" s="1470"/>
      <c r="V86" s="1517"/>
      <c r="W86" s="1518"/>
    </row>
    <row r="87" spans="1:23" s="386" customFormat="1" ht="12" customHeight="1">
      <c r="B87" s="386" t="s">
        <v>1703</v>
      </c>
      <c r="G87" s="1469"/>
      <c r="H87" s="1470"/>
      <c r="J87" s="944"/>
      <c r="K87" s="944"/>
      <c r="L87" s="806"/>
      <c r="M87" s="944"/>
      <c r="N87" s="944"/>
      <c r="P87" s="944"/>
      <c r="Q87" s="944"/>
      <c r="S87" s="1469"/>
      <c r="T87" s="1470"/>
      <c r="V87" s="1517"/>
      <c r="W87" s="1518"/>
    </row>
    <row r="88" spans="1:23" s="386" customFormat="1" ht="12" customHeight="1">
      <c r="B88" s="386" t="s">
        <v>3027</v>
      </c>
      <c r="G88" s="1469"/>
      <c r="H88" s="1470"/>
      <c r="J88" s="944"/>
      <c r="K88" s="944"/>
      <c r="L88" s="806"/>
      <c r="M88" s="944"/>
      <c r="N88" s="944"/>
      <c r="P88" s="944"/>
      <c r="Q88" s="944"/>
      <c r="S88" s="1469"/>
      <c r="T88" s="1470"/>
      <c r="V88" s="1517"/>
      <c r="W88" s="1518"/>
    </row>
    <row r="89" spans="1:23" s="386" customFormat="1" ht="12" customHeight="1" thickBot="1">
      <c r="A89" s="480" t="str">
        <f>IF(AND(G89&gt;0,OR(C89="",C89="&lt;Enter detailed description here; use Comments section if needed&gt;")),"X","")</f>
        <v/>
      </c>
      <c r="B89" s="386" t="s">
        <v>1046</v>
      </c>
      <c r="C89" s="1316" t="s">
        <v>3181</v>
      </c>
      <c r="D89" s="1316"/>
      <c r="E89" s="1316"/>
      <c r="F89" s="1317"/>
      <c r="G89" s="1469"/>
      <c r="H89" s="1470"/>
      <c r="J89" s="944"/>
      <c r="K89" s="944"/>
      <c r="L89" s="806"/>
      <c r="M89" s="944"/>
      <c r="N89" s="944"/>
      <c r="P89" s="944"/>
      <c r="Q89" s="944"/>
      <c r="S89" s="1469"/>
      <c r="T89" s="1470"/>
      <c r="U89" s="479" t="str">
        <f>IF(AND(G89&gt;0,OR(C89="",C89="&lt;Enter detailed description here; use Comments section if needed&gt;")),"NO DESCRIPTION PROVIDED - please enter detailed description in Other box at left; use Comments section below if needed.","")</f>
        <v/>
      </c>
      <c r="V89" s="1517"/>
      <c r="W89" s="1518"/>
    </row>
    <row r="90" spans="1:23" s="386" customFormat="1" ht="12" customHeight="1" thickTop="1">
      <c r="F90" s="446" t="s">
        <v>209</v>
      </c>
      <c r="G90" s="953">
        <f>SUM(G84:H89)</f>
        <v>63819.29</v>
      </c>
      <c r="H90" s="954"/>
      <c r="J90" s="944"/>
      <c r="K90" s="944"/>
      <c r="L90" s="448"/>
      <c r="M90" s="944"/>
      <c r="N90" s="944"/>
      <c r="P90" s="944"/>
      <c r="Q90" s="944"/>
      <c r="S90" s="953">
        <f>SUM(S84:T89)</f>
        <v>63819</v>
      </c>
      <c r="T90" s="954"/>
      <c r="V90" s="1520"/>
      <c r="W90" s="1521"/>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96"/>
      <c r="I92" s="796"/>
      <c r="J92" s="949" t="s">
        <v>299</v>
      </c>
      <c r="K92" s="950"/>
      <c r="L92" s="445"/>
      <c r="M92" s="945" t="s">
        <v>623</v>
      </c>
      <c r="N92" s="946"/>
      <c r="P92" s="949" t="s">
        <v>300</v>
      </c>
      <c r="Q92" s="950"/>
      <c r="S92" s="949" t="s">
        <v>301</v>
      </c>
      <c r="T92" s="950"/>
      <c r="V92" s="567" t="str">
        <f>B92</f>
        <v>DEVELOPMENT BUDGET</v>
      </c>
    </row>
    <row r="93" spans="1:23" s="386" customFormat="1" ht="18" customHeight="1" thickBot="1">
      <c r="G93" s="1003" t="s">
        <v>107</v>
      </c>
      <c r="H93" s="1004"/>
      <c r="J93" s="951"/>
      <c r="K93" s="952"/>
      <c r="L93" s="445"/>
      <c r="M93" s="947"/>
      <c r="N93" s="948"/>
      <c r="P93" s="951"/>
      <c r="Q93" s="952"/>
      <c r="S93" s="951"/>
      <c r="T93" s="952"/>
      <c r="V93" s="1014" t="s">
        <v>3548</v>
      </c>
      <c r="W93" s="101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69"/>
      <c r="H95" s="1470"/>
      <c r="J95" s="448"/>
      <c r="K95" s="448"/>
      <c r="L95" s="806"/>
      <c r="M95" s="448"/>
      <c r="N95" s="448"/>
      <c r="P95" s="448"/>
      <c r="Q95" s="448"/>
      <c r="S95" s="1469"/>
      <c r="T95" s="1470"/>
      <c r="V95" s="1515"/>
      <c r="W95" s="1516"/>
    </row>
    <row r="96" spans="1:23" s="386" customFormat="1" ht="12.6" customHeight="1">
      <c r="B96" s="386" t="s">
        <v>1618</v>
      </c>
      <c r="G96" s="1513">
        <v>6500</v>
      </c>
      <c r="H96" s="1514"/>
      <c r="J96" s="448"/>
      <c r="K96" s="448"/>
      <c r="L96" s="462"/>
      <c r="M96" s="448"/>
      <c r="N96" s="448"/>
      <c r="P96" s="448"/>
      <c r="Q96" s="448"/>
      <c r="S96" s="1513">
        <v>6500</v>
      </c>
      <c r="T96" s="1514"/>
      <c r="V96" s="1517"/>
      <c r="W96" s="1518"/>
    </row>
    <row r="97" spans="1:23" s="386" customFormat="1" ht="12.6" customHeight="1">
      <c r="B97" s="386" t="s">
        <v>3590</v>
      </c>
      <c r="G97" s="1513">
        <v>1000</v>
      </c>
      <c r="H97" s="1514"/>
      <c r="J97" s="448"/>
      <c r="K97" s="448"/>
      <c r="L97" s="462"/>
      <c r="M97" s="448"/>
      <c r="N97" s="448"/>
      <c r="O97" s="796"/>
      <c r="P97" s="448"/>
      <c r="Q97" s="448"/>
      <c r="S97" s="1513">
        <v>1000</v>
      </c>
      <c r="T97" s="1514"/>
      <c r="V97" s="1517"/>
      <c r="W97" s="1518"/>
    </row>
    <row r="98" spans="1:23" s="386" customFormat="1" ht="12.6" customHeight="1">
      <c r="B98" s="386" t="s">
        <v>686</v>
      </c>
      <c r="E98" s="1011">
        <f>'DCA Underwriting Assumptions'!$Q$39*$J$172</f>
        <v>61613.19999999999</v>
      </c>
      <c r="F98" s="1012"/>
      <c r="G98" s="1513">
        <v>61613</v>
      </c>
      <c r="H98" s="1514"/>
      <c r="J98" s="448"/>
      <c r="K98" s="448"/>
      <c r="L98" s="806"/>
      <c r="M98" s="448"/>
      <c r="N98" s="448"/>
      <c r="O98" s="796"/>
      <c r="P98" s="448"/>
      <c r="Q98" s="448"/>
      <c r="S98" s="1513">
        <v>61613</v>
      </c>
      <c r="T98" s="1514"/>
      <c r="V98" s="1517"/>
      <c r="W98" s="1518"/>
    </row>
    <row r="99" spans="1:23" s="386" customFormat="1" ht="12.6" customHeight="1">
      <c r="B99" s="386" t="s">
        <v>1058</v>
      </c>
      <c r="E99" s="101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80000</v>
      </c>
      <c r="F99" s="1012"/>
      <c r="G99" s="1469">
        <v>80000</v>
      </c>
      <c r="H99" s="1470"/>
      <c r="J99" s="353"/>
      <c r="K99" s="353"/>
      <c r="L99" s="353"/>
      <c r="M99" s="353"/>
      <c r="N99" s="353"/>
      <c r="O99" s="353"/>
      <c r="P99" s="353"/>
      <c r="Q99" s="353"/>
      <c r="S99" s="1469">
        <v>80000</v>
      </c>
      <c r="T99" s="1470"/>
      <c r="V99" s="1517"/>
      <c r="W99" s="1518"/>
    </row>
    <row r="100" spans="1:23" s="386" customFormat="1" ht="12.6" customHeight="1">
      <c r="B100" s="386" t="s">
        <v>618</v>
      </c>
      <c r="G100" s="1469"/>
      <c r="H100" s="1470"/>
      <c r="J100" s="353"/>
      <c r="K100" s="353"/>
      <c r="L100" s="353"/>
      <c r="M100" s="353"/>
      <c r="N100" s="353"/>
      <c r="O100" s="353"/>
      <c r="P100" s="353"/>
      <c r="Q100" s="353"/>
      <c r="S100" s="1469"/>
      <c r="T100" s="1470"/>
      <c r="V100" s="1517"/>
      <c r="W100" s="1518"/>
    </row>
    <row r="101" spans="1:23" s="386" customFormat="1" ht="12.6" customHeight="1">
      <c r="B101" s="386" t="s">
        <v>3105</v>
      </c>
      <c r="G101" s="1469">
        <v>3000</v>
      </c>
      <c r="H101" s="1470"/>
      <c r="J101" s="353"/>
      <c r="K101" s="353"/>
      <c r="L101" s="353"/>
      <c r="M101" s="353"/>
      <c r="N101" s="353"/>
      <c r="O101" s="353"/>
      <c r="P101" s="353"/>
      <c r="Q101" s="353"/>
      <c r="S101" s="1469">
        <v>3000</v>
      </c>
      <c r="T101" s="1470"/>
      <c r="V101" s="1517"/>
      <c r="W101" s="1518"/>
    </row>
    <row r="102" spans="1:23" s="386" customFormat="1" ht="12.6" customHeight="1">
      <c r="A102" s="480" t="str">
        <f>IF(AND(G102&gt;0,OR(C102="",C102="&lt;Enter detailed description here; use Comments section if needed&gt;")),"X","")</f>
        <v/>
      </c>
      <c r="B102" s="386" t="s">
        <v>1046</v>
      </c>
      <c r="C102" s="1316" t="s">
        <v>3181</v>
      </c>
      <c r="D102" s="1316"/>
      <c r="E102" s="1316"/>
      <c r="F102" s="1317"/>
      <c r="G102" s="1469"/>
      <c r="H102" s="1470"/>
      <c r="J102" s="353"/>
      <c r="K102" s="353"/>
      <c r="L102" s="353"/>
      <c r="M102" s="353"/>
      <c r="N102" s="353"/>
      <c r="O102" s="353"/>
      <c r="P102" s="353"/>
      <c r="Q102" s="353"/>
      <c r="S102" s="1469"/>
      <c r="T102" s="1470"/>
      <c r="U102" s="479" t="str">
        <f>IF(AND(G102&gt;0,OR(C102="",C102="&lt;Enter detailed description here; use Comments section if needed&gt;")),"NO DESCRIPTION PROVIDED - please enter detailed description in Other box at left; use Comments section below if needed.","")</f>
        <v/>
      </c>
      <c r="V102" s="1517"/>
      <c r="W102" s="1518"/>
    </row>
    <row r="103" spans="1:23" s="386" customFormat="1" ht="12.6" customHeight="1" thickBot="1">
      <c r="A103" s="480" t="str">
        <f>IF(AND(G103&gt;0,OR(C103="",C103="&lt;Enter detailed description here; use Comments section if needed&gt;")),"X","")</f>
        <v/>
      </c>
      <c r="B103" s="386" t="s">
        <v>1046</v>
      </c>
      <c r="C103" s="1316" t="s">
        <v>3181</v>
      </c>
      <c r="D103" s="1316"/>
      <c r="E103" s="1316"/>
      <c r="F103" s="1317"/>
      <c r="G103" s="1469"/>
      <c r="H103" s="1470"/>
      <c r="J103" s="353"/>
      <c r="K103" s="353"/>
      <c r="L103" s="353"/>
      <c r="M103" s="353"/>
      <c r="N103" s="353"/>
      <c r="O103" s="353"/>
      <c r="P103" s="353"/>
      <c r="Q103" s="353"/>
      <c r="S103" s="1469"/>
      <c r="T103" s="1470"/>
      <c r="U103" s="479" t="str">
        <f>IF(AND(G103&gt;0,OR(C103="",C103="&lt;Enter detailed description here; use Comments section if needed&gt;")),"NO DESCRIPTION PROVIDED - please enter detailed description in Other box at left; use Comments section below if needed.","")</f>
        <v/>
      </c>
      <c r="V103" s="1517"/>
      <c r="W103" s="1518"/>
    </row>
    <row r="104" spans="1:23" s="386" customFormat="1" ht="12.6" customHeight="1" thickTop="1">
      <c r="F104" s="446" t="s">
        <v>209</v>
      </c>
      <c r="G104" s="953">
        <f>SUM(G95:H103)</f>
        <v>152113</v>
      </c>
      <c r="H104" s="954"/>
      <c r="J104" s="448"/>
      <c r="K104" s="448"/>
      <c r="L104" s="806"/>
      <c r="M104" s="448"/>
      <c r="N104" s="448"/>
      <c r="P104" s="448"/>
      <c r="Q104" s="448"/>
      <c r="S104" s="953">
        <f>SUM(S95:T103)</f>
        <v>152113</v>
      </c>
      <c r="T104" s="954"/>
      <c r="V104" s="1520"/>
      <c r="W104" s="1521"/>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69"/>
      <c r="H106" s="1470"/>
      <c r="J106" s="944"/>
      <c r="K106" s="944"/>
      <c r="L106" s="806"/>
      <c r="M106" s="944"/>
      <c r="N106" s="944"/>
      <c r="O106" s="796"/>
      <c r="P106" s="944"/>
      <c r="Q106" s="944"/>
      <c r="S106" s="1469"/>
      <c r="T106" s="1470"/>
      <c r="V106" s="1515"/>
      <c r="W106" s="1516"/>
    </row>
    <row r="107" spans="1:23" s="386" customFormat="1" ht="12.6" customHeight="1">
      <c r="B107" s="386" t="s">
        <v>310</v>
      </c>
      <c r="G107" s="1469"/>
      <c r="H107" s="1470"/>
      <c r="J107" s="944"/>
      <c r="K107" s="944"/>
      <c r="L107" s="806"/>
      <c r="M107" s="944"/>
      <c r="N107" s="944"/>
      <c r="O107" s="796"/>
      <c r="P107" s="944"/>
      <c r="Q107" s="944"/>
      <c r="S107" s="1469"/>
      <c r="T107" s="1470"/>
      <c r="V107" s="1517"/>
      <c r="W107" s="1518"/>
    </row>
    <row r="108" spans="1:23" s="386" customFormat="1" ht="12.6" customHeight="1">
      <c r="B108" s="386" t="s">
        <v>3143</v>
      </c>
      <c r="G108" s="1469"/>
      <c r="H108" s="1470"/>
      <c r="J108" s="944"/>
      <c r="K108" s="944"/>
      <c r="L108" s="806"/>
      <c r="M108" s="944"/>
      <c r="N108" s="944"/>
      <c r="O108" s="796"/>
      <c r="P108" s="944"/>
      <c r="Q108" s="944"/>
      <c r="S108" s="1469"/>
      <c r="T108" s="1470"/>
      <c r="V108" s="1517"/>
      <c r="W108" s="1518"/>
    </row>
    <row r="109" spans="1:23" s="386" customFormat="1" ht="12.6" customHeight="1" thickBot="1">
      <c r="A109" s="480" t="str">
        <f>IF(AND(G109&gt;0,OR(C109="",C109="&lt;Enter detailed description here; use Comments section if needed&gt;")),"X","")</f>
        <v/>
      </c>
      <c r="B109" s="386" t="s">
        <v>1046</v>
      </c>
      <c r="C109" s="1316" t="s">
        <v>3181</v>
      </c>
      <c r="D109" s="1316"/>
      <c r="E109" s="1316"/>
      <c r="F109" s="1317"/>
      <c r="G109" s="1469"/>
      <c r="H109" s="1470"/>
      <c r="J109" s="944"/>
      <c r="K109" s="944"/>
      <c r="L109" s="806"/>
      <c r="M109" s="944"/>
      <c r="N109" s="944"/>
      <c r="O109" s="796"/>
      <c r="P109" s="944"/>
      <c r="Q109" s="944"/>
      <c r="S109" s="1469"/>
      <c r="T109" s="1470"/>
      <c r="U109" s="479" t="str">
        <f>IF(AND(G109&gt;0,OR(C109="",C109="&lt;Enter detailed description here; use Comments section if needed&gt;")),"NO DESCRIPTION PROVIDED - please enter detailed description in Other box at left; use Comments section below if needed.","")</f>
        <v/>
      </c>
      <c r="V109" s="1517"/>
      <c r="W109" s="1518"/>
    </row>
    <row r="110" spans="1:23" s="386" customFormat="1" ht="12.6" customHeight="1" thickTop="1">
      <c r="F110" s="446" t="s">
        <v>209</v>
      </c>
      <c r="G110" s="953">
        <f>SUM(G106:H109)</f>
        <v>0</v>
      </c>
      <c r="H110" s="954"/>
      <c r="J110" s="944"/>
      <c r="K110" s="944"/>
      <c r="L110" s="806"/>
      <c r="M110" s="944"/>
      <c r="N110" s="944"/>
      <c r="O110" s="796"/>
      <c r="P110" s="944"/>
      <c r="Q110" s="944"/>
      <c r="S110" s="953">
        <f>SUM(S106:T109)</f>
        <v>0</v>
      </c>
      <c r="T110" s="954"/>
      <c r="V110" s="1520"/>
      <c r="W110" s="1521"/>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2565</v>
      </c>
      <c r="F112" s="527">
        <f>G112/$G$115</f>
        <v>0.2</v>
      </c>
      <c r="G112" s="1469">
        <v>330200</v>
      </c>
      <c r="H112" s="1470"/>
      <c r="J112" s="1469">
        <v>330200</v>
      </c>
      <c r="K112" s="1470"/>
      <c r="L112" s="447"/>
      <c r="M112" s="1469"/>
      <c r="N112" s="1470"/>
      <c r="P112" s="1469"/>
      <c r="Q112" s="1470"/>
      <c r="S112" s="1469"/>
      <c r="T112" s="1470"/>
      <c r="V112" s="1515"/>
      <c r="W112" s="1516"/>
    </row>
    <row r="113" spans="1:23" s="386" customFormat="1" ht="12.6" customHeight="1">
      <c r="B113" s="386" t="s">
        <v>2566</v>
      </c>
      <c r="F113" s="527">
        <f>G113/$G$115</f>
        <v>0</v>
      </c>
      <c r="G113" s="1469"/>
      <c r="H113" s="1470"/>
      <c r="J113" s="1469"/>
      <c r="K113" s="1470"/>
      <c r="L113" s="806"/>
      <c r="M113" s="1469"/>
      <c r="N113" s="1470"/>
      <c r="P113" s="1469"/>
      <c r="Q113" s="1470"/>
      <c r="S113" s="1469"/>
      <c r="T113" s="1470"/>
      <c r="V113" s="1517"/>
      <c r="W113" s="1518"/>
    </row>
    <row r="114" spans="1:23" s="386" customFormat="1" ht="12.6" customHeight="1" thickBot="1">
      <c r="B114" s="386" t="s">
        <v>2558</v>
      </c>
      <c r="F114" s="527">
        <f>G114/$G$115</f>
        <v>0.8</v>
      </c>
      <c r="G114" s="1469">
        <v>1320800</v>
      </c>
      <c r="H114" s="1470"/>
      <c r="J114" s="1469">
        <v>1320800</v>
      </c>
      <c r="K114" s="1470"/>
      <c r="L114" s="806"/>
      <c r="M114" s="1469"/>
      <c r="N114" s="1470"/>
      <c r="P114" s="1469"/>
      <c r="Q114" s="1470"/>
      <c r="S114" s="1469"/>
      <c r="T114" s="1470"/>
      <c r="V114" s="1517"/>
      <c r="W114" s="1518"/>
    </row>
    <row r="115" spans="1:23" s="386" customFormat="1" ht="12.6" customHeight="1" thickTop="1">
      <c r="C115" s="479" t="str">
        <f>IF(G115&lt;='DCA Underwriting Assumptions'!$Q$46,"","Developer Fee exceeds DCA Program Maximum !!!")</f>
        <v/>
      </c>
      <c r="F115" s="446" t="s">
        <v>209</v>
      </c>
      <c r="G115" s="953">
        <f>SUM(G112:H114)</f>
        <v>1651000</v>
      </c>
      <c r="H115" s="954"/>
      <c r="J115" s="953">
        <f>SUM(J112:K114)</f>
        <v>1651000</v>
      </c>
      <c r="K115" s="954"/>
      <c r="L115" s="806"/>
      <c r="M115" s="953">
        <f>SUM(M112:N114)</f>
        <v>0</v>
      </c>
      <c r="N115" s="954"/>
      <c r="P115" s="953">
        <f>SUM(P112:Q114)</f>
        <v>0</v>
      </c>
      <c r="Q115" s="954"/>
      <c r="S115" s="953">
        <f>SUM(S112:T114)</f>
        <v>0</v>
      </c>
      <c r="T115" s="954"/>
      <c r="V115" s="1520"/>
      <c r="W115" s="1521"/>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69">
        <v>55000</v>
      </c>
      <c r="H117" s="1470"/>
      <c r="J117" s="463"/>
      <c r="K117" s="463"/>
      <c r="L117" s="463"/>
      <c r="M117" s="463"/>
      <c r="N117" s="463"/>
      <c r="P117" s="463"/>
      <c r="Q117" s="463"/>
      <c r="S117" s="1469">
        <v>55000</v>
      </c>
      <c r="T117" s="1470"/>
      <c r="V117" s="1515"/>
      <c r="W117" s="1516"/>
    </row>
    <row r="118" spans="1:23" s="386" customFormat="1" ht="12.6" customHeight="1">
      <c r="B118" s="386" t="s">
        <v>1993</v>
      </c>
      <c r="F118" s="764">
        <f>+'Part VI-Revenues &amp; Expenses'!P157*('DCA Underwriting Assumptions'!$Q$58/12)</f>
        <v>123422.25</v>
      </c>
      <c r="G118" s="1469">
        <v>165000</v>
      </c>
      <c r="H118" s="1470"/>
      <c r="J118" s="944"/>
      <c r="K118" s="944"/>
      <c r="L118" s="806"/>
      <c r="M118" s="944"/>
      <c r="N118" s="944"/>
      <c r="O118" s="796"/>
      <c r="P118" s="944"/>
      <c r="Q118" s="944"/>
      <c r="R118" s="796"/>
      <c r="S118" s="1469">
        <v>165000</v>
      </c>
      <c r="T118" s="1470"/>
      <c r="V118" s="1517"/>
      <c r="W118" s="1518"/>
    </row>
    <row r="119" spans="1:23" s="386" customFormat="1" ht="12.6" customHeight="1">
      <c r="B119" s="386" t="s">
        <v>864</v>
      </c>
      <c r="F119" s="765">
        <f>'Part VI-Revenues &amp; Expenses'!P157*('DCA Underwriting Assumptions'!Q57/12)+('Part VII-Pro Forma'!B23+'Part VII-Pro Forma'!B24+'Part VII-Pro Forma'!B25+'Part VII-Pro Forma'!B26)*'DCA Underwriting Assumptions'!Q56/(-12)</f>
        <v>319736.91015236609</v>
      </c>
      <c r="G119" s="1469">
        <v>320000</v>
      </c>
      <c r="H119" s="1470"/>
      <c r="J119" s="462"/>
      <c r="K119" s="462"/>
      <c r="L119" s="462"/>
      <c r="M119" s="462"/>
      <c r="N119" s="462"/>
      <c r="O119" s="796"/>
      <c r="P119" s="462"/>
      <c r="Q119" s="462"/>
      <c r="R119" s="796"/>
      <c r="S119" s="1469">
        <v>320000</v>
      </c>
      <c r="T119" s="1470"/>
      <c r="V119" s="1517"/>
      <c r="W119" s="1518"/>
    </row>
    <row r="120" spans="1:23" s="386" customFormat="1" ht="12.6" customHeight="1">
      <c r="B120" s="386" t="s">
        <v>1667</v>
      </c>
      <c r="G120" s="1469"/>
      <c r="H120" s="1470"/>
      <c r="J120" s="463"/>
      <c r="K120" s="463"/>
      <c r="L120" s="463"/>
      <c r="M120" s="463"/>
      <c r="N120" s="463"/>
      <c r="P120" s="463"/>
      <c r="Q120" s="463"/>
      <c r="S120" s="1469"/>
      <c r="T120" s="1470"/>
      <c r="V120" s="1517"/>
      <c r="W120" s="1518"/>
    </row>
    <row r="121" spans="1:23" s="386" customFormat="1" ht="12.6" customHeight="1">
      <c r="B121" s="386" t="s">
        <v>1668</v>
      </c>
      <c r="E121" s="386" t="s">
        <v>3943</v>
      </c>
      <c r="F121" s="650">
        <f>G121/'Part VI-Revenues &amp; Expenses'!$M$62</f>
        <v>1390</v>
      </c>
      <c r="G121" s="1469">
        <v>139000</v>
      </c>
      <c r="H121" s="1470"/>
      <c r="J121" s="1469">
        <v>139000</v>
      </c>
      <c r="K121" s="1470"/>
      <c r="L121" s="806"/>
      <c r="M121" s="1469"/>
      <c r="N121" s="1470"/>
      <c r="P121" s="1469"/>
      <c r="Q121" s="1470"/>
      <c r="S121" s="1469"/>
      <c r="T121" s="1470"/>
      <c r="V121" s="1517"/>
      <c r="W121" s="1518"/>
    </row>
    <row r="122" spans="1:23" s="386" customFormat="1" ht="12.6" customHeight="1" thickBot="1">
      <c r="A122" s="480" t="str">
        <f>IF(AND(G122&gt;0,OR(C122="",C122="&lt;Enter detailed description here; use Comments section if needed&gt;")),"X","")</f>
        <v/>
      </c>
      <c r="B122" s="386" t="s">
        <v>1046</v>
      </c>
      <c r="C122" s="1316"/>
      <c r="D122" s="1316"/>
      <c r="E122" s="1316"/>
      <c r="F122" s="1317"/>
      <c r="G122" s="1469"/>
      <c r="H122" s="1470"/>
      <c r="J122" s="1469"/>
      <c r="K122" s="1470"/>
      <c r="L122" s="806"/>
      <c r="M122" s="1469"/>
      <c r="N122" s="1470"/>
      <c r="P122" s="1469"/>
      <c r="Q122" s="1470"/>
      <c r="S122" s="1469"/>
      <c r="T122" s="1470"/>
      <c r="U122" s="479" t="str">
        <f>IF(AND(G122&gt;0,OR(C122="",C122="&lt;Enter detailed description here; use Comments section if needed&gt;")),"NO DESCRIPTION PROVIDED - please enter detailed description in Other box at left; use Comments section below if needed.","")</f>
        <v/>
      </c>
      <c r="V122" s="1517"/>
      <c r="W122" s="1518"/>
    </row>
    <row r="123" spans="1:23" s="386" customFormat="1" ht="12.6" customHeight="1" thickTop="1">
      <c r="B123" s="464"/>
      <c r="F123" s="446" t="s">
        <v>209</v>
      </c>
      <c r="G123" s="953">
        <f>SUM(G117:H122)</f>
        <v>679000</v>
      </c>
      <c r="H123" s="954"/>
      <c r="J123" s="953">
        <f>SUM(J121:K122)</f>
        <v>139000</v>
      </c>
      <c r="K123" s="954"/>
      <c r="L123" s="806"/>
      <c r="M123" s="953">
        <f>SUM(M121:N122)</f>
        <v>0</v>
      </c>
      <c r="N123" s="954"/>
      <c r="P123" s="953">
        <f>SUM(P121:Q122)</f>
        <v>0</v>
      </c>
      <c r="Q123" s="954"/>
      <c r="S123" s="953">
        <f>SUM(S117:T122)</f>
        <v>540000</v>
      </c>
      <c r="T123" s="954"/>
      <c r="V123" s="1520"/>
      <c r="W123" s="1521"/>
    </row>
    <row r="124" spans="1:23" s="386" customFormat="1" ht="13.15" customHeight="1">
      <c r="B124" s="389" t="s">
        <v>790</v>
      </c>
      <c r="C124" s="78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88"/>
      <c r="G125" s="1469"/>
      <c r="H125" s="1470"/>
      <c r="J125" s="1469"/>
      <c r="K125" s="1470"/>
      <c r="L125" s="447"/>
      <c r="M125" s="1469"/>
      <c r="N125" s="1470"/>
      <c r="P125" s="1469"/>
      <c r="Q125" s="1470"/>
      <c r="S125" s="1469"/>
      <c r="T125" s="1470"/>
      <c r="V125" s="1515"/>
      <c r="W125" s="1516"/>
    </row>
    <row r="126" spans="1:23" s="386" customFormat="1" ht="12.6" customHeight="1" thickBot="1">
      <c r="A126" s="480" t="str">
        <f>IF(AND(G126&gt;0,OR(C126="",C126="&lt;Enter detailed description here; use Comments section if needed&gt;")),"X","")</f>
        <v/>
      </c>
      <c r="B126" s="386" t="s">
        <v>1046</v>
      </c>
      <c r="C126" s="1316" t="s">
        <v>3181</v>
      </c>
      <c r="D126" s="1316"/>
      <c r="E126" s="1316"/>
      <c r="F126" s="1317"/>
      <c r="G126" s="1469"/>
      <c r="H126" s="1470"/>
      <c r="J126" s="1469"/>
      <c r="K126" s="1470"/>
      <c r="L126" s="806"/>
      <c r="M126" s="1469"/>
      <c r="N126" s="1470"/>
      <c r="P126" s="1469"/>
      <c r="Q126" s="1470"/>
      <c r="S126" s="1469"/>
      <c r="T126" s="1470"/>
      <c r="U126" s="479" t="str">
        <f>IF(AND(G126&gt;0,OR(C126="",C126="&lt;Enter detailed description here; use Comments section if needed&gt;")),"NO DESCRIPTION PROVIDED - please enter detailed description in Other box at left; use Comments section below if needed.","")</f>
        <v/>
      </c>
      <c r="V126" s="1517"/>
      <c r="W126" s="1518"/>
    </row>
    <row r="127" spans="1:23" s="386" customFormat="1" ht="12.6" customHeight="1" thickTop="1">
      <c r="C127" s="788"/>
      <c r="F127" s="446" t="s">
        <v>209</v>
      </c>
      <c r="G127" s="953">
        <f>SUM(G125:H126)</f>
        <v>0</v>
      </c>
      <c r="H127" s="954"/>
      <c r="J127" s="953">
        <f>SUM(J125:K126)</f>
        <v>0</v>
      </c>
      <c r="K127" s="954"/>
      <c r="L127" s="806"/>
      <c r="M127" s="953">
        <f>SUM(M125:N126)</f>
        <v>0</v>
      </c>
      <c r="N127" s="954"/>
      <c r="P127" s="953">
        <f>SUM(P125:Q126)</f>
        <v>0</v>
      </c>
      <c r="Q127" s="954"/>
      <c r="S127" s="953">
        <f>SUM(S125:T126)</f>
        <v>0</v>
      </c>
      <c r="T127" s="954"/>
      <c r="V127" s="1517"/>
      <c r="W127" s="1518"/>
    </row>
    <row r="128" spans="1:23" s="386" customFormat="1" ht="3" customHeight="1" thickBot="1">
      <c r="C128" s="788"/>
      <c r="H128" s="460"/>
      <c r="I128" s="460"/>
      <c r="L128" s="796"/>
      <c r="V128" s="1517"/>
      <c r="W128" s="1518"/>
    </row>
    <row r="129" spans="1:23" s="386" customFormat="1" ht="13.9" customHeight="1" thickBot="1">
      <c r="B129" s="393" t="s">
        <v>3960</v>
      </c>
      <c r="G129" s="996">
        <f>G17+G23+G27+G32+G37+G40+G46+G63+G76+G82+G90+G104+G110+G115+G123+G127</f>
        <v>13211820.289999999</v>
      </c>
      <c r="H129" s="997"/>
      <c r="J129" s="996">
        <f>J17+J23+J27+J32+J37+J40+J46+J63+J76+J82+J90+J104+J110+J115+J123+J127</f>
        <v>12122105</v>
      </c>
      <c r="K129" s="997"/>
      <c r="M129" s="996">
        <f>M17+M23+M27+M32+M37+M40+M46+M63+M76+M82+M90+M104+M110+M115+M123+M127</f>
        <v>0</v>
      </c>
      <c r="N129" s="997"/>
      <c r="P129" s="996">
        <f>P17+P23+P27+P32+P37+P40+P46+P63+P76+P82+P90+P104+P110+P115+P123+P127</f>
        <v>0</v>
      </c>
      <c r="Q129" s="997"/>
      <c r="S129" s="996">
        <f>S17+S23+S27+S32+S37+S40+S46+S63+S76+S82+S90+S104+S110+S115+S123+S127</f>
        <v>1089715</v>
      </c>
      <c r="T129" s="997"/>
      <c r="V129" s="1520"/>
      <c r="W129" s="1521"/>
    </row>
    <row r="130" spans="1:23" s="386" customFormat="1" ht="3" customHeight="1">
      <c r="C130" s="788"/>
      <c r="H130" s="460"/>
      <c r="I130" s="460"/>
      <c r="L130" s="796"/>
    </row>
    <row r="131" spans="1:23" s="386" customFormat="1" ht="13.9" customHeight="1">
      <c r="B131" s="779" t="s">
        <v>3961</v>
      </c>
      <c r="C131" s="777"/>
      <c r="D131" s="998">
        <f>G129/'Part VI-Revenues &amp; Expenses'!$M$62</f>
        <v>132118.2029</v>
      </c>
      <c r="E131" s="998"/>
      <c r="F131" s="778" t="s">
        <v>3959</v>
      </c>
      <c r="G131" s="998">
        <f>G129/'Part VI-Revenues &amp; Expenses'!$M$100</f>
        <v>170.78361284901757</v>
      </c>
      <c r="H131" s="1013"/>
      <c r="I131" s="465"/>
    </row>
    <row r="132" spans="1:23" s="386" customFormat="1" ht="3" customHeight="1">
      <c r="I132" s="465"/>
      <c r="L132" s="465"/>
    </row>
    <row r="133" spans="1:23" s="386" customFormat="1" ht="3.6" customHeight="1" thickBot="1">
      <c r="D133" s="788"/>
      <c r="E133" s="788"/>
      <c r="I133" s="460"/>
      <c r="J133" s="460"/>
      <c r="K133" s="466"/>
      <c r="L133" s="392"/>
      <c r="P133" s="796"/>
    </row>
    <row r="134" spans="1:23" s="386" customFormat="1" ht="25.9" customHeight="1">
      <c r="A134" s="566" t="s">
        <v>1045</v>
      </c>
      <c r="B134" s="568" t="s">
        <v>1869</v>
      </c>
      <c r="C134" s="387"/>
      <c r="D134" s="806"/>
      <c r="E134" s="806"/>
      <c r="G134" s="796"/>
      <c r="H134" s="796"/>
      <c r="I134" s="467"/>
      <c r="J134" s="949" t="s">
        <v>299</v>
      </c>
      <c r="K134" s="950"/>
      <c r="M134" s="949" t="s">
        <v>106</v>
      </c>
      <c r="N134" s="950"/>
      <c r="P134" s="949" t="s">
        <v>300</v>
      </c>
      <c r="Q134" s="950"/>
      <c r="V134" s="567" t="str">
        <f>B134</f>
        <v>TAX CREDIT CALCULATION - BASIS METHOD</v>
      </c>
    </row>
    <row r="135" spans="1:23" s="386" customFormat="1" ht="15" customHeight="1" thickBot="1">
      <c r="B135" s="393" t="s">
        <v>2759</v>
      </c>
      <c r="D135" s="806"/>
      <c r="E135" s="806"/>
      <c r="I135" s="467"/>
      <c r="J135" s="951"/>
      <c r="K135" s="952"/>
      <c r="L135" s="387"/>
      <c r="M135" s="951"/>
      <c r="N135" s="952"/>
      <c r="P135" s="951"/>
      <c r="Q135" s="952"/>
      <c r="V135" s="386" t="str">
        <f>B135</f>
        <v>Subtractions From Eligible Basis</v>
      </c>
      <c r="W135" s="430"/>
    </row>
    <row r="136" spans="1:23" s="386" customFormat="1" ht="6" customHeight="1">
      <c r="D136" s="788"/>
      <c r="E136" s="788"/>
      <c r="I136" s="460"/>
      <c r="J136" s="460"/>
      <c r="K136" s="466"/>
      <c r="L136" s="392"/>
      <c r="P136" s="796"/>
    </row>
    <row r="137" spans="1:23" s="386" customFormat="1" ht="13.9" customHeight="1">
      <c r="B137" s="788" t="s">
        <v>151</v>
      </c>
      <c r="D137" s="796"/>
      <c r="E137" s="796"/>
      <c r="F137" s="796"/>
      <c r="G137" s="796"/>
      <c r="H137" s="796"/>
      <c r="I137" s="467"/>
      <c r="J137" s="1522">
        <v>1000000</v>
      </c>
      <c r="K137" s="1523"/>
      <c r="P137" s="1522"/>
      <c r="Q137" s="1523"/>
      <c r="V137" s="1515"/>
      <c r="W137" s="1516"/>
    </row>
    <row r="138" spans="1:23" s="386" customFormat="1" ht="13.9" customHeight="1">
      <c r="B138" s="796" t="s">
        <v>2869</v>
      </c>
      <c r="D138" s="796"/>
      <c r="E138" s="796"/>
      <c r="F138" s="796"/>
      <c r="G138" s="796"/>
      <c r="H138" s="796"/>
      <c r="I138" s="467"/>
      <c r="J138" s="1522"/>
      <c r="K138" s="1523"/>
      <c r="P138" s="1522"/>
      <c r="Q138" s="1523"/>
      <c r="V138" s="1517"/>
      <c r="W138" s="1518"/>
    </row>
    <row r="139" spans="1:23" s="386" customFormat="1" ht="13.9" customHeight="1">
      <c r="B139" s="796" t="s">
        <v>2568</v>
      </c>
      <c r="D139" s="796"/>
      <c r="E139" s="796"/>
      <c r="I139" s="467"/>
      <c r="J139" s="1522"/>
      <c r="K139" s="1523"/>
      <c r="P139" s="1522"/>
      <c r="Q139" s="1523"/>
      <c r="V139" s="1517"/>
      <c r="W139" s="1518"/>
    </row>
    <row r="140" spans="1:23" s="386" customFormat="1" ht="13.9" customHeight="1">
      <c r="B140" s="796" t="s">
        <v>2569</v>
      </c>
      <c r="D140" s="796"/>
      <c r="E140" s="796"/>
      <c r="I140" s="467"/>
      <c r="J140" s="1522"/>
      <c r="K140" s="1523"/>
      <c r="P140" s="1522"/>
      <c r="Q140" s="1523"/>
      <c r="V140" s="1517"/>
      <c r="W140" s="1518"/>
    </row>
    <row r="141" spans="1:23" s="386" customFormat="1" ht="13.9" customHeight="1">
      <c r="B141" s="796" t="s">
        <v>279</v>
      </c>
      <c r="D141" s="796"/>
      <c r="E141" s="796"/>
      <c r="I141" s="467"/>
      <c r="J141" s="1522"/>
      <c r="K141" s="1523"/>
      <c r="P141" s="1522"/>
      <c r="Q141" s="1523"/>
      <c r="V141" s="1517"/>
      <c r="W141" s="1518"/>
    </row>
    <row r="142" spans="1:23" s="386" customFormat="1" ht="13.9" customHeight="1" thickBot="1">
      <c r="B142" s="796" t="s">
        <v>2066</v>
      </c>
      <c r="C142" s="1316" t="s">
        <v>3181</v>
      </c>
      <c r="D142" s="1316"/>
      <c r="E142" s="1316"/>
      <c r="F142" s="1316"/>
      <c r="G142" s="1316"/>
      <c r="H142" s="1316"/>
      <c r="I142" s="1317"/>
      <c r="J142" s="1522"/>
      <c r="K142" s="1523"/>
      <c r="P142" s="1522"/>
      <c r="Q142" s="1523"/>
      <c r="V142" s="1517"/>
      <c r="W142" s="1518"/>
    </row>
    <row r="143" spans="1:23" s="386" customFormat="1" ht="13.9" customHeight="1" thickBot="1">
      <c r="B143" s="398" t="s">
        <v>2570</v>
      </c>
      <c r="C143" s="401"/>
      <c r="J143" s="913">
        <f>SUM(J137:K142)</f>
        <v>1000000</v>
      </c>
      <c r="K143" s="914"/>
      <c r="P143" s="913">
        <f>SUM(P137:Q142)</f>
        <v>0</v>
      </c>
      <c r="Q143" s="914"/>
      <c r="V143" s="1520"/>
      <c r="W143" s="1521"/>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2486</v>
      </c>
      <c r="J146" s="971">
        <f>J129</f>
        <v>12122105</v>
      </c>
      <c r="K146" s="972"/>
      <c r="M146" s="973">
        <f>M129</f>
        <v>0</v>
      </c>
      <c r="N146" s="974"/>
      <c r="P146" s="971">
        <f>P129</f>
        <v>0</v>
      </c>
      <c r="Q146" s="972"/>
      <c r="V146" s="1515"/>
      <c r="W146" s="1516"/>
    </row>
    <row r="147" spans="1:23" s="386" customFormat="1" ht="13.9" customHeight="1">
      <c r="B147" s="386" t="s">
        <v>2944</v>
      </c>
      <c r="J147" s="955">
        <f>J143</f>
        <v>1000000</v>
      </c>
      <c r="K147" s="962"/>
      <c r="M147" s="956"/>
      <c r="N147" s="956"/>
      <c r="P147" s="955">
        <f>P143</f>
        <v>0</v>
      </c>
      <c r="Q147" s="962"/>
      <c r="V147" s="1517"/>
      <c r="W147" s="1518"/>
    </row>
    <row r="148" spans="1:23" s="386" customFormat="1" ht="13.9" customHeight="1">
      <c r="B148" s="386" t="s">
        <v>2945</v>
      </c>
      <c r="J148" s="955">
        <f>J146-J147</f>
        <v>11122105</v>
      </c>
      <c r="K148" s="962"/>
      <c r="M148" s="955">
        <f>M146</f>
        <v>0</v>
      </c>
      <c r="N148" s="962"/>
      <c r="P148" s="955">
        <f>P146-P147</f>
        <v>0</v>
      </c>
      <c r="Q148" s="962"/>
      <c r="V148" s="1517"/>
      <c r="W148" s="1518"/>
    </row>
    <row r="149" spans="1:23" s="386" customFormat="1" ht="13.9" customHeight="1">
      <c r="B149" s="386" t="s">
        <v>1937</v>
      </c>
      <c r="G149" s="791" t="s">
        <v>2404</v>
      </c>
      <c r="H149" s="1306" t="s">
        <v>4120</v>
      </c>
      <c r="I149" s="1307"/>
      <c r="J149" s="1524">
        <v>1.3</v>
      </c>
      <c r="K149" s="1525"/>
      <c r="M149" s="970"/>
      <c r="N149" s="970"/>
      <c r="P149" s="1524"/>
      <c r="Q149" s="1525"/>
      <c r="V149" s="1517"/>
      <c r="W149" s="1518"/>
    </row>
    <row r="150" spans="1:23" s="386" customFormat="1" ht="13.9" customHeight="1">
      <c r="B150" s="386" t="s">
        <v>2770</v>
      </c>
      <c r="J150" s="955">
        <f>J148*J149</f>
        <v>14458736.5</v>
      </c>
      <c r="K150" s="962"/>
      <c r="M150" s="955">
        <f>+M148</f>
        <v>0</v>
      </c>
      <c r="N150" s="962"/>
      <c r="P150" s="955">
        <f>P148*P149</f>
        <v>0</v>
      </c>
      <c r="Q150" s="962"/>
      <c r="V150" s="1517"/>
      <c r="W150" s="1518"/>
    </row>
    <row r="151" spans="1:23" s="386" customFormat="1" ht="13.9" customHeight="1">
      <c r="B151" s="386" t="s">
        <v>3339</v>
      </c>
      <c r="J151" s="968">
        <f>MIN('Part VI-Revenues &amp; Expenses'!$M$58/'Part VI-Revenues &amp; Expenses'!$M$60,'Part VI-Revenues &amp; Expenses'!$M$96/'Part VI-Revenues &amp; Expenses'!$M$98)</f>
        <v>0.95</v>
      </c>
      <c r="K151" s="969"/>
      <c r="M151" s="968">
        <f>MIN('Part VI-Revenues &amp; Expenses'!$M$58/'Part VI-Revenues &amp; Expenses'!$M$60,'Part VI-Revenues &amp; Expenses'!$M$96/'Part VI-Revenues &amp; Expenses'!$M$98)</f>
        <v>0.95</v>
      </c>
      <c r="N151" s="969"/>
      <c r="P151" s="968">
        <f>MIN('Part VI-Revenues &amp; Expenses'!$M$58/'Part VI-Revenues &amp; Expenses'!$M$60,'Part VI-Revenues &amp; Expenses'!$M$96/'Part VI-Revenues &amp; Expenses'!$M$98)</f>
        <v>0.95</v>
      </c>
      <c r="Q151" s="969"/>
      <c r="V151" s="1517"/>
      <c r="W151" s="1518"/>
    </row>
    <row r="152" spans="1:23" s="386" customFormat="1" ht="13.9" customHeight="1">
      <c r="B152" s="386" t="s">
        <v>2760</v>
      </c>
      <c r="J152" s="955">
        <f>J150*J151</f>
        <v>13735799.674999999</v>
      </c>
      <c r="K152" s="962"/>
      <c r="M152" s="955">
        <f>M150*M151</f>
        <v>0</v>
      </c>
      <c r="N152" s="962"/>
      <c r="P152" s="955">
        <f>P150*P151</f>
        <v>0</v>
      </c>
      <c r="Q152" s="962"/>
      <c r="V152" s="1517"/>
      <c r="W152" s="1518"/>
    </row>
    <row r="153" spans="1:23" s="386" customFormat="1" ht="13.9" customHeight="1">
      <c r="B153" s="386" t="s">
        <v>2761</v>
      </c>
      <c r="J153" s="1524">
        <v>7.4099999999999999E-2</v>
      </c>
      <c r="K153" s="1525"/>
      <c r="M153" s="1524"/>
      <c r="N153" s="1525"/>
      <c r="P153" s="1524"/>
      <c r="Q153" s="1525"/>
      <c r="V153" s="1517"/>
      <c r="W153" s="1518"/>
    </row>
    <row r="154" spans="1:23" s="386" customFormat="1" ht="13.9" customHeight="1" thickBot="1">
      <c r="B154" s="386" t="s">
        <v>3340</v>
      </c>
      <c r="J154" s="965">
        <f>J152*J153</f>
        <v>1017822.7559174999</v>
      </c>
      <c r="K154" s="966"/>
      <c r="M154" s="965">
        <f>M152*M153</f>
        <v>0</v>
      </c>
      <c r="N154" s="966"/>
      <c r="P154" s="965">
        <f>P152*P153</f>
        <v>0</v>
      </c>
      <c r="Q154" s="966"/>
      <c r="V154" s="1517"/>
      <c r="W154" s="1518"/>
    </row>
    <row r="155" spans="1:23" s="386" customFormat="1" ht="13.9" customHeight="1" thickBot="1">
      <c r="B155" s="389" t="s">
        <v>1867</v>
      </c>
      <c r="J155" s="913">
        <f>J154+M154+P154</f>
        <v>1017822.7559174999</v>
      </c>
      <c r="K155" s="990"/>
      <c r="L155" s="990"/>
      <c r="M155" s="990"/>
      <c r="N155" s="990"/>
      <c r="O155" s="990"/>
      <c r="P155" s="990"/>
      <c r="Q155" s="914"/>
      <c r="V155" s="1520"/>
      <c r="W155" s="1521"/>
    </row>
    <row r="156" spans="1:23" s="386" customFormat="1" ht="6" customHeight="1">
      <c r="B156" s="468"/>
      <c r="L156" s="469"/>
      <c r="M156" s="469"/>
      <c r="N156" s="469"/>
      <c r="O156" s="469"/>
    </row>
    <row r="157" spans="1:23" s="386" customFormat="1" ht="13.9" customHeight="1">
      <c r="A157" s="567" t="s">
        <v>1047</v>
      </c>
      <c r="B157" s="567" t="s">
        <v>1870</v>
      </c>
      <c r="H157" s="460"/>
      <c r="I157" s="460"/>
      <c r="L157" s="796"/>
      <c r="M157" s="673"/>
      <c r="N157" s="796"/>
      <c r="O157" s="796"/>
      <c r="P157" s="796"/>
      <c r="Q157" s="796"/>
      <c r="R157" s="796"/>
      <c r="S157" s="796"/>
      <c r="T157" s="796"/>
    </row>
    <row r="158" spans="1:23" s="386" customFormat="1" ht="15" customHeight="1" thickBot="1">
      <c r="B158" s="389" t="s">
        <v>191</v>
      </c>
      <c r="H158" s="351"/>
      <c r="M158" s="673"/>
      <c r="N158" s="796"/>
      <c r="O158" s="796"/>
      <c r="P158" s="796"/>
      <c r="Q158" s="796"/>
      <c r="R158" s="796"/>
      <c r="S158" s="796"/>
      <c r="T158" s="796"/>
      <c r="V158" s="567" t="str">
        <f>B157</f>
        <v>TAX CREDIT CALCULATION - GAP METHOD</v>
      </c>
    </row>
    <row r="159" spans="1:23" s="386" customFormat="1" ht="15" customHeight="1">
      <c r="B159" s="377" t="s">
        <v>3928</v>
      </c>
      <c r="G159" s="985" t="str">
        <f>IF(J160&gt;J159,"TDC exceeds QAP PUCL!","")</f>
        <v/>
      </c>
      <c r="H159" s="985"/>
      <c r="I159" s="986"/>
      <c r="J159" s="987">
        <f>'Part VIII-Threshold Criteria'!$P$48</f>
        <v>13211820</v>
      </c>
      <c r="K159" s="988"/>
      <c r="L159" s="989"/>
      <c r="M159" s="975" t="s">
        <v>3770</v>
      </c>
      <c r="N159" s="976"/>
      <c r="O159" s="976"/>
      <c r="P159" s="976"/>
      <c r="Q159" s="976"/>
      <c r="R159" s="977"/>
      <c r="S159" s="981" t="s">
        <v>3669</v>
      </c>
      <c r="T159" s="982"/>
      <c r="V159" s="1515"/>
      <c r="W159" s="1516"/>
    </row>
    <row r="160" spans="1:23" s="386" customFormat="1" ht="13.9" customHeight="1">
      <c r="B160" s="386" t="s">
        <v>3772</v>
      </c>
      <c r="J160" s="1526">
        <f>MIN(G129,J159,(G129-O162))</f>
        <v>13211820</v>
      </c>
      <c r="K160" s="1527"/>
      <c r="L160" s="1528"/>
      <c r="M160" s="978"/>
      <c r="N160" s="979"/>
      <c r="O160" s="979"/>
      <c r="P160" s="979"/>
      <c r="Q160" s="979"/>
      <c r="R160" s="980"/>
      <c r="S160" s="983"/>
      <c r="T160" s="984"/>
      <c r="V160" s="1517"/>
      <c r="W160" s="1518"/>
    </row>
    <row r="161" spans="1:23" s="386" customFormat="1" ht="13.9" customHeight="1">
      <c r="B161" s="386" t="s">
        <v>289</v>
      </c>
      <c r="J161" s="955">
        <f>'Part III-Sources of Funds'!$H$49-'Part III-Sources of Funds'!H36-'Part III-Sources of Funds'!$H$37-'Part III-Sources of Funds'!$H$40-'Part III-Sources of Funds'!$H$41</f>
        <v>4431939</v>
      </c>
      <c r="K161" s="956"/>
      <c r="L161" s="957"/>
      <c r="M161" s="978"/>
      <c r="N161" s="979"/>
      <c r="O161" s="979"/>
      <c r="P161" s="979"/>
      <c r="Q161" s="979"/>
      <c r="R161" s="980"/>
      <c r="S161" s="983"/>
      <c r="T161" s="984"/>
      <c r="V161" s="1517"/>
      <c r="W161" s="1518"/>
    </row>
    <row r="162" spans="1:23" s="386" customFormat="1" ht="13.9" customHeight="1" thickBot="1">
      <c r="B162" s="386" t="s">
        <v>2957</v>
      </c>
      <c r="J162" s="955">
        <f>+J160-J161</f>
        <v>8779881</v>
      </c>
      <c r="K162" s="956"/>
      <c r="L162" s="957"/>
      <c r="M162" s="963" t="s">
        <v>3771</v>
      </c>
      <c r="N162" s="964"/>
      <c r="O162" s="991">
        <f>'Part III-Sources of Funds'!H36</f>
        <v>0</v>
      </c>
      <c r="P162" s="991"/>
      <c r="Q162" s="991"/>
      <c r="R162" s="992"/>
      <c r="S162" s="540" t="s">
        <v>2342</v>
      </c>
      <c r="T162" s="1529"/>
      <c r="V162" s="1517"/>
      <c r="W162" s="1518"/>
    </row>
    <row r="163" spans="1:23" s="386" customFormat="1" ht="13.9" customHeight="1">
      <c r="B163" s="386" t="s">
        <v>1720</v>
      </c>
      <c r="J163" s="958" t="str">
        <f>"/ 10"</f>
        <v>/ 10</v>
      </c>
      <c r="K163" s="958"/>
      <c r="L163" s="958"/>
      <c r="M163" s="796"/>
      <c r="N163" s="668"/>
      <c r="O163" s="668"/>
      <c r="P163" s="668"/>
      <c r="Q163" s="668"/>
      <c r="R163" s="668"/>
      <c r="V163" s="1517"/>
      <c r="W163" s="1518"/>
    </row>
    <row r="164" spans="1:23" s="386" customFormat="1" ht="13.9" customHeight="1">
      <c r="B164" s="386" t="s">
        <v>1721</v>
      </c>
      <c r="J164" s="955">
        <f>J162/10</f>
        <v>877988.1</v>
      </c>
      <c r="K164" s="956"/>
      <c r="L164" s="962"/>
      <c r="M164" s="406"/>
      <c r="N164" s="841" t="s">
        <v>1722</v>
      </c>
      <c r="O164" s="841"/>
      <c r="Q164" s="841" t="s">
        <v>2495</v>
      </c>
      <c r="R164" s="841"/>
      <c r="V164" s="1517"/>
      <c r="W164" s="1518"/>
    </row>
    <row r="165" spans="1:23" s="386" customFormat="1" ht="13.9" customHeight="1" thickBot="1">
      <c r="B165" s="386" t="s">
        <v>1936</v>
      </c>
      <c r="J165" s="993">
        <f>N165+Q165</f>
        <v>1.1400000000000001</v>
      </c>
      <c r="K165" s="994"/>
      <c r="L165" s="995"/>
      <c r="M165" s="791" t="s">
        <v>1723</v>
      </c>
      <c r="N165" s="1530">
        <v>0.8</v>
      </c>
      <c r="O165" s="1531"/>
      <c r="P165" s="791" t="s">
        <v>792</v>
      </c>
      <c r="Q165" s="1530">
        <v>0.34</v>
      </c>
      <c r="R165" s="1531"/>
      <c r="V165" s="1517"/>
      <c r="W165" s="1518"/>
    </row>
    <row r="166" spans="1:23" s="386" customFormat="1" ht="13.9" customHeight="1" thickBot="1">
      <c r="B166" s="389" t="s">
        <v>1868</v>
      </c>
      <c r="J166" s="913">
        <f>IF(J165=0,"",J164/J165)</f>
        <v>770164.99999999988</v>
      </c>
      <c r="K166" s="990"/>
      <c r="L166" s="914"/>
      <c r="M166" s="406"/>
      <c r="N166" s="796"/>
      <c r="O166" s="796"/>
      <c r="V166" s="1517"/>
      <c r="W166" s="1518"/>
    </row>
    <row r="167" spans="1:23" s="386" customFormat="1" ht="6" customHeight="1">
      <c r="J167" s="470"/>
      <c r="K167" s="470"/>
      <c r="L167" s="470"/>
      <c r="M167" s="406"/>
      <c r="N167" s="802"/>
      <c r="O167" s="802"/>
      <c r="V167" s="1517"/>
      <c r="W167" s="1518"/>
    </row>
    <row r="168" spans="1:23" s="386" customFormat="1" ht="16.149999999999999" customHeight="1">
      <c r="B168" s="389" t="s">
        <v>381</v>
      </c>
      <c r="J168" s="959">
        <f>+MIN(J155,J166,'DCA Underwriting Assumptions'!$R$6)</f>
        <v>770164.99999999988</v>
      </c>
      <c r="K168" s="960"/>
      <c r="L168" s="961"/>
      <c r="M168" s="406"/>
      <c r="N168" s="802"/>
      <c r="O168" s="802"/>
      <c r="V168" s="1517"/>
      <c r="W168" s="1518"/>
    </row>
    <row r="169" spans="1:23" s="386" customFormat="1" ht="3" customHeight="1">
      <c r="J169" s="470"/>
      <c r="K169" s="470"/>
      <c r="L169" s="470"/>
      <c r="M169" s="406"/>
      <c r="N169" s="802"/>
      <c r="O169" s="802"/>
      <c r="V169" s="1517"/>
      <c r="W169" s="1518"/>
    </row>
    <row r="170" spans="1:23" s="386" customFormat="1" ht="16.149999999999999" customHeight="1">
      <c r="B170" s="389" t="s">
        <v>382</v>
      </c>
      <c r="J170" s="1532">
        <v>770165</v>
      </c>
      <c r="K170" s="1533"/>
      <c r="L170" s="1534"/>
      <c r="M170" s="471" t="str">
        <f>IF(J168=0,"",IF(J170&gt;J168,"ALLOCATION CANNOT EXCEED MAXIMUM - REVISE REQUEST!",""))</f>
        <v/>
      </c>
      <c r="N170" s="802"/>
      <c r="O170" s="802"/>
      <c r="V170" s="1517"/>
      <c r="W170" s="1518"/>
    </row>
    <row r="171" spans="1:23" s="386" customFormat="1" ht="3" customHeight="1">
      <c r="J171" s="470"/>
      <c r="K171" s="470"/>
      <c r="L171" s="470"/>
      <c r="M171" s="406"/>
      <c r="N171" s="802"/>
      <c r="O171" s="802"/>
      <c r="V171" s="1517"/>
      <c r="W171" s="1518"/>
    </row>
    <row r="172" spans="1:23" s="386" customFormat="1" ht="16.149999999999999" customHeight="1">
      <c r="A172" s="567" t="s">
        <v>2488</v>
      </c>
      <c r="B172" s="567" t="s">
        <v>3420</v>
      </c>
      <c r="D172" s="406"/>
      <c r="E172" s="406"/>
      <c r="F172" s="392"/>
      <c r="J172" s="959">
        <f>IF(J170="",0,+MIN(J168,J170))</f>
        <v>770164.99999999988</v>
      </c>
      <c r="K172" s="960"/>
      <c r="L172" s="961"/>
      <c r="N172" s="1535"/>
      <c r="O172" s="1535"/>
      <c r="P172" s="1535"/>
      <c r="Q172" s="1535"/>
      <c r="R172" s="1535"/>
      <c r="S172" s="1535"/>
      <c r="T172" s="1535"/>
      <c r="V172" s="1520"/>
      <c r="W172" s="1521"/>
    </row>
    <row r="173" spans="1:23" ht="3" customHeight="1"/>
    <row r="174" spans="1:23" ht="6" customHeight="1"/>
    <row r="175" spans="1:23" ht="12" customHeight="1">
      <c r="A175" s="389" t="s">
        <v>2490</v>
      </c>
      <c r="B175" s="415" t="s">
        <v>744</v>
      </c>
      <c r="K175" s="389" t="s">
        <v>697</v>
      </c>
      <c r="L175" s="389" t="s">
        <v>83</v>
      </c>
    </row>
    <row r="176" spans="1:23" ht="201" customHeight="1">
      <c r="A176" s="1536" t="s">
        <v>4169</v>
      </c>
      <c r="B176" s="1537"/>
      <c r="C176" s="1537"/>
      <c r="D176" s="1537"/>
      <c r="E176" s="1537"/>
      <c r="F176" s="1537"/>
      <c r="G176" s="1537"/>
      <c r="H176" s="1537"/>
      <c r="I176" s="1537"/>
      <c r="J176" s="1538"/>
      <c r="K176" s="1539"/>
      <c r="L176" s="1537"/>
      <c r="M176" s="1537"/>
      <c r="N176" s="1537"/>
      <c r="O176" s="1537"/>
      <c r="P176" s="1537"/>
      <c r="Q176" s="1537"/>
      <c r="R176" s="1537"/>
      <c r="S176" s="1537"/>
      <c r="T176" s="1538"/>
      <c r="V176" s="891" t="s">
        <v>3595</v>
      </c>
      <c r="W176" s="89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0" priority="4" stopIfTrue="1" operator="greaterThan">
      <formula>$F34</formula>
    </cfRule>
  </conditionalFormatting>
  <conditionalFormatting sqref="J172:L172">
    <cfRule type="cellIs" dxfId="9" priority="6" stopIfTrue="1" operator="greaterThan">
      <formula>$J$168</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18" t="str">
        <f>CONCATENATE("PART FIVE - UTILITY ALLOWANCES","  -  ",'Part I-Project Information'!$O$4," ",'Part I-Project Information'!$F$23,", ",'Part I-Project Information'!F26,", ",'Part I-Project Information'!J27," County")</f>
        <v>PART FIVE - UTILITY ALLOWANCES  -  2013-019 BTW-Chapman Phase I, Columbus, Muscogee County</v>
      </c>
      <c r="B1" s="1019"/>
      <c r="C1" s="1019"/>
      <c r="D1" s="1019"/>
      <c r="E1" s="1019"/>
      <c r="F1" s="1019"/>
      <c r="G1" s="1019"/>
      <c r="H1" s="1019"/>
      <c r="I1" s="1019"/>
      <c r="J1" s="1019"/>
      <c r="K1" s="1019"/>
      <c r="L1" s="1019"/>
      <c r="M1" s="1019"/>
      <c r="N1" s="11"/>
      <c r="O1" s="11"/>
      <c r="P1" s="11"/>
      <c r="Q1" s="11"/>
      <c r="R1" s="19"/>
      <c r="S1" s="19"/>
      <c r="T1" s="19"/>
    </row>
    <row r="2" spans="1:20" s="9" customFormat="1"/>
    <row r="3" spans="1:20" s="9" customFormat="1">
      <c r="F3" s="5" t="s">
        <v>682</v>
      </c>
      <c r="I3" s="820" t="str">
        <f>VLOOKUP('Part I-Project Information'!$J$27,'Part I-Project Information'!$C$177:$D$336,2)</f>
        <v>Middle</v>
      </c>
    </row>
    <row r="4" spans="1:20" s="9" customFormat="1"/>
    <row r="5" spans="1:20" s="9" customFormat="1">
      <c r="A5" s="16" t="s">
        <v>796</v>
      </c>
      <c r="B5" s="16" t="s">
        <v>2952</v>
      </c>
      <c r="F5" s="9" t="s">
        <v>3306</v>
      </c>
      <c r="I5" s="1540" t="s">
        <v>4126</v>
      </c>
      <c r="J5" s="1541"/>
      <c r="K5" s="1541"/>
      <c r="L5" s="1541"/>
      <c r="M5" s="1542"/>
    </row>
    <row r="6" spans="1:20" s="9" customFormat="1" ht="13.15" customHeight="1">
      <c r="A6" s="16"/>
      <c r="F6" s="9" t="s">
        <v>816</v>
      </c>
      <c r="H6" s="31"/>
      <c r="I6" s="1543">
        <v>40989</v>
      </c>
      <c r="J6" s="1544"/>
      <c r="K6" s="73" t="s">
        <v>707</v>
      </c>
      <c r="L6" s="1545" t="s">
        <v>4127</v>
      </c>
      <c r="M6" s="1542"/>
    </row>
    <row r="7" spans="1:20" s="9" customFormat="1" ht="6" customHeight="1">
      <c r="A7" s="16"/>
    </row>
    <row r="8" spans="1:20" s="16" customFormat="1">
      <c r="B8" s="307"/>
      <c r="C8" s="307"/>
      <c r="D8" s="307"/>
      <c r="E8" s="307"/>
      <c r="F8" s="1017" t="s">
        <v>789</v>
      </c>
      <c r="G8" s="1017"/>
      <c r="I8" s="1016" t="s">
        <v>218</v>
      </c>
      <c r="J8" s="1016"/>
      <c r="K8" s="1016"/>
      <c r="L8" s="1016"/>
      <c r="M8" s="1016"/>
    </row>
    <row r="9" spans="1:20" s="16" customFormat="1">
      <c r="B9" s="307" t="s">
        <v>1191</v>
      </c>
      <c r="D9" s="307" t="s">
        <v>2064</v>
      </c>
      <c r="F9" s="810" t="s">
        <v>822</v>
      </c>
      <c r="G9" s="810" t="s">
        <v>2555</v>
      </c>
      <c r="I9" s="308" t="s">
        <v>736</v>
      </c>
      <c r="J9" s="309">
        <v>1</v>
      </c>
      <c r="K9" s="309">
        <v>2</v>
      </c>
      <c r="L9" s="309">
        <v>3</v>
      </c>
      <c r="M9" s="309">
        <v>4</v>
      </c>
    </row>
    <row r="10" spans="1:20" s="9" customFormat="1">
      <c r="B10" s="310" t="s">
        <v>2557</v>
      </c>
      <c r="C10" s="311"/>
      <c r="D10" s="1546" t="s">
        <v>4128</v>
      </c>
      <c r="E10" s="1547"/>
      <c r="F10" s="1548" t="s">
        <v>566</v>
      </c>
      <c r="G10" s="1548"/>
      <c r="H10" s="312"/>
      <c r="I10" s="1549"/>
      <c r="J10" s="1549">
        <v>13</v>
      </c>
      <c r="K10" s="1549">
        <v>15</v>
      </c>
      <c r="L10" s="1549"/>
      <c r="M10" s="1549"/>
    </row>
    <row r="11" spans="1:20" s="9" customFormat="1">
      <c r="B11" s="313" t="s">
        <v>596</v>
      </c>
      <c r="C11" s="314"/>
      <c r="D11" s="313" t="s">
        <v>2060</v>
      </c>
      <c r="E11" s="314"/>
      <c r="F11" s="1550" t="s">
        <v>566</v>
      </c>
      <c r="G11" s="1550"/>
      <c r="H11" s="315"/>
      <c r="I11" s="1551"/>
      <c r="J11" s="1551">
        <v>21</v>
      </c>
      <c r="K11" s="1551">
        <v>26</v>
      </c>
      <c r="L11" s="1552"/>
      <c r="M11" s="1552"/>
    </row>
    <row r="12" spans="1:20" s="9" customFormat="1">
      <c r="B12" s="313" t="s">
        <v>2061</v>
      </c>
      <c r="C12" s="314"/>
      <c r="D12" s="1553" t="s">
        <v>2060</v>
      </c>
      <c r="E12" s="1554"/>
      <c r="F12" s="1550" t="s">
        <v>566</v>
      </c>
      <c r="G12" s="1550"/>
      <c r="H12" s="315"/>
      <c r="I12" s="1551"/>
      <c r="J12" s="1551">
        <v>11</v>
      </c>
      <c r="K12" s="1551">
        <v>13</v>
      </c>
      <c r="L12" s="1552"/>
      <c r="M12" s="1552"/>
    </row>
    <row r="13" spans="1:20" s="9" customFormat="1">
      <c r="B13" s="313" t="s">
        <v>2062</v>
      </c>
      <c r="C13" s="314"/>
      <c r="D13" s="1553" t="s">
        <v>2060</v>
      </c>
      <c r="E13" s="1554"/>
      <c r="F13" s="1550" t="s">
        <v>566</v>
      </c>
      <c r="G13" s="1550"/>
      <c r="H13" s="315"/>
      <c r="I13" s="1551"/>
      <c r="J13" s="1551">
        <v>17</v>
      </c>
      <c r="K13" s="1551">
        <v>24</v>
      </c>
      <c r="L13" s="1552"/>
      <c r="M13" s="1552"/>
    </row>
    <row r="14" spans="1:20" s="9" customFormat="1">
      <c r="B14" s="313" t="s">
        <v>2063</v>
      </c>
      <c r="C14" s="314"/>
      <c r="D14" s="313" t="s">
        <v>2060</v>
      </c>
      <c r="E14" s="316"/>
      <c r="F14" s="1550" t="s">
        <v>566</v>
      </c>
      <c r="G14" s="1550"/>
      <c r="H14" s="315"/>
      <c r="I14" s="1551"/>
      <c r="J14" s="1551">
        <v>31</v>
      </c>
      <c r="K14" s="1551">
        <v>35</v>
      </c>
      <c r="L14" s="1552"/>
      <c r="M14" s="1552"/>
    </row>
    <row r="15" spans="1:20" s="9" customFormat="1">
      <c r="B15" s="313" t="s">
        <v>1805</v>
      </c>
      <c r="C15" s="314"/>
      <c r="D15" s="313" t="s">
        <v>2951</v>
      </c>
      <c r="E15" s="1555" t="s">
        <v>4064</v>
      </c>
      <c r="F15" s="1550" t="s">
        <v>566</v>
      </c>
      <c r="G15" s="1550"/>
      <c r="H15" s="315"/>
      <c r="I15" s="1551"/>
      <c r="J15" s="1551">
        <v>21</v>
      </c>
      <c r="K15" s="1551">
        <v>29</v>
      </c>
      <c r="L15" s="1552"/>
      <c r="M15" s="1552"/>
    </row>
    <row r="16" spans="1:20" s="9" customFormat="1">
      <c r="B16" s="317" t="s">
        <v>2556</v>
      </c>
      <c r="C16" s="318"/>
      <c r="D16" s="317"/>
      <c r="E16" s="284"/>
      <c r="F16" s="1556"/>
      <c r="G16" s="1556" t="s">
        <v>566</v>
      </c>
      <c r="H16" s="319"/>
      <c r="I16" s="1557"/>
      <c r="J16" s="1557"/>
      <c r="K16" s="1557"/>
      <c r="L16" s="1558"/>
      <c r="M16" s="1558"/>
    </row>
    <row r="17" spans="1:19" s="9" customFormat="1">
      <c r="B17" s="307" t="s">
        <v>1423</v>
      </c>
      <c r="D17" s="31"/>
      <c r="E17" s="31"/>
      <c r="F17" s="97"/>
      <c r="G17" s="97"/>
      <c r="I17" s="810">
        <f>SUM(I10:I16)</f>
        <v>0</v>
      </c>
      <c r="J17" s="810">
        <f>SUM(J10:J16)</f>
        <v>114</v>
      </c>
      <c r="K17" s="810">
        <f>SUM(K10:K16)</f>
        <v>142</v>
      </c>
      <c r="L17" s="810">
        <f>SUM(L10:L16)</f>
        <v>0</v>
      </c>
      <c r="M17" s="810">
        <f>SUM(M10:M16)</f>
        <v>0</v>
      </c>
    </row>
    <row r="18" spans="1:19" s="9" customFormat="1" ht="11.25" customHeight="1">
      <c r="M18" s="31"/>
      <c r="N18" s="31"/>
      <c r="O18" s="31"/>
      <c r="P18" s="31"/>
      <c r="Q18" s="31"/>
      <c r="R18" s="31"/>
      <c r="S18" s="31"/>
    </row>
    <row r="19" spans="1:19" s="9" customFormat="1">
      <c r="A19" s="16" t="s">
        <v>1045</v>
      </c>
      <c r="B19" s="16" t="s">
        <v>2953</v>
      </c>
      <c r="F19" s="9" t="s">
        <v>3306</v>
      </c>
      <c r="I19" s="1545"/>
      <c r="J19" s="1541"/>
      <c r="K19" s="1541"/>
      <c r="L19" s="1541"/>
      <c r="M19" s="1542"/>
    </row>
    <row r="20" spans="1:19" s="9" customFormat="1" ht="13.15" customHeight="1">
      <c r="A20" s="16"/>
      <c r="B20" s="16"/>
      <c r="F20" s="9" t="s">
        <v>816</v>
      </c>
      <c r="H20" s="31"/>
      <c r="I20" s="1543"/>
      <c r="J20" s="1544"/>
      <c r="K20" s="73" t="s">
        <v>707</v>
      </c>
      <c r="L20" s="1545"/>
      <c r="M20" s="1542"/>
    </row>
    <row r="21" spans="1:19" s="9" customFormat="1" ht="6" customHeight="1">
      <c r="A21" s="16"/>
    </row>
    <row r="22" spans="1:19" s="16" customFormat="1">
      <c r="B22" s="307"/>
      <c r="C22" s="307"/>
      <c r="D22" s="307"/>
      <c r="E22" s="307"/>
      <c r="F22" s="1017" t="s">
        <v>789</v>
      </c>
      <c r="G22" s="1017"/>
      <c r="I22" s="1016" t="s">
        <v>218</v>
      </c>
      <c r="J22" s="1016"/>
      <c r="K22" s="1016"/>
      <c r="L22" s="1016"/>
      <c r="M22" s="1016"/>
    </row>
    <row r="23" spans="1:19" s="16" customFormat="1">
      <c r="B23" s="307" t="s">
        <v>1191</v>
      </c>
      <c r="D23" s="307" t="s">
        <v>2064</v>
      </c>
      <c r="F23" s="810" t="s">
        <v>822</v>
      </c>
      <c r="G23" s="810" t="s">
        <v>2555</v>
      </c>
      <c r="I23" s="308" t="s">
        <v>736</v>
      </c>
      <c r="J23" s="309">
        <v>1</v>
      </c>
      <c r="K23" s="309">
        <v>2</v>
      </c>
      <c r="L23" s="309">
        <v>3</v>
      </c>
      <c r="M23" s="309">
        <v>4</v>
      </c>
    </row>
    <row r="24" spans="1:19" s="9" customFormat="1">
      <c r="B24" s="310" t="s">
        <v>2557</v>
      </c>
      <c r="C24" s="311"/>
      <c r="D24" s="1546" t="s">
        <v>2519</v>
      </c>
      <c r="E24" s="1547"/>
      <c r="F24" s="1548"/>
      <c r="G24" s="1548"/>
      <c r="H24" s="312"/>
      <c r="I24" s="1549"/>
      <c r="J24" s="1549"/>
      <c r="K24" s="1549"/>
      <c r="L24" s="1549"/>
      <c r="M24" s="1549"/>
    </row>
    <row r="25" spans="1:19" s="9" customFormat="1">
      <c r="B25" s="313" t="s">
        <v>596</v>
      </c>
      <c r="C25" s="314"/>
      <c r="D25" s="313" t="s">
        <v>2060</v>
      </c>
      <c r="E25" s="314"/>
      <c r="F25" s="1550"/>
      <c r="G25" s="1550"/>
      <c r="H25" s="315"/>
      <c r="I25" s="1551"/>
      <c r="J25" s="1551"/>
      <c r="K25" s="1551"/>
      <c r="L25" s="1552"/>
      <c r="M25" s="1552"/>
    </row>
    <row r="26" spans="1:19" s="9" customFormat="1">
      <c r="B26" s="313" t="s">
        <v>2061</v>
      </c>
      <c r="C26" s="314"/>
      <c r="D26" s="1553" t="s">
        <v>2519</v>
      </c>
      <c r="E26" s="1554"/>
      <c r="F26" s="1550"/>
      <c r="G26" s="1550"/>
      <c r="H26" s="315"/>
      <c r="I26" s="1551"/>
      <c r="J26" s="1551"/>
      <c r="K26" s="1551"/>
      <c r="L26" s="1552"/>
      <c r="M26" s="1552"/>
    </row>
    <row r="27" spans="1:19" s="9" customFormat="1">
      <c r="B27" s="313" t="s">
        <v>2062</v>
      </c>
      <c r="C27" s="314"/>
      <c r="D27" s="1553" t="s">
        <v>2519</v>
      </c>
      <c r="E27" s="1554"/>
      <c r="F27" s="1550"/>
      <c r="G27" s="1550"/>
      <c r="H27" s="315"/>
      <c r="I27" s="1551"/>
      <c r="J27" s="1551"/>
      <c r="K27" s="1551"/>
      <c r="L27" s="1552"/>
      <c r="M27" s="1552"/>
    </row>
    <row r="28" spans="1:19" s="9" customFormat="1">
      <c r="B28" s="313" t="s">
        <v>2063</v>
      </c>
      <c r="C28" s="314"/>
      <c r="D28" s="313" t="s">
        <v>2060</v>
      </c>
      <c r="E28" s="316"/>
      <c r="F28" s="1550"/>
      <c r="G28" s="1550"/>
      <c r="H28" s="315"/>
      <c r="I28" s="1551"/>
      <c r="J28" s="1551"/>
      <c r="K28" s="1551"/>
      <c r="L28" s="1552"/>
      <c r="M28" s="1552"/>
    </row>
    <row r="29" spans="1:19" s="9" customFormat="1">
      <c r="B29" s="313" t="s">
        <v>1805</v>
      </c>
      <c r="C29" s="314"/>
      <c r="D29" s="313" t="s">
        <v>2951</v>
      </c>
      <c r="E29" s="1555" t="s">
        <v>219</v>
      </c>
      <c r="F29" s="1550"/>
      <c r="G29" s="1550"/>
      <c r="H29" s="315"/>
      <c r="I29" s="1551"/>
      <c r="J29" s="1551"/>
      <c r="K29" s="1551"/>
      <c r="L29" s="1552"/>
      <c r="M29" s="1552"/>
    </row>
    <row r="30" spans="1:19" s="9" customFormat="1">
      <c r="B30" s="317" t="s">
        <v>2556</v>
      </c>
      <c r="C30" s="318"/>
      <c r="D30" s="317"/>
      <c r="E30" s="284"/>
      <c r="F30" s="1556"/>
      <c r="G30" s="1556"/>
      <c r="H30" s="319"/>
      <c r="I30" s="1557"/>
      <c r="J30" s="1557"/>
      <c r="K30" s="1557"/>
      <c r="L30" s="1558"/>
      <c r="M30" s="1558"/>
    </row>
    <row r="31" spans="1:19" s="9" customFormat="1">
      <c r="B31" s="307" t="s">
        <v>1423</v>
      </c>
      <c r="D31" s="31"/>
      <c r="E31" s="31"/>
      <c r="F31" s="97"/>
      <c r="G31" s="97"/>
      <c r="I31" s="810">
        <f>SUM(I24:I30)</f>
        <v>0</v>
      </c>
      <c r="J31" s="810">
        <f>SUM(J24:J30)</f>
        <v>0</v>
      </c>
      <c r="K31" s="810">
        <f>SUM(K24:K30)</f>
        <v>0</v>
      </c>
      <c r="L31" s="810">
        <f>SUM(L24:L30)</f>
        <v>0</v>
      </c>
      <c r="M31" s="81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59"/>
      <c r="C36" s="1560"/>
      <c r="D36" s="1560"/>
      <c r="E36" s="1560"/>
      <c r="F36" s="1560"/>
      <c r="G36" s="1560"/>
      <c r="H36" s="1560"/>
      <c r="I36" s="1560"/>
      <c r="J36" s="1560"/>
      <c r="K36" s="1560"/>
      <c r="L36" s="1560"/>
      <c r="M36" s="1561"/>
      <c r="N36" s="31"/>
      <c r="O36" s="826" t="s">
        <v>3595</v>
      </c>
      <c r="P36" s="826"/>
      <c r="Q36" s="826"/>
      <c r="R36" s="826"/>
      <c r="S36" s="826"/>
    </row>
    <row r="37" spans="1:19" s="9" customFormat="1" ht="3" customHeight="1">
      <c r="M37" s="31"/>
      <c r="N37" s="31"/>
      <c r="O37" s="826"/>
      <c r="P37" s="826"/>
      <c r="Q37" s="826"/>
      <c r="R37" s="826"/>
      <c r="S37" s="826"/>
    </row>
    <row r="38" spans="1:19" s="9" customFormat="1" ht="12" customHeight="1">
      <c r="A38" s="16"/>
      <c r="B38" s="16" t="s">
        <v>2550</v>
      </c>
      <c r="M38" s="31"/>
      <c r="N38" s="31"/>
      <c r="O38" s="826"/>
      <c r="P38" s="826"/>
      <c r="Q38" s="826"/>
      <c r="R38" s="826"/>
      <c r="S38" s="826"/>
    </row>
    <row r="39" spans="1:19" s="9" customFormat="1" ht="24.75" customHeight="1">
      <c r="B39" s="1562"/>
      <c r="C39" s="1563"/>
      <c r="D39" s="1563"/>
      <c r="E39" s="1563"/>
      <c r="F39" s="1563"/>
      <c r="G39" s="1563"/>
      <c r="H39" s="1563"/>
      <c r="I39" s="1563"/>
      <c r="J39" s="1563"/>
      <c r="K39" s="1563"/>
      <c r="L39" s="1563"/>
      <c r="M39" s="1564"/>
      <c r="N39" s="31"/>
      <c r="O39" s="826"/>
      <c r="P39" s="826"/>
      <c r="Q39" s="826"/>
      <c r="R39" s="826"/>
      <c r="S39" s="82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2013-06-13T15:51:08Z</cp:lastPrinted>
  <dcterms:created xsi:type="dcterms:W3CDTF">2005-09-15T20:51:37Z</dcterms:created>
  <dcterms:modified xsi:type="dcterms:W3CDTF">2013-10-09T21:46:46Z</dcterms:modified>
</cp:coreProperties>
</file>