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codeName="ThisWorkbook" defaultThemeVersion="124226"/>
  <bookViews>
    <workbookView xWindow="4080" yWindow="45" windowWidth="21105" windowHeight="13275" tabRatio="949" activeTab="2"/>
  </bookViews>
  <sheets>
    <sheet name="Application Tabs Checklist" sheetId="42"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Innov Proj Concept Narr" sheetId="41" r:id="rId14"/>
    <sheet name="Part X - Applicant Cert Ltr" sheetId="43" r:id="rId15"/>
    <sheet name="DCA Underwriting Assumptions" sheetId="24" r:id="rId16"/>
  </sheets>
  <externalReferences>
    <externalReference r:id="rId17"/>
    <externalReference r:id="rId18"/>
  </externalReferences>
  <definedNames>
    <definedName name="\P" localSheetId="14">#REF!</definedName>
    <definedName name="\P">#REF!</definedName>
    <definedName name="_704B" localSheetId="14">#REF!</definedName>
    <definedName name="_704B">#REF!</definedName>
    <definedName name="_704C" localSheetId="14">#REF!</definedName>
    <definedName name="_704C">#REF!</definedName>
    <definedName name="_CPI2" localSheetId="14">#REF!</definedName>
    <definedName name="_CPI2">#REF!</definedName>
    <definedName name="AMORT" localSheetId="14">#REF!</definedName>
    <definedName name="AMORT">#REF!</definedName>
    <definedName name="AMORT1" localSheetId="14">#REF!</definedName>
    <definedName name="AMORT1">#REF!</definedName>
    <definedName name="AMORT2" localSheetId="14">#REF!</definedName>
    <definedName name="AMORT2">#REF!</definedName>
    <definedName name="AMORT2A" localSheetId="14">#REF!</definedName>
    <definedName name="AMORT2A">#REF!</definedName>
    <definedName name="AMORT3" localSheetId="14">#REF!</definedName>
    <definedName name="AMORT3">#REF!</definedName>
    <definedName name="AMORT5" localSheetId="14">#REF!</definedName>
    <definedName name="AMORT5">#REF!</definedName>
    <definedName name="AMORT7" localSheetId="14">#REF!</definedName>
    <definedName name="AMORT7">#REF!</definedName>
    <definedName name="ASSETS" localSheetId="14">#REF!</definedName>
    <definedName name="ASSETS">#REF!</definedName>
    <definedName name="BENEFITS2" localSheetId="14">#REF!</definedName>
    <definedName name="BENEFITS2">#REF!</definedName>
    <definedName name="BENEFITS3" localSheetId="14">#REF!</definedName>
    <definedName name="BENEFITS3">#REF!</definedName>
    <definedName name="colors" localSheetId="14">#REF!</definedName>
    <definedName name="colors">#REF!</definedName>
    <definedName name="CPI" localSheetId="14">#REF!</definedName>
    <definedName name="CPI">#REF!</definedName>
    <definedName name="DEDUCT" localSheetId="14">#REF!</definedName>
    <definedName name="DEDUCT">#REF!</definedName>
    <definedName name="DISCOUNT" localSheetId="14">#REF!</definedName>
    <definedName name="DISCOUNT">#REF!</definedName>
    <definedName name="EXP" localSheetId="14">#REF!</definedName>
    <definedName name="EXP">#REF!</definedName>
    <definedName name="FACADE" localSheetId="14">#REF!</definedName>
    <definedName name="FACADE">#REF!</definedName>
    <definedName name="FINAN" localSheetId="7">[1]TOC:GEN!$J$1:$N$49</definedName>
    <definedName name="FINAN">[2]TOC:GEN!$J$1:$N$49</definedName>
    <definedName name="FLOW" localSheetId="14">#REF!</definedName>
    <definedName name="FLOW">#REF!</definedName>
    <definedName name="FUNDED" localSheetId="14">#REF!</definedName>
    <definedName name="FUNDED">#REF!</definedName>
    <definedName name="IRR" localSheetId="14">#REF!</definedName>
    <definedName name="IRR">#REF!</definedName>
    <definedName name="MaxBldrsOverhead" localSheetId="14">#REF!</definedName>
    <definedName name="MaxBldrsOverhead">#REF!</definedName>
    <definedName name="MaxBldrsProfit" localSheetId="14">#REF!</definedName>
    <definedName name="MaxBldrsProfit">#REF!</definedName>
    <definedName name="MaxGenrlReqmtsPct" localSheetId="14">#REF!</definedName>
    <definedName name="MaxGenrlReqmtsPct">#REF!</definedName>
    <definedName name="MaxIdentIntDevFee" localSheetId="14">#REF!</definedName>
    <definedName name="MaxIdentIntDevFee">#REF!</definedName>
    <definedName name="MaxRehabConstrConting" localSheetId="14">#REF!</definedName>
    <definedName name="MaxRehabConstrConting">#REF!</definedName>
    <definedName name="MINGAIN" localSheetId="14">#REF!</definedName>
    <definedName name="MINGAIN">#REF!</definedName>
    <definedName name="MINGAIN2" localSheetId="14">#REF!</definedName>
    <definedName name="MINGAIN2">#REF!</definedName>
    <definedName name="MinLIHTCMonFeePerUnit" localSheetId="14">#REF!</definedName>
    <definedName name="MinLIHTCMonFeePerUnit">#REF!</definedName>
    <definedName name="MinNewContrReplResrvePerUnit" localSheetId="14">#REF!</definedName>
    <definedName name="MinNewContrReplResrvePerUnit">#REF!</definedName>
    <definedName name="MinOperExpPerUnit" localSheetId="14">#REF!</definedName>
    <definedName name="MinOperExpPerUnit">#REF!</definedName>
    <definedName name="MinRehabConstrConting" localSheetId="14">#REF!</definedName>
    <definedName name="MinRehabConstrConting">#REF!</definedName>
    <definedName name="MinRehabReplResrvePerUnit" localSheetId="14">#REF!</definedName>
    <definedName name="MinRehabReplResrvePerUnit">#REF!</definedName>
    <definedName name="MinRuralOperExp" localSheetId="14">#REF!</definedName>
    <definedName name="MinRuralOperExp">#REF!</definedName>
    <definedName name="MinUSDAMonFee" localSheetId="14">#REF!</definedName>
    <definedName name="MinUSDAMonFee">#REF!</definedName>
    <definedName name="MOIRB3" localSheetId="14">#REF!</definedName>
    <definedName name="MOIRB3">#REF!</definedName>
    <definedName name="MOIRR1" localSheetId="14">#REF!</definedName>
    <definedName name="MOIRR1">#REF!</definedName>
    <definedName name="MOIRR2" localSheetId="14">#REF!</definedName>
    <definedName name="MOIRR2">#REF!</definedName>
    <definedName name="MOIRR3" localSheetId="14">#REF!</definedName>
    <definedName name="MOIRR3">#REF!</definedName>
    <definedName name="MOIRR4" localSheetId="14">#REF!</definedName>
    <definedName name="MOIRR4">#REF!</definedName>
    <definedName name="MOIRR5" localSheetId="14">#REF!</definedName>
    <definedName name="MOIRR5">#REF!</definedName>
    <definedName name="MOIRRB1" localSheetId="14">#REF!</definedName>
    <definedName name="MOIRRB1">#REF!</definedName>
    <definedName name="MOIRRB2" localSheetId="14">#REF!</definedName>
    <definedName name="MOIRRB2">#REF!</definedName>
    <definedName name="MOIRRB3" localSheetId="14">#REF!</definedName>
    <definedName name="MOIRRB3">#REF!</definedName>
    <definedName name="MOIRRB4" localSheetId="14">#REF!</definedName>
    <definedName name="MOIRRB4">#REF!</definedName>
    <definedName name="N" localSheetId="14">#REF!</definedName>
    <definedName name="N">#REF!</definedName>
    <definedName name="NAME" localSheetId="14">#REF!</definedName>
    <definedName name="NAME">#REF!</definedName>
    <definedName name="NewConstrConting" localSheetId="14">#REF!</definedName>
    <definedName name="NewConstrConting">#REF!</definedName>
    <definedName name="NOI" localSheetId="14">#REF!</definedName>
    <definedName name="NOI">#REF!</definedName>
    <definedName name="O" localSheetId="14">#REF!</definedName>
    <definedName name="O">#REF!</definedName>
    <definedName name="_xlnm.Print_Area" localSheetId="0">'Application Tabs Checklist'!$A$1:$L$187</definedName>
    <definedName name="_xlnm.Print_Area" localSheetId="15">'DCA Underwriting Assumptions'!$A$1:$R$69</definedName>
    <definedName name="_xlnm.Print_Area" localSheetId="3">'Part II-Development Team'!$A$1:$S$145</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Information'!$A$1:$P$167</definedName>
    <definedName name="_xlnm.Print_Area" localSheetId="7">'Part IV-Uses of Funds'!$A$1:$T$176</definedName>
    <definedName name="_xlnm.Print_Area" localSheetId="12">'Part IX A-Scoring Criteria'!$A$1:$P$289</definedName>
    <definedName name="_xlnm.Print_Area" localSheetId="11">'Part VIII-Threshold Criteria'!$A$1:$Q$428</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B-Innov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B-Innov Proj Concept Narr'!$1:$5</definedName>
    <definedName name="REALLOC" localSheetId="14">#REF!</definedName>
    <definedName name="REALLOC">#REF!</definedName>
    <definedName name="REALLOC2" localSheetId="14">#REF!</definedName>
    <definedName name="REALLOC2">#REF!</definedName>
    <definedName name="RENT" localSheetId="14">#REF!</definedName>
    <definedName name="RENT">#REF!</definedName>
    <definedName name="RENTUP" localSheetId="14">#REF!</definedName>
    <definedName name="RENTUP">#REF!</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4">#REF!</definedName>
    <definedName name="TAX_CREDIT">#REF!</definedName>
    <definedName name="TAX_CREDIT_3" localSheetId="14">#REF!</definedName>
    <definedName name="TAX_CREDIT_3">#REF!</definedName>
    <definedName name="TAXPREF" localSheetId="14">#REF!</definedName>
    <definedName name="TAXPREF">#REF!</definedName>
    <definedName name="WORKCAP" localSheetId="14">#REF!</definedName>
    <definedName name="WORKCAP">#REF!</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workbook>
</file>

<file path=xl/calcChain.xml><?xml version="1.0" encoding="utf-8"?>
<calcChain xmlns="http://schemas.openxmlformats.org/spreadsheetml/2006/main">
  <c r="J114" i="15"/>
  <c r="J112"/>
  <c r="S118"/>
  <c r="S25"/>
  <c r="G36" l="1"/>
  <c r="G29"/>
  <c r="J25"/>
  <c r="J55" l="1"/>
  <c r="G55"/>
  <c r="M33" i="3" l="1"/>
  <c r="F153" i="36" l="1"/>
  <c r="K15" i="29"/>
  <c r="J15"/>
  <c r="L156" i="11" l="1"/>
  <c r="O63"/>
  <c r="M214"/>
  <c r="P211" s="1"/>
  <c r="K214"/>
  <c r="O211" s="1"/>
  <c r="P38"/>
  <c r="O38"/>
  <c r="B28" i="8" l="1"/>
  <c r="M37" i="3"/>
  <c r="M35"/>
  <c r="M34"/>
  <c r="M32"/>
  <c r="A113" i="11"/>
  <c r="A105"/>
  <c r="A103"/>
  <c r="A102"/>
  <c r="A95"/>
  <c r="A89"/>
  <c r="U61" i="15"/>
  <c r="A61"/>
  <c r="V39"/>
  <c r="O39"/>
  <c r="E36"/>
  <c r="E35"/>
  <c r="S37"/>
  <c r="P37"/>
  <c r="M37"/>
  <c r="J37"/>
  <c r="G37"/>
  <c r="S32"/>
  <c r="P32"/>
  <c r="M32"/>
  <c r="J32"/>
  <c r="G32"/>
  <c r="B25" i="8" l="1"/>
  <c r="B23"/>
  <c r="B29"/>
  <c r="B24"/>
  <c r="B26"/>
  <c r="A3" i="6"/>
  <c r="H3" s="1"/>
  <c r="M288" i="11"/>
  <c r="S337" i="6"/>
  <c r="O264" i="11" l="1"/>
  <c r="O254"/>
  <c r="O250"/>
  <c r="P264"/>
  <c r="P252" l="1"/>
  <c r="P260"/>
  <c r="P267"/>
  <c r="O252"/>
  <c r="O260"/>
  <c r="O267"/>
  <c r="P250"/>
  <c r="P254"/>
  <c r="M100"/>
  <c r="M99"/>
  <c r="M98"/>
  <c r="M97"/>
  <c r="M106"/>
  <c r="M108"/>
  <c r="M109"/>
  <c r="M110"/>
  <c r="M111"/>
  <c r="M112"/>
  <c r="M107"/>
  <c r="O86"/>
  <c r="L264"/>
  <c r="L234"/>
  <c r="P231"/>
  <c r="O231"/>
  <c r="A4" i="41"/>
  <c r="A2"/>
  <c r="M68" i="11"/>
  <c r="K60" i="6"/>
  <c r="L52" l="1"/>
  <c r="L51"/>
  <c r="L50"/>
  <c r="L49"/>
  <c r="L48"/>
  <c r="G52"/>
  <c r="G51"/>
  <c r="G50"/>
  <c r="G49"/>
  <c r="G48"/>
  <c r="M96" i="11"/>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P259" i="11" l="1"/>
  <c r="O259"/>
  <c r="I204"/>
  <c r="O162" i="15"/>
  <c r="B97" i="8"/>
  <c r="B96"/>
  <c r="B68"/>
  <c r="B67"/>
  <c r="K97"/>
  <c r="J97"/>
  <c r="I97"/>
  <c r="H97"/>
  <c r="G97"/>
  <c r="F97"/>
  <c r="E97"/>
  <c r="D97"/>
  <c r="C97"/>
  <c r="K96"/>
  <c r="J96"/>
  <c r="I96"/>
  <c r="H96"/>
  <c r="G96"/>
  <c r="F96"/>
  <c r="E96"/>
  <c r="D96"/>
  <c r="C96"/>
  <c r="C67"/>
  <c r="D67"/>
  <c r="E67"/>
  <c r="F67"/>
  <c r="G67"/>
  <c r="H67"/>
  <c r="I67"/>
  <c r="J67"/>
  <c r="C68"/>
  <c r="D68"/>
  <c r="E68"/>
  <c r="F68"/>
  <c r="G68"/>
  <c r="H68"/>
  <c r="I68"/>
  <c r="J68"/>
  <c r="K68"/>
  <c r="K67"/>
  <c r="D38"/>
  <c r="E38"/>
  <c r="F38"/>
  <c r="G38"/>
  <c r="H38"/>
  <c r="I38"/>
  <c r="J38"/>
  <c r="K38"/>
  <c r="D39"/>
  <c r="E39"/>
  <c r="F39"/>
  <c r="G39"/>
  <c r="H39"/>
  <c r="I39"/>
  <c r="J39"/>
  <c r="K39"/>
  <c r="C39"/>
  <c r="C38"/>
  <c r="B40"/>
  <c r="B39"/>
  <c r="B38"/>
  <c r="B37"/>
  <c r="B36"/>
  <c r="V135" i="15"/>
  <c r="N169" i="11"/>
  <c r="N164"/>
  <c r="N136"/>
  <c r="N56"/>
  <c r="P47"/>
  <c r="O47"/>
  <c r="M6" l="1"/>
  <c r="L263"/>
  <c r="A250"/>
  <c r="P240"/>
  <c r="O240"/>
  <c r="K52" i="6" l="1"/>
  <c r="K49"/>
  <c r="K51"/>
  <c r="K48"/>
  <c r="K50"/>
  <c r="O249" i="11"/>
  <c r="P249"/>
  <c r="L204"/>
  <c r="M50" i="6" l="1"/>
  <c r="N50"/>
  <c r="M49"/>
  <c r="N49"/>
  <c r="M51"/>
  <c r="N51"/>
  <c r="N52"/>
  <c r="M52"/>
  <c r="N48"/>
  <c r="K53"/>
  <c r="M48"/>
  <c r="P248" i="11"/>
  <c r="O248"/>
  <c r="O128"/>
  <c r="M73"/>
  <c r="M72"/>
  <c r="A71"/>
  <c r="M69"/>
  <c r="M67"/>
  <c r="A66"/>
  <c r="L50"/>
  <c r="M11" i="8"/>
  <c r="M3"/>
  <c r="T93" i="36"/>
  <c r="T83"/>
  <c r="T71"/>
  <c r="T67"/>
  <c r="T63"/>
  <c r="T128"/>
  <c r="T118"/>
  <c r="T108"/>
  <c r="T138"/>
  <c r="T133"/>
  <c r="T113"/>
  <c r="T123"/>
  <c r="T106"/>
  <c r="T104"/>
  <c r="T53"/>
  <c r="T3"/>
  <c r="V145" i="15"/>
  <c r="V124"/>
  <c r="V116"/>
  <c r="V94"/>
  <c r="V111"/>
  <c r="V105"/>
  <c r="V83"/>
  <c r="V77"/>
  <c r="V64"/>
  <c r="V51"/>
  <c r="V45"/>
  <c r="V33"/>
  <c r="V28"/>
  <c r="V24"/>
  <c r="V18"/>
  <c r="V7"/>
  <c r="V158"/>
  <c r="V134"/>
  <c r="V92"/>
  <c r="V49"/>
  <c r="V5"/>
  <c r="S29" i="3"/>
  <c r="S11"/>
  <c r="S3"/>
  <c r="A33" i="8"/>
  <c r="A32"/>
  <c r="A31"/>
  <c r="K84"/>
  <c r="J84"/>
  <c r="I84"/>
  <c r="H84"/>
  <c r="G84"/>
  <c r="F84"/>
  <c r="E84"/>
  <c r="D84"/>
  <c r="C84"/>
  <c r="B84"/>
  <c r="K83"/>
  <c r="J83"/>
  <c r="I83"/>
  <c r="H83"/>
  <c r="G83"/>
  <c r="F83"/>
  <c r="E83"/>
  <c r="D83"/>
  <c r="C83"/>
  <c r="B83"/>
  <c r="K82"/>
  <c r="J82"/>
  <c r="I82"/>
  <c r="H82"/>
  <c r="G82"/>
  <c r="F82"/>
  <c r="E82"/>
  <c r="D82"/>
  <c r="C82"/>
  <c r="B82"/>
  <c r="K55"/>
  <c r="J55"/>
  <c r="I55"/>
  <c r="H55"/>
  <c r="G55"/>
  <c r="F55"/>
  <c r="E55"/>
  <c r="D55"/>
  <c r="C55"/>
  <c r="B55"/>
  <c r="K54"/>
  <c r="J54"/>
  <c r="I54"/>
  <c r="H54"/>
  <c r="G54"/>
  <c r="F54"/>
  <c r="E54"/>
  <c r="D54"/>
  <c r="C54"/>
  <c r="B54"/>
  <c r="K53"/>
  <c r="J53"/>
  <c r="I53"/>
  <c r="H53"/>
  <c r="G53"/>
  <c r="F53"/>
  <c r="E53"/>
  <c r="D53"/>
  <c r="C53"/>
  <c r="B53"/>
  <c r="K26"/>
  <c r="J26"/>
  <c r="I26"/>
  <c r="H26"/>
  <c r="G26"/>
  <c r="F26"/>
  <c r="E26"/>
  <c r="D26"/>
  <c r="C26"/>
  <c r="K25"/>
  <c r="J25"/>
  <c r="I25"/>
  <c r="H25"/>
  <c r="G25"/>
  <c r="F25"/>
  <c r="E25"/>
  <c r="D25"/>
  <c r="C25"/>
  <c r="K24"/>
  <c r="J24"/>
  <c r="I24"/>
  <c r="H24"/>
  <c r="G24"/>
  <c r="F24"/>
  <c r="E24"/>
  <c r="D24"/>
  <c r="C24"/>
  <c r="C37" l="1"/>
  <c r="N53" i="6"/>
  <c r="Q16" i="36"/>
  <c r="Q17"/>
  <c r="Q18"/>
  <c r="Q19"/>
  <c r="Q20"/>
  <c r="Q21"/>
  <c r="Q22"/>
  <c r="Q23"/>
  <c r="Q24"/>
  <c r="Q25"/>
  <c r="Q26"/>
  <c r="Q27"/>
  <c r="Q28"/>
  <c r="Q29"/>
  <c r="Q30"/>
  <c r="Q31"/>
  <c r="Q32"/>
  <c r="Q33"/>
  <c r="Q34"/>
  <c r="Q35"/>
  <c r="Q36"/>
  <c r="Q37"/>
  <c r="Q38"/>
  <c r="Q39"/>
  <c r="Q40"/>
  <c r="Q41"/>
  <c r="Q42"/>
  <c r="Q43"/>
  <c r="Q44"/>
  <c r="Q45"/>
  <c r="Q46"/>
  <c r="Q47"/>
  <c r="O45" i="15"/>
  <c r="M17"/>
  <c r="O8" i="11"/>
  <c r="O121"/>
  <c r="O148"/>
  <c r="O279"/>
  <c r="G115" i="15"/>
  <c r="J27" i="7"/>
  <c r="I17" i="29"/>
  <c r="J123" i="15"/>
  <c r="J17"/>
  <c r="J27"/>
  <c r="J63"/>
  <c r="J76"/>
  <c r="J82"/>
  <c r="J115"/>
  <c r="J127"/>
  <c r="J143"/>
  <c r="J147"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3" i="15"/>
  <c r="M23"/>
  <c r="M27"/>
  <c r="M63"/>
  <c r="M76"/>
  <c r="M82"/>
  <c r="M115"/>
  <c r="M127"/>
  <c r="P123"/>
  <c r="P17"/>
  <c r="P27"/>
  <c r="P63"/>
  <c r="P76"/>
  <c r="P82"/>
  <c r="P115"/>
  <c r="P127"/>
  <c r="P143"/>
  <c r="P147"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7" i="15"/>
  <c r="G23"/>
  <c r="G27"/>
  <c r="G63"/>
  <c r="G76"/>
  <c r="G82"/>
  <c r="G90"/>
  <c r="G110"/>
  <c r="G127"/>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5" i="15"/>
  <c r="E34"/>
  <c r="E33" s="1"/>
  <c r="S17"/>
  <c r="S23"/>
  <c r="S27"/>
  <c r="S63"/>
  <c r="S76"/>
  <c r="S82"/>
  <c r="S90"/>
  <c r="S110"/>
  <c r="S115"/>
  <c r="S127"/>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36" i="11"/>
  <c r="L122"/>
  <c r="R141" i="18"/>
  <c r="L26" i="7"/>
  <c r="P8" i="11"/>
  <c r="P121"/>
  <c r="P148"/>
  <c r="P279"/>
  <c r="A2" i="37"/>
  <c r="R240" i="11"/>
  <c r="L232"/>
  <c r="L48"/>
  <c r="L49"/>
  <c r="P15" i="36"/>
  <c r="P16"/>
  <c r="P17"/>
  <c r="P18"/>
  <c r="P19"/>
  <c r="P20"/>
  <c r="P21"/>
  <c r="P22"/>
  <c r="P23"/>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R211" i="11"/>
  <c r="L169"/>
  <c r="R150"/>
  <c r="R149"/>
  <c r="L220"/>
  <c r="G122"/>
  <c r="M36" i="3"/>
  <c r="C29" i="8"/>
  <c r="D29"/>
  <c r="E29"/>
  <c r="F29"/>
  <c r="G29"/>
  <c r="H29"/>
  <c r="I29"/>
  <c r="J29"/>
  <c r="K29"/>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6" i="15"/>
  <c r="A122"/>
  <c r="A109"/>
  <c r="A103"/>
  <c r="A102"/>
  <c r="A89"/>
  <c r="A75"/>
  <c r="A62"/>
  <c r="A15"/>
  <c r="A16"/>
  <c r="A14"/>
  <c r="U14"/>
  <c r="U126"/>
  <c r="U122"/>
  <c r="U109"/>
  <c r="U103"/>
  <c r="U102"/>
  <c r="U89"/>
  <c r="U75"/>
  <c r="U62"/>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82"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5" i="7"/>
  <c r="M44"/>
  <c r="D10" i="25"/>
  <c r="D5" i="26"/>
  <c r="D11" s="1"/>
  <c r="D12" s="1"/>
  <c r="E63"/>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s="1"/>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c r="O121" i="36"/>
  <c r="J46" i="8" s="1"/>
  <c r="N121" i="36"/>
  <c r="I46" i="8" s="1"/>
  <c r="M121" i="36"/>
  <c r="H46" i="8" s="1"/>
  <c r="L121" i="36"/>
  <c r="G46" i="8" s="1"/>
  <c r="K121" i="36"/>
  <c r="F46" i="8" s="1"/>
  <c r="J121" i="36"/>
  <c r="E46" i="8" s="1"/>
  <c r="I121" i="36"/>
  <c r="D46" i="8" s="1"/>
  <c r="H121" i="36"/>
  <c r="C46" i="8"/>
  <c r="G111" i="36"/>
  <c r="B17" i="8" s="1"/>
  <c r="H111" i="36"/>
  <c r="C17" i="8" s="1"/>
  <c r="I111" i="36"/>
  <c r="D17" i="8" s="1"/>
  <c r="J111" i="36"/>
  <c r="E17" i="8" s="1"/>
  <c r="K111" i="36"/>
  <c r="F17" i="8" s="1"/>
  <c r="L111" i="36"/>
  <c r="G17" i="8" s="1"/>
  <c r="M111" i="36"/>
  <c r="H17" i="8" s="1"/>
  <c r="N111" i="36"/>
  <c r="I17" i="8" s="1"/>
  <c r="O111" i="36"/>
  <c r="J17" i="8" s="1"/>
  <c r="P111" i="36"/>
  <c r="K17" i="8" s="1"/>
  <c r="L180" i="11"/>
  <c r="P16"/>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P152" i="7"/>
  <c r="H59"/>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V10"/>
  <c r="O7" i="15"/>
  <c r="O18"/>
  <c r="O24"/>
  <c r="O28"/>
  <c r="O33"/>
  <c r="O51"/>
  <c r="O64"/>
  <c r="O77"/>
  <c r="O83"/>
  <c r="O94"/>
  <c r="O105"/>
  <c r="O111"/>
  <c r="O116"/>
  <c r="O124"/>
  <c r="J163"/>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D37" i="8" l="1"/>
  <c r="C40"/>
  <c r="FW48" i="36"/>
  <c r="J85" s="1"/>
  <c r="A82"/>
  <c r="C115" i="15"/>
  <c r="A1" i="36"/>
  <c r="T1" s="1"/>
  <c r="A1" i="7"/>
  <c r="A1" i="8"/>
  <c r="M1" s="1"/>
  <c r="A1" i="18"/>
  <c r="A1" i="6"/>
  <c r="A1" i="3"/>
  <c r="S1" s="1"/>
  <c r="A1" i="11"/>
  <c r="A1" i="15"/>
  <c r="V1" s="1"/>
  <c r="A1" i="42"/>
  <c r="AQ48" i="36"/>
  <c r="AU48"/>
  <c r="H65" s="1"/>
  <c r="AY48"/>
  <c r="L65" s="1"/>
  <c r="BC48"/>
  <c r="K64" s="1"/>
  <c r="AK48"/>
  <c r="H59" s="1"/>
  <c r="AZ48"/>
  <c r="H64" s="1"/>
  <c r="H66" s="1"/>
  <c r="F36" i="15"/>
  <c r="B43"/>
  <c r="P129"/>
  <c r="P146" s="1"/>
  <c r="P148" s="1"/>
  <c r="P150" s="1"/>
  <c r="M129"/>
  <c r="M146" s="1"/>
  <c r="M148" s="1"/>
  <c r="M150" s="1"/>
  <c r="J129"/>
  <c r="J146" s="1"/>
  <c r="J148" s="1"/>
  <c r="J150"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AX48"/>
  <c r="K65" s="1"/>
  <c r="BB48"/>
  <c r="J64" s="1"/>
  <c r="BG48"/>
  <c r="AN48"/>
  <c r="K59" s="1"/>
  <c r="AE48"/>
  <c r="L57" s="1"/>
  <c r="AC48"/>
  <c r="J57" s="1"/>
  <c r="AA48"/>
  <c r="H57" s="1"/>
  <c r="FY48"/>
  <c r="L85" s="1"/>
  <c r="FB48"/>
  <c r="I89" s="1"/>
  <c r="FH48"/>
  <c r="J92" s="1"/>
  <c r="GH48"/>
  <c r="K87" s="1"/>
  <c r="AT48"/>
  <c r="AP48"/>
  <c r="GF48"/>
  <c r="I87" s="1"/>
  <c r="HF48"/>
  <c r="AR48"/>
  <c r="F112" i="15"/>
  <c r="F114"/>
  <c r="F113"/>
  <c r="D37" i="3"/>
  <c r="GZ48" i="36"/>
  <c r="HL48"/>
  <c r="A3" i="41"/>
  <c r="F34" i="15"/>
  <c r="L279"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5" i="15"/>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O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C28" i="8"/>
  <c r="B58"/>
  <c r="C58"/>
  <c r="D58"/>
  <c r="E58"/>
  <c r="F58"/>
  <c r="G58"/>
  <c r="H58"/>
  <c r="I58"/>
  <c r="J58"/>
  <c r="K58"/>
  <c r="B87"/>
  <c r="C87"/>
  <c r="D87"/>
  <c r="E87"/>
  <c r="F87"/>
  <c r="G87"/>
  <c r="H87"/>
  <c r="I87"/>
  <c r="J87"/>
  <c r="K87"/>
  <c r="A58" i="26"/>
  <c r="G58"/>
  <c r="A1" i="25"/>
  <c r="J28" i="7"/>
  <c r="I3" i="29"/>
  <c r="A50" i="25"/>
  <c r="A1" i="29"/>
  <c r="A1" i="26"/>
  <c r="A3" i="37"/>
  <c r="I28" i="7"/>
  <c r="CR48" i="36"/>
  <c r="L97" s="1"/>
  <c r="CQ48"/>
  <c r="K97" s="1"/>
  <c r="CP48"/>
  <c r="J97" s="1"/>
  <c r="CO48"/>
  <c r="I97" s="1"/>
  <c r="CN48"/>
  <c r="H97" s="1"/>
  <c r="CH48"/>
  <c r="L95" s="1"/>
  <c r="CC48"/>
  <c r="L94" s="1"/>
  <c r="CG48"/>
  <c r="K95" s="1"/>
  <c r="CB48"/>
  <c r="K94" s="1"/>
  <c r="CF48"/>
  <c r="J95" s="1"/>
  <c r="CA48"/>
  <c r="J94" s="1"/>
  <c r="CE48"/>
  <c r="I95" s="1"/>
  <c r="BZ48"/>
  <c r="I94" s="1"/>
  <c r="CD48"/>
  <c r="H95" s="1"/>
  <c r="E37" i="8" l="1"/>
  <c r="D40"/>
  <c r="I58" i="36"/>
  <c r="L66"/>
  <c r="K66"/>
  <c r="H58"/>
  <c r="H60" s="1"/>
  <c r="H62" s="1"/>
  <c r="F48" i="6" s="1"/>
  <c r="I66" i="36"/>
  <c r="J58"/>
  <c r="J60" s="1"/>
  <c r="J62" s="1"/>
  <c r="F50" i="6" s="1"/>
  <c r="L58" i="36"/>
  <c r="L60" s="1"/>
  <c r="L62" s="1"/>
  <c r="F52" i="6" s="1"/>
  <c r="M65" i="36"/>
  <c r="J66"/>
  <c r="M59"/>
  <c r="K60"/>
  <c r="K62" s="1"/>
  <c r="F51" i="6" s="1"/>
  <c r="I60" i="36"/>
  <c r="I62" s="1"/>
  <c r="F49" i="6" s="1"/>
  <c r="M87" i="36"/>
  <c r="M56"/>
  <c r="M64"/>
  <c r="M57"/>
  <c r="K77"/>
  <c r="M89"/>
  <c r="K80"/>
  <c r="M90"/>
  <c r="Q90" s="1"/>
  <c r="L70"/>
  <c r="I77"/>
  <c r="M61"/>
  <c r="M99"/>
  <c r="M91"/>
  <c r="Q91" s="1"/>
  <c r="I84"/>
  <c r="H70"/>
  <c r="M72"/>
  <c r="Q72" s="1"/>
  <c r="M69"/>
  <c r="Q69" s="1"/>
  <c r="M79"/>
  <c r="Q79" s="1"/>
  <c r="M75"/>
  <c r="Q75" s="1"/>
  <c r="L77"/>
  <c r="J70"/>
  <c r="M78"/>
  <c r="Q78" s="1"/>
  <c r="K70"/>
  <c r="F46" i="15"/>
  <c r="H74" i="36"/>
  <c r="M73"/>
  <c r="Q73" s="1"/>
  <c r="J80"/>
  <c r="I80"/>
  <c r="M76"/>
  <c r="Q76" s="1"/>
  <c r="L80"/>
  <c r="J77"/>
  <c r="I70"/>
  <c r="B14" i="8"/>
  <c r="H80" i="36"/>
  <c r="K84"/>
  <c r="M68"/>
  <c r="Q68" s="1"/>
  <c r="H77"/>
  <c r="I74"/>
  <c r="M85"/>
  <c r="J84"/>
  <c r="H84"/>
  <c r="L84"/>
  <c r="M88"/>
  <c r="M86"/>
  <c r="J74"/>
  <c r="L74"/>
  <c r="K74"/>
  <c r="J96"/>
  <c r="J98" s="1"/>
  <c r="J100" s="1"/>
  <c r="K96"/>
  <c r="K98" s="1"/>
  <c r="K100" s="1"/>
  <c r="L96"/>
  <c r="L98" s="1"/>
  <c r="L100" s="1"/>
  <c r="M97"/>
  <c r="M92"/>
  <c r="Q92" s="1"/>
  <c r="D28" i="8"/>
  <c r="N6" i="36"/>
  <c r="P6"/>
  <c r="M95"/>
  <c r="Q95" s="1"/>
  <c r="H96"/>
  <c r="I96"/>
  <c r="I98" s="1"/>
  <c r="I100" s="1"/>
  <c r="M94"/>
  <c r="Q94" s="1"/>
  <c r="Q10" l="1"/>
  <c r="Q12"/>
  <c r="Q15"/>
  <c r="Q14"/>
  <c r="Q13"/>
  <c r="Q11"/>
  <c r="K14" i="8"/>
  <c r="F37"/>
  <c r="E40"/>
  <c r="Q61" i="36"/>
  <c r="Q64"/>
  <c r="Q97"/>
  <c r="Q89"/>
  <c r="Q56"/>
  <c r="Q59"/>
  <c r="Q99"/>
  <c r="Q65"/>
  <c r="I50" i="6"/>
  <c r="M66" i="36"/>
  <c r="Q66" s="1"/>
  <c r="I50" i="7"/>
  <c r="H51"/>
  <c r="M58" i="36"/>
  <c r="H50" i="6"/>
  <c r="H52" i="7"/>
  <c r="I51"/>
  <c r="I52" i="6"/>
  <c r="H52"/>
  <c r="Q57" i="36"/>
  <c r="H50" i="7"/>
  <c r="H49" s="1"/>
  <c r="P52"/>
  <c r="M60" i="36"/>
  <c r="F72" i="8"/>
  <c r="I43"/>
  <c r="M70" i="36"/>
  <c r="Q70" s="1"/>
  <c r="H48" i="6"/>
  <c r="I48"/>
  <c r="F53"/>
  <c r="H51"/>
  <c r="I51"/>
  <c r="H54" i="7"/>
  <c r="M77" i="36"/>
  <c r="M84"/>
  <c r="Q84" s="1"/>
  <c r="M80"/>
  <c r="H49" i="6"/>
  <c r="I49"/>
  <c r="D72" i="8"/>
  <c r="D14"/>
  <c r="B72"/>
  <c r="J43"/>
  <c r="H14"/>
  <c r="E72"/>
  <c r="F43"/>
  <c r="B43"/>
  <c r="G14"/>
  <c r="E43"/>
  <c r="I72"/>
  <c r="C14"/>
  <c r="J72"/>
  <c r="J14"/>
  <c r="C43"/>
  <c r="K43"/>
  <c r="G72"/>
  <c r="B15"/>
  <c r="K73" s="1"/>
  <c r="E14"/>
  <c r="H43"/>
  <c r="H72"/>
  <c r="P50" i="7"/>
  <c r="F14" i="8"/>
  <c r="G43"/>
  <c r="C72"/>
  <c r="K72"/>
  <c r="I14"/>
  <c r="D43"/>
  <c r="M74" i="36"/>
  <c r="M62"/>
  <c r="R12" i="24"/>
  <c r="R11"/>
  <c r="E28" i="8"/>
  <c r="M96" i="36"/>
  <c r="H98"/>
  <c r="G37" i="8" l="1"/>
  <c r="F40"/>
  <c r="F45" i="7"/>
  <c r="E42" i="15"/>
  <c r="Q58" i="36"/>
  <c r="I164" i="11"/>
  <c r="J159" i="36"/>
  <c r="J158"/>
  <c r="J157"/>
  <c r="F46" i="7"/>
  <c r="K164" i="11"/>
  <c r="H53" i="7"/>
  <c r="Q60" i="36"/>
  <c r="P138" i="7"/>
  <c r="L32" i="11"/>
  <c r="P137" i="7"/>
  <c r="L31" i="11"/>
  <c r="Q77" i="36"/>
  <c r="Q80"/>
  <c r="H55" i="7"/>
  <c r="I53" i="6"/>
  <c r="P48" s="1"/>
  <c r="C44" i="8"/>
  <c r="C45" s="1"/>
  <c r="G15"/>
  <c r="G16" s="1"/>
  <c r="J73"/>
  <c r="J74" s="1"/>
  <c r="I73"/>
  <c r="I74" s="1"/>
  <c r="F73"/>
  <c r="F74" s="1"/>
  <c r="E73"/>
  <c r="E74" s="1"/>
  <c r="D44"/>
  <c r="D45" s="1"/>
  <c r="E44"/>
  <c r="E45" s="1"/>
  <c r="I15"/>
  <c r="I16" s="1"/>
  <c r="J44"/>
  <c r="J45" s="1"/>
  <c r="D15"/>
  <c r="D16" s="1"/>
  <c r="B44"/>
  <c r="B45" s="1"/>
  <c r="K15"/>
  <c r="K16" s="1"/>
  <c r="F44"/>
  <c r="F45" s="1"/>
  <c r="J15"/>
  <c r="J16" s="1"/>
  <c r="K44"/>
  <c r="K45" s="1"/>
  <c r="B73"/>
  <c r="B74" s="1"/>
  <c r="C15"/>
  <c r="C16" s="1"/>
  <c r="D73"/>
  <c r="D74" s="1"/>
  <c r="H15"/>
  <c r="H16" s="1"/>
  <c r="I44"/>
  <c r="I45" s="1"/>
  <c r="G73"/>
  <c r="G74" s="1"/>
  <c r="E99" i="15"/>
  <c r="B16" i="8"/>
  <c r="B20" s="1"/>
  <c r="E15"/>
  <c r="E16" s="1"/>
  <c r="H44"/>
  <c r="H45" s="1"/>
  <c r="H73"/>
  <c r="H74" s="1"/>
  <c r="F15"/>
  <c r="F16" s="1"/>
  <c r="G44"/>
  <c r="G45" s="1"/>
  <c r="C73"/>
  <c r="C74" s="1"/>
  <c r="F44" i="7"/>
  <c r="Q74" i="36"/>
  <c r="K74" i="8"/>
  <c r="K78" s="1"/>
  <c r="P71" i="7"/>
  <c r="P69"/>
  <c r="Q62" i="36"/>
  <c r="P67" i="7"/>
  <c r="F121" i="15"/>
  <c r="P160" i="36"/>
  <c r="G42" i="15"/>
  <c r="F28" i="8"/>
  <c r="M98" i="36"/>
  <c r="H100"/>
  <c r="M100" s="1"/>
  <c r="P49" i="7"/>
  <c r="P51" s="1"/>
  <c r="P53" s="1"/>
  <c r="P58" s="1"/>
  <c r="Q96" i="36"/>
  <c r="J78" i="8" l="1"/>
  <c r="B78"/>
  <c r="I78"/>
  <c r="K20"/>
  <c r="E78"/>
  <c r="I20"/>
  <c r="H20"/>
  <c r="J20"/>
  <c r="C20"/>
  <c r="H78"/>
  <c r="E20"/>
  <c r="J49"/>
  <c r="H49"/>
  <c r="K7"/>
  <c r="G20"/>
  <c r="C78"/>
  <c r="E49"/>
  <c r="F49"/>
  <c r="F20"/>
  <c r="B49"/>
  <c r="G49"/>
  <c r="P147" i="36"/>
  <c r="D49" i="8"/>
  <c r="D78"/>
  <c r="G78"/>
  <c r="D20"/>
  <c r="F78"/>
  <c r="C49"/>
  <c r="I49"/>
  <c r="K49"/>
  <c r="H37"/>
  <c r="G40"/>
  <c r="J151" i="15"/>
  <c r="J152" s="1"/>
  <c r="J154" s="1"/>
  <c r="P30" i="11"/>
  <c r="O30"/>
  <c r="J159" i="15"/>
  <c r="Q98" i="36"/>
  <c r="E43" i="15"/>
  <c r="K5" i="8"/>
  <c r="P151" i="15"/>
  <c r="P152" s="1"/>
  <c r="P154" s="1"/>
  <c r="M151"/>
  <c r="M152" s="1"/>
  <c r="M154" s="1"/>
  <c r="B21" i="8"/>
  <c r="G28"/>
  <c r="Q100" i="36"/>
  <c r="G43" i="15"/>
  <c r="P157" i="36" l="1"/>
  <c r="F118" i="15" s="1"/>
  <c r="N149" i="36"/>
  <c r="N148"/>
  <c r="I37" i="8"/>
  <c r="H40"/>
  <c r="L30" i="11"/>
  <c r="R30"/>
  <c r="Q53" i="36"/>
  <c r="J155" i="15"/>
  <c r="B79" i="8"/>
  <c r="J79"/>
  <c r="H79"/>
  <c r="F79"/>
  <c r="D79"/>
  <c r="C79"/>
  <c r="K50"/>
  <c r="I50"/>
  <c r="G50"/>
  <c r="E50"/>
  <c r="C50"/>
  <c r="D21"/>
  <c r="F21"/>
  <c r="H21"/>
  <c r="J21"/>
  <c r="K79"/>
  <c r="G79"/>
  <c r="J50"/>
  <c r="F50"/>
  <c r="E21"/>
  <c r="I79"/>
  <c r="E79"/>
  <c r="B50"/>
  <c r="H50"/>
  <c r="D50"/>
  <c r="C21"/>
  <c r="G21"/>
  <c r="I21"/>
  <c r="K21"/>
  <c r="H28"/>
  <c r="F119" i="15" l="1"/>
  <c r="G119" s="1"/>
  <c r="B19" i="8"/>
  <c r="N157" i="36"/>
  <c r="P165"/>
  <c r="J37" i="8"/>
  <c r="I40"/>
  <c r="G159" i="15"/>
  <c r="I28" i="8"/>
  <c r="S119" i="15" l="1"/>
  <c r="G123"/>
  <c r="I48" i="8"/>
  <c r="C48"/>
  <c r="D77"/>
  <c r="F48"/>
  <c r="B48"/>
  <c r="K48"/>
  <c r="K77"/>
  <c r="E48"/>
  <c r="H77"/>
  <c r="E19"/>
  <c r="K19"/>
  <c r="G48"/>
  <c r="H48"/>
  <c r="E77"/>
  <c r="F77"/>
  <c r="H19"/>
  <c r="G19"/>
  <c r="J19"/>
  <c r="B77"/>
  <c r="D19"/>
  <c r="C19"/>
  <c r="I77"/>
  <c r="J48"/>
  <c r="C77"/>
  <c r="F19"/>
  <c r="J77"/>
  <c r="G77"/>
  <c r="D48"/>
  <c r="I19"/>
  <c r="B35"/>
  <c r="B22"/>
  <c r="K37"/>
  <c r="J40"/>
  <c r="J28"/>
  <c r="S123" i="15" l="1"/>
  <c r="F35" i="8"/>
  <c r="F22"/>
  <c r="G35"/>
  <c r="G22"/>
  <c r="H93"/>
  <c r="H80"/>
  <c r="D64"/>
  <c r="D51"/>
  <c r="C80"/>
  <c r="C93"/>
  <c r="D35"/>
  <c r="D22"/>
  <c r="H35"/>
  <c r="H22"/>
  <c r="G64"/>
  <c r="G51"/>
  <c r="E51"/>
  <c r="E64"/>
  <c r="F64"/>
  <c r="F51"/>
  <c r="G93"/>
  <c r="G80"/>
  <c r="J51"/>
  <c r="J64"/>
  <c r="B80"/>
  <c r="B93"/>
  <c r="F93"/>
  <c r="F80"/>
  <c r="K35"/>
  <c r="K22"/>
  <c r="K80"/>
  <c r="K93"/>
  <c r="D93"/>
  <c r="D80"/>
  <c r="J80"/>
  <c r="J93"/>
  <c r="I93"/>
  <c r="I80"/>
  <c r="J35"/>
  <c r="J22"/>
  <c r="E80"/>
  <c r="E93"/>
  <c r="E22"/>
  <c r="E35"/>
  <c r="K64"/>
  <c r="K51"/>
  <c r="C64"/>
  <c r="C51"/>
  <c r="I35"/>
  <c r="I22"/>
  <c r="C22"/>
  <c r="C35"/>
  <c r="H64"/>
  <c r="H51"/>
  <c r="B64"/>
  <c r="B51"/>
  <c r="I64"/>
  <c r="I51"/>
  <c r="B66"/>
  <c r="K40"/>
  <c r="K28"/>
  <c r="C66" l="1"/>
  <c r="B69"/>
  <c r="B57"/>
  <c r="D66" l="1"/>
  <c r="C69"/>
  <c r="C57"/>
  <c r="E66" l="1"/>
  <c r="D69"/>
  <c r="D57"/>
  <c r="F66" l="1"/>
  <c r="E69"/>
  <c r="E57"/>
  <c r="G66" l="1"/>
  <c r="F69"/>
  <c r="F57"/>
  <c r="H66" l="1"/>
  <c r="G69"/>
  <c r="G57"/>
  <c r="I66" l="1"/>
  <c r="H69"/>
  <c r="H57"/>
  <c r="J66" l="1"/>
  <c r="I69"/>
  <c r="I57"/>
  <c r="K66" l="1"/>
  <c r="J69"/>
  <c r="J57"/>
  <c r="B95" l="1"/>
  <c r="K69"/>
  <c r="K57"/>
  <c r="C95" l="1"/>
  <c r="B98"/>
  <c r="B86"/>
  <c r="D95" l="1"/>
  <c r="C98"/>
  <c r="C86"/>
  <c r="E95" l="1"/>
  <c r="D98"/>
  <c r="D86"/>
  <c r="F95" l="1"/>
  <c r="E98"/>
  <c r="E86"/>
  <c r="G95" l="1"/>
  <c r="F98"/>
  <c r="F86"/>
  <c r="H95" l="1"/>
  <c r="G98"/>
  <c r="G86"/>
  <c r="I95" l="1"/>
  <c r="H98"/>
  <c r="H86"/>
  <c r="J95" l="1"/>
  <c r="I98"/>
  <c r="I86"/>
  <c r="K95" l="1"/>
  <c r="J98"/>
  <c r="J86"/>
  <c r="K98" l="1"/>
  <c r="K86"/>
  <c r="B30" l="1"/>
  <c r="C23"/>
  <c r="D23"/>
  <c r="D32" s="1"/>
  <c r="E23"/>
  <c r="F23"/>
  <c r="G23"/>
  <c r="H23"/>
  <c r="H30" s="1"/>
  <c r="I23"/>
  <c r="J23"/>
  <c r="K23"/>
  <c r="D30"/>
  <c r="E30"/>
  <c r="B33"/>
  <c r="B52"/>
  <c r="C52"/>
  <c r="D52"/>
  <c r="E52"/>
  <c r="F52"/>
  <c r="G52"/>
  <c r="H52"/>
  <c r="I52"/>
  <c r="J52"/>
  <c r="K52"/>
  <c r="D59"/>
  <c r="E59"/>
  <c r="B60"/>
  <c r="C60"/>
  <c r="H61"/>
  <c r="I61"/>
  <c r="B81"/>
  <c r="C81"/>
  <c r="D81"/>
  <c r="E81"/>
  <c r="F81"/>
  <c r="G81"/>
  <c r="H81"/>
  <c r="I81"/>
  <c r="J81"/>
  <c r="K81"/>
  <c r="D88"/>
  <c r="E88"/>
  <c r="E34" l="1"/>
  <c r="E32"/>
  <c r="D31"/>
  <c r="H32"/>
  <c r="E31"/>
  <c r="I32"/>
  <c r="I31"/>
  <c r="D62"/>
  <c r="H31"/>
  <c r="I30"/>
  <c r="D63"/>
  <c r="I62"/>
  <c r="E63"/>
  <c r="H88"/>
  <c r="D89"/>
  <c r="F62"/>
  <c r="E89"/>
  <c r="H34"/>
  <c r="D33"/>
  <c r="H62"/>
  <c r="H33"/>
  <c r="E92"/>
  <c r="D90"/>
  <c r="E90"/>
  <c r="E91"/>
  <c r="E62"/>
  <c r="D92"/>
  <c r="D34"/>
  <c r="D91"/>
  <c r="J59"/>
  <c r="B59"/>
  <c r="F30"/>
  <c r="G59"/>
  <c r="C59"/>
  <c r="K30"/>
  <c r="C30"/>
  <c r="C36"/>
  <c r="J88"/>
  <c r="F92"/>
  <c r="B88"/>
  <c r="H59"/>
  <c r="D60"/>
  <c r="H92"/>
  <c r="H91"/>
  <c r="H90"/>
  <c r="H89"/>
  <c r="J62"/>
  <c r="B62"/>
  <c r="J60"/>
  <c r="F59"/>
  <c r="J30"/>
  <c r="K59"/>
  <c r="G30"/>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D36" l="1"/>
  <c r="E36" l="1"/>
  <c r="F36" l="1"/>
  <c r="G36" l="1"/>
  <c r="H36" l="1"/>
  <c r="I36" l="1"/>
  <c r="J36" l="1"/>
  <c r="K36" l="1"/>
  <c r="B65" l="1"/>
  <c r="C65" l="1"/>
  <c r="D65" l="1"/>
  <c r="E65" l="1"/>
  <c r="F65" l="1"/>
  <c r="G65" l="1"/>
  <c r="H65" l="1"/>
  <c r="I65" l="1"/>
  <c r="J65" l="1"/>
  <c r="K65" l="1"/>
  <c r="B94" l="1"/>
  <c r="C94" l="1"/>
  <c r="D94" l="1"/>
  <c r="E94" l="1"/>
  <c r="F94" l="1"/>
  <c r="G94" l="1"/>
  <c r="H94" l="1"/>
  <c r="I94" l="1"/>
  <c r="J94" l="1"/>
  <c r="K94" l="1"/>
  <c r="A17" i="11" l="1"/>
  <c r="L21" i="3"/>
  <c r="L25"/>
  <c r="L26"/>
  <c r="L27"/>
  <c r="J40"/>
  <c r="L40"/>
  <c r="H41"/>
  <c r="J41"/>
  <c r="L41"/>
  <c r="O41"/>
  <c r="O42"/>
  <c r="O43"/>
  <c r="H49"/>
  <c r="H50"/>
  <c r="H51"/>
  <c r="J6" i="7"/>
  <c r="E98" i="15"/>
  <c r="G98"/>
  <c r="S98"/>
  <c r="G104"/>
  <c r="S104"/>
  <c r="G129"/>
  <c r="S129"/>
  <c r="D131"/>
  <c r="G131"/>
  <c r="J161"/>
  <c r="J162"/>
  <c r="J164"/>
  <c r="J166"/>
  <c r="J168"/>
  <c r="M170"/>
  <c r="J172"/>
  <c r="O6" i="11"/>
  <c r="P6"/>
  <c r="O180"/>
  <c r="P180"/>
  <c r="O188"/>
  <c r="P188"/>
  <c r="I206"/>
  <c r="I207"/>
  <c r="L207"/>
  <c r="J270"/>
  <c r="O288"/>
  <c r="P288"/>
  <c r="O289"/>
  <c r="P289"/>
</calcChain>
</file>

<file path=xl/sharedStrings.xml><?xml version="1.0" encoding="utf-8"?>
<sst xmlns="http://schemas.openxmlformats.org/spreadsheetml/2006/main" count="8232" uniqueCount="4205">
  <si>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</si>
  <si>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</si>
  <si>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</si>
  <si>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</si>
  <si>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</si>
  <si>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</si>
  <si>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</si>
  <si>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</si>
  <si>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</si>
  <si>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</si>
  <si>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</si>
  <si>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</si>
  <si>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</si>
  <si>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</si>
  <si>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</si>
  <si>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</si>
  <si>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</si>
  <si>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</si>
  <si>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</si>
  <si>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</si>
  <si>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</si>
  <si>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</si>
  <si>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</si>
  <si>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</si>
  <si>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</si>
  <si>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</si>
  <si>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</si>
  <si>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</si>
  <si>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</si>
  <si>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</si>
  <si>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</si>
  <si>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</si>
  <si>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</si>
  <si>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</si>
  <si>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Narrative that includes benefit specific to the tenant base</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</si>
  <si>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</si>
  <si>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</si>
  <si>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</si>
  <si>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</si>
  <si>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</si>
  <si>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</si>
  <si>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</si>
  <si>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</si>
  <si>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</si>
  <si>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</si>
  <si>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</si>
  <si>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</si>
  <si>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</si>
  <si>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</si>
  <si>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</si>
  <si>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</si>
  <si>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</si>
  <si>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</si>
  <si>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</si>
  <si>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</si>
  <si>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</si>
  <si>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</si>
  <si>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</si>
  <si>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</si>
  <si>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</si>
  <si>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</si>
  <si>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</si>
  <si>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</si>
  <si>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</si>
  <si>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</si>
  <si>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</si>
  <si>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</si>
  <si>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</si>
  <si>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</si>
  <si>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</si>
  <si>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</si>
  <si>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</si>
  <si>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</si>
  <si>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</si>
  <si>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</si>
  <si>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</si>
  <si>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</si>
  <si>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</si>
  <si>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</si>
  <si>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</si>
  <si>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</si>
  <si>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</si>
  <si>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</si>
  <si>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</si>
  <si>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</si>
  <si>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</si>
  <si>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</si>
  <si>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</si>
  <si>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</si>
  <si>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</si>
  <si>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</si>
  <si>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</si>
  <si>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</si>
  <si>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</si>
  <si>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</si>
  <si>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</si>
  <si>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</si>
  <si>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</si>
  <si>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</si>
  <si>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</si>
  <si>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</si>
  <si>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</si>
  <si>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</si>
  <si>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</si>
  <si>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</si>
  <si>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</si>
  <si>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</si>
  <si>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</si>
  <si>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</si>
  <si>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</si>
  <si>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</si>
  <si>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</si>
  <si>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</si>
  <si>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</si>
  <si>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</si>
  <si>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</si>
  <si>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</si>
  <si>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</si>
  <si>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</si>
  <si>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</si>
  <si>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</si>
  <si>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</si>
  <si>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</si>
  <si>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</si>
  <si>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</si>
  <si>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</si>
  <si>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</si>
  <si>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</si>
  <si>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</si>
  <si>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</si>
  <si>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</si>
  <si>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</si>
  <si>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</si>
  <si>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</si>
  <si>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</si>
  <si>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</si>
  <si>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</si>
  <si>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</si>
  <si>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</si>
  <si>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</si>
  <si>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</si>
  <si>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</si>
  <si>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</si>
  <si>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</si>
  <si>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</si>
  <si>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</si>
  <si>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</si>
  <si>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</si>
  <si>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</si>
  <si>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</si>
  <si>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</si>
  <si>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</si>
  <si>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</si>
  <si>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Does the “as is” value delineate the value of the land and building?</t>
  </si>
  <si>
    <t>If an identity of interest exists between the buyer and seller, did the seller purchase this property within the past three (3) years?</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</si>
  <si>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</si>
  <si>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</si>
  <si>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</si>
  <si>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</si>
  <si>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</si>
  <si>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</si>
  <si>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</si>
  <si>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</si>
  <si>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</si>
  <si>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</si>
  <si>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</si>
  <si>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</si>
  <si>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</si>
  <si>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</si>
  <si>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</si>
  <si>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</si>
  <si>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</si>
  <si>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</si>
  <si>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</si>
  <si>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</si>
  <si>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</si>
  <si>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</si>
  <si>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</si>
  <si>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</si>
  <si>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</si>
  <si>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</si>
  <si>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</si>
  <si>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</si>
  <si>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</si>
  <si>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</si>
  <si>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</si>
  <si>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</si>
  <si>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</si>
  <si>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</si>
  <si>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</si>
  <si>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</si>
  <si>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</si>
  <si>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</si>
  <si>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</si>
  <si>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</si>
  <si>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</si>
  <si>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</si>
  <si>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</si>
  <si>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</si>
  <si>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</si>
  <si>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</si>
  <si>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</si>
  <si>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</si>
  <si>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</si>
  <si>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</si>
  <si>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</si>
  <si>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</si>
  <si>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</si>
  <si>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</si>
  <si>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</si>
  <si>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</si>
  <si>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</si>
  <si>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</si>
  <si>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</si>
  <si>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</si>
  <si>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</si>
  <si>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</si>
  <si>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</si>
  <si>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</si>
  <si>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</si>
  <si>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</si>
  <si>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</si>
  <si>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</si>
  <si>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</si>
  <si>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</si>
  <si>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</si>
  <si>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</si>
  <si>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</si>
  <si>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</si>
  <si>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</si>
  <si>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</si>
  <si>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</si>
  <si>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</si>
  <si>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</si>
  <si>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</si>
  <si>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</si>
  <si>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</si>
  <si>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</si>
  <si>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</si>
  <si>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</si>
  <si>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</si>
  <si>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</si>
  <si>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</si>
  <si>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</si>
  <si>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</si>
  <si>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</si>
  <si>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</si>
  <si>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</si>
  <si>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</si>
  <si>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</si>
  <si>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</si>
  <si>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</si>
  <si>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</si>
  <si>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</si>
  <si>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</si>
  <si>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</si>
  <si>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</si>
  <si>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</si>
  <si>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</si>
  <si>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</si>
  <si>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</si>
  <si>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</si>
  <si>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</si>
  <si>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</si>
  <si>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</si>
  <si>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</si>
  <si>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</si>
  <si>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</si>
  <si>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</si>
  <si>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</si>
  <si>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</si>
  <si>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</si>
  <si>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</si>
  <si>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</si>
  <si>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For each missing or incomplete document, one (1) point will be deducted</t>
  </si>
  <si>
    <t>Marketing</t>
  </si>
  <si>
    <t>Total Square Footage</t>
  </si>
  <si>
    <t>Total Unrestricted (Market) Residential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</si>
  <si>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</si>
  <si>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</si>
  <si>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</si>
  <si>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</si>
  <si>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</si>
  <si>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</si>
  <si>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</si>
  <si>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</si>
  <si>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</si>
  <si>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</si>
  <si>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</si>
  <si>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</si>
  <si>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Community Redevelop / Revitalization Plans and Strategies</t>
  </si>
  <si>
    <t>Manager (Pass or Fail)</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</si>
  <si>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</si>
  <si>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</si>
  <si>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</si>
  <si>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</si>
  <si>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</si>
  <si>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</si>
  <si>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</si>
  <si>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</si>
  <si>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</si>
  <si>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</si>
  <si>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</si>
  <si>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</si>
  <si>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</si>
  <si>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</si>
  <si>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</si>
  <si>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</si>
  <si>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</si>
  <si>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</si>
  <si>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</si>
  <si>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</si>
  <si>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</si>
  <si>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</si>
  <si>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</si>
  <si>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</si>
  <si>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</si>
  <si>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</si>
  <si>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</si>
  <si>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</si>
  <si>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</si>
  <si>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</si>
  <si>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</si>
  <si>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</si>
  <si>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</si>
  <si>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</si>
  <si>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</si>
  <si>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</si>
  <si>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</si>
  <si>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</si>
  <si>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</si>
  <si>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</si>
  <si>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</si>
  <si>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</si>
  <si>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</si>
  <si>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</si>
  <si>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</si>
  <si>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</si>
  <si>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</si>
  <si>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</si>
  <si>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</si>
  <si>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</si>
  <si>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</si>
  <si>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</si>
  <si>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</si>
  <si>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</si>
  <si>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</si>
  <si>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</si>
  <si>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</si>
  <si>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</si>
  <si>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</si>
  <si>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</si>
  <si>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</si>
  <si>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</si>
  <si>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</si>
  <si>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</si>
  <si>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</si>
  <si>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</si>
  <si>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</si>
  <si>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</si>
  <si>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</si>
  <si>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</si>
  <si>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</si>
  <si>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</si>
  <si>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</si>
  <si>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</si>
  <si>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</si>
  <si>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</si>
  <si>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</si>
  <si>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</si>
  <si>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</si>
  <si>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</si>
  <si>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</si>
  <si>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</si>
  <si>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</si>
  <si>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</si>
  <si>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</si>
  <si>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</si>
  <si>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</si>
  <si>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</si>
  <si>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</si>
  <si>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</si>
  <si>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</si>
  <si>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</si>
  <si>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</si>
  <si>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</si>
  <si>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</si>
  <si>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</si>
  <si>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</si>
  <si>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</si>
  <si>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</si>
  <si>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</si>
  <si>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</si>
  <si>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</si>
  <si>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</si>
  <si>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</si>
  <si>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</si>
  <si>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</si>
  <si>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</si>
  <si>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</si>
  <si>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</si>
  <si>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</si>
  <si>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</si>
  <si>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</si>
  <si>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</si>
  <si>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</si>
  <si>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</si>
  <si>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</si>
  <si>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</si>
  <si>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</si>
  <si>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</si>
  <si>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</si>
  <si>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</si>
  <si>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</si>
  <si>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</si>
  <si>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</si>
  <si>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</si>
  <si>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</si>
  <si>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</si>
  <si>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</si>
  <si>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</si>
  <si>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</si>
  <si>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</si>
  <si>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</si>
  <si>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</si>
  <si>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</si>
  <si>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</si>
  <si>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</si>
  <si>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</si>
  <si>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</si>
  <si>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</si>
  <si>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</si>
  <si>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</si>
  <si>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</si>
  <si>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</si>
  <si>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</si>
  <si>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</si>
  <si>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</si>
  <si>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</si>
  <si>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</si>
  <si>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</si>
  <si>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</si>
  <si>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</si>
  <si>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</si>
  <si>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</si>
  <si>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</si>
  <si>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</si>
  <si>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</si>
  <si>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</si>
  <si>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</si>
  <si>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</si>
  <si>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</si>
  <si>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</si>
  <si>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</si>
  <si>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</si>
  <si>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</si>
  <si>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</si>
  <si>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</si>
  <si>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</si>
  <si>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</si>
  <si>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</si>
  <si>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</si>
  <si>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</si>
  <si>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</si>
  <si>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</si>
  <si>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</si>
  <si>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</si>
  <si>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</si>
  <si>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</si>
  <si>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</si>
  <si>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</si>
  <si>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</si>
  <si>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</si>
  <si>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</si>
  <si>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</si>
  <si>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</si>
  <si>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</si>
  <si>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</si>
  <si>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</si>
  <si>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</si>
  <si>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</si>
  <si>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</si>
  <si>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</si>
  <si>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</si>
  <si>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</si>
  <si>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</si>
  <si>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</si>
  <si>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</si>
  <si>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</si>
  <si>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</si>
  <si>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</si>
  <si>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</si>
  <si>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</si>
  <si>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</si>
  <si>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</si>
  <si>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</si>
  <si>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</si>
  <si>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</si>
  <si>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</si>
  <si>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</si>
  <si>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</si>
  <si>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</si>
  <si>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</si>
  <si>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</si>
  <si>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</si>
  <si>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</si>
  <si>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</si>
  <si>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</si>
  <si>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</si>
  <si>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</si>
  <si>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</si>
  <si>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</si>
  <si>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</si>
  <si>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</si>
  <si>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</si>
  <si>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</si>
  <si>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</si>
  <si>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</si>
  <si>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</si>
  <si>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</si>
  <si>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</si>
  <si>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</si>
  <si>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</si>
  <si>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</si>
  <si>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</si>
  <si>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</si>
  <si>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</si>
  <si>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</si>
  <si>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</si>
  <si>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</si>
  <si>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</si>
  <si>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</si>
  <si>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</si>
  <si>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</si>
  <si>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</si>
  <si>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</si>
  <si>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</si>
  <si>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</si>
  <si>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</si>
  <si>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</si>
  <si>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</si>
  <si>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</si>
  <si>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</si>
  <si>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</si>
  <si>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</si>
  <si>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</si>
  <si>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</si>
  <si>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Documentation from transit authority showing relevant bus route and schedule</t>
  </si>
  <si>
    <t>Documentation of whether or not the building is occupied</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</si>
  <si>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</si>
  <si>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</si>
  <si>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</si>
  <si>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</si>
  <si>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</si>
  <si>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</si>
  <si>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</si>
  <si>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</si>
  <si>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</si>
  <si>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</si>
  <si>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</si>
  <si>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</si>
  <si>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</si>
  <si>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</si>
  <si>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</si>
  <si>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</si>
  <si>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</si>
  <si>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</si>
  <si>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</si>
  <si>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</si>
  <si>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</si>
  <si>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</si>
  <si>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</si>
  <si>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</si>
  <si>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</si>
  <si>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</si>
  <si>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</si>
  <si>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</si>
  <si>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</si>
  <si>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</si>
  <si>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</si>
  <si>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</si>
  <si>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</si>
  <si>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</si>
  <si>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</si>
  <si>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</si>
  <si>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</si>
  <si>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</si>
  <si>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</si>
  <si>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</si>
  <si>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</si>
  <si>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</si>
  <si>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</si>
  <si>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</si>
  <si>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</si>
  <si>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</si>
  <si>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</si>
  <si>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</si>
  <si>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</si>
  <si>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</si>
  <si>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</si>
  <si>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</si>
  <si>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</si>
  <si>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</si>
  <si>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</si>
  <si>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</si>
  <si>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</si>
  <si>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</si>
  <si>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</si>
  <si>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</si>
  <si>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</si>
  <si>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</si>
  <si>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</si>
  <si>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</si>
  <si>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</si>
  <si>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</si>
  <si>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</si>
  <si>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</si>
  <si>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</si>
  <si>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</si>
  <si>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</si>
  <si>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</si>
  <si>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</si>
  <si>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</si>
  <si>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</si>
  <si>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</si>
  <si>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</si>
  <si>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</si>
  <si>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</si>
  <si>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</si>
  <si>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</si>
  <si>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</si>
  <si>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</si>
  <si>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</si>
  <si>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</si>
  <si>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</si>
  <si>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</si>
  <si>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</si>
  <si>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</si>
  <si>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</si>
  <si>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</si>
  <si>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</si>
  <si>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</si>
  <si>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</si>
  <si>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</si>
  <si>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</si>
  <si>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</si>
  <si>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</si>
  <si>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</si>
  <si>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</si>
  <si>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</si>
  <si>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</si>
  <si>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</si>
  <si>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</si>
  <si>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</si>
  <si>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</si>
  <si>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</si>
  <si>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</si>
  <si>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</si>
  <si>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</si>
  <si>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</si>
  <si>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</si>
  <si>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</si>
  <si>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</si>
  <si>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</si>
  <si>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</si>
  <si>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</si>
  <si>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</si>
  <si>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</si>
  <si>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</si>
  <si>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</si>
  <si>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</si>
  <si>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</si>
  <si>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</si>
  <si>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</si>
  <si>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</si>
  <si>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</si>
  <si>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</si>
  <si>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</si>
  <si>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</si>
  <si>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</si>
  <si>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</si>
  <si>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</si>
  <si>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</si>
  <si>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</si>
  <si>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</si>
  <si>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</si>
  <si>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</si>
  <si>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</si>
  <si>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</si>
  <si>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</si>
  <si>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</si>
  <si>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</si>
  <si>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</si>
  <si>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</si>
  <si>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</si>
  <si>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</si>
  <si>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</si>
  <si>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</si>
  <si>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</si>
  <si>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</si>
  <si>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</si>
  <si>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</si>
  <si>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</si>
  <si>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</si>
  <si>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</si>
  <si>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</si>
  <si>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</si>
  <si>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</si>
  <si>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</si>
  <si>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</si>
  <si>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</si>
  <si>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</si>
  <si>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</si>
  <si>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</si>
  <si>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</si>
  <si>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</si>
  <si>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</si>
  <si>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</si>
  <si>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</si>
  <si>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</si>
  <si>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</si>
  <si>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</si>
  <si>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</si>
  <si>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</si>
  <si>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</si>
  <si>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</si>
  <si>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</si>
  <si>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</si>
  <si>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</si>
  <si>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</si>
  <si>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</si>
  <si>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</si>
  <si>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</si>
  <si>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</si>
  <si>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</si>
  <si>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</si>
  <si>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</si>
  <si>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</si>
  <si>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</si>
  <si>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</si>
  <si>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</si>
  <si>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</si>
  <si>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</si>
  <si>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</si>
  <si>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</si>
  <si>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</si>
  <si>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</si>
  <si>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</si>
  <si>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</si>
  <si>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</si>
  <si>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</si>
  <si>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</si>
  <si>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</si>
  <si>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</si>
  <si>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</si>
  <si>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</si>
  <si>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</si>
  <si>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</si>
  <si>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</si>
  <si>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</si>
  <si>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</si>
  <si>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</si>
  <si>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</si>
  <si>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</si>
  <si>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</si>
  <si>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</si>
  <si>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</si>
  <si>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</si>
  <si>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</si>
  <si>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</si>
  <si>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r>
      <t xml:space="preserve">Local Redevelopment Plan </t>
    </r>
    <r>
      <rPr>
        <sz val="8"/>
        <rFont val="Arial"/>
        <family val="2"/>
      </rPr>
      <t>- includes items below?</t>
    </r>
  </si>
  <si>
    <t>k)</t>
  </si>
  <si>
    <t>Date adopted:</t>
  </si>
  <si>
    <t>A)</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</si>
  <si>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</si>
  <si>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</si>
  <si>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</si>
  <si>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</si>
  <si>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</si>
  <si>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</si>
  <si>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</si>
  <si>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</si>
  <si>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</si>
  <si>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</si>
  <si>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</si>
  <si>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</si>
  <si>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</si>
  <si>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</si>
  <si>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</si>
  <si>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</si>
  <si>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</si>
  <si>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</si>
  <si>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</si>
  <si>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</si>
  <si>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</si>
  <si>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</si>
  <si>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</si>
  <si>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</si>
  <si>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</si>
  <si>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</si>
  <si>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</si>
  <si>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</si>
  <si>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</si>
  <si>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</si>
  <si>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</si>
  <si>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</si>
  <si>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</si>
  <si>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</si>
  <si>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</si>
  <si>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</si>
  <si>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</si>
  <si>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</si>
  <si>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</si>
  <si>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</si>
  <si>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</si>
  <si>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</si>
  <si>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</si>
  <si>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</si>
  <si>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</si>
  <si>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</si>
  <si>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</si>
  <si>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</si>
  <si>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</si>
  <si>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</si>
  <si>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</si>
  <si>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</si>
  <si>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Name of Unrelated Third Party</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</si>
  <si>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</si>
  <si>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</si>
  <si>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</si>
  <si>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</si>
  <si>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</si>
  <si>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</si>
  <si>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</si>
  <si>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</si>
  <si>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</si>
  <si>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</si>
  <si>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</si>
  <si>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</si>
  <si>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</si>
  <si>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</si>
  <si>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</si>
  <si>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</si>
  <si>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</si>
  <si>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</si>
  <si>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</si>
  <si>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</si>
  <si>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</si>
  <si>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</si>
  <si>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</si>
  <si>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</si>
  <si>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</si>
  <si>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</si>
  <si>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</si>
  <si>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</si>
  <si>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</si>
  <si>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</si>
  <si>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</si>
  <si>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</si>
  <si>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</si>
  <si>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</si>
  <si>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</si>
  <si>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</si>
  <si>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</si>
  <si>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</si>
  <si>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</si>
  <si>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</si>
  <si>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</si>
  <si>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</si>
  <si>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</si>
  <si>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</si>
  <si>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</si>
  <si>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</si>
  <si>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</si>
  <si>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</si>
  <si>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</si>
  <si>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</si>
  <si>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</si>
  <si>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</si>
  <si>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</si>
  <si>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</si>
  <si>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</si>
  <si>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</si>
  <si>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</si>
  <si>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</si>
  <si>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</si>
  <si>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</si>
  <si>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</si>
  <si>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</si>
  <si>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</si>
  <si>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</si>
  <si>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</si>
  <si>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</si>
  <si>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</si>
  <si>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</si>
  <si>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</si>
  <si>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</si>
  <si>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</si>
  <si>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</si>
  <si>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</si>
  <si>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</si>
  <si>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</si>
  <si>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</si>
  <si>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</si>
  <si>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</si>
  <si>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</si>
  <si>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</si>
  <si>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</si>
  <si>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t>Eight-Step Process for Wetlands and/or Floodplains required?</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</si>
  <si>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</si>
  <si>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</si>
  <si>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</si>
  <si>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</si>
  <si>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</si>
  <si>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</si>
  <si>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</si>
  <si>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</si>
  <si>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</si>
  <si>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</si>
  <si>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</si>
  <si>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</si>
  <si>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</si>
  <si>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</si>
  <si>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</si>
  <si>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</si>
  <si>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</si>
  <si>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</si>
  <si>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</si>
  <si>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</si>
  <si>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</si>
  <si>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</si>
  <si>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</si>
  <si>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</si>
  <si>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</si>
  <si>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</si>
  <si>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</si>
  <si>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</si>
  <si>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</si>
  <si>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</si>
  <si>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</si>
  <si>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</si>
  <si>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</si>
  <si>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</si>
  <si>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</si>
  <si>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</si>
  <si>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</si>
  <si>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</si>
  <si>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</si>
  <si>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</si>
  <si>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</si>
  <si>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</si>
  <si>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</si>
  <si>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</si>
  <si>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</si>
  <si>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</si>
  <si>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</si>
  <si>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</si>
  <si>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</si>
  <si>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</si>
  <si>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</si>
  <si>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</si>
  <si>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</si>
  <si>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</si>
  <si>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</si>
  <si>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</si>
  <si>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</si>
  <si>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</si>
  <si>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</si>
  <si>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</si>
  <si>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</si>
  <si>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</si>
  <si>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</si>
  <si>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</si>
  <si>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</si>
  <si>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</si>
  <si>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</si>
  <si>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</si>
  <si>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</si>
  <si>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</si>
  <si>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</si>
  <si>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</si>
  <si>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</si>
  <si>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</si>
  <si>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</si>
  <si>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</si>
  <si>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</si>
  <si>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</si>
  <si>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</si>
  <si>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</si>
  <si>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</si>
  <si>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</si>
  <si>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</si>
  <si>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</si>
  <si>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</si>
  <si>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</si>
  <si>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</si>
  <si>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</si>
  <si>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</si>
  <si>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</si>
  <si>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</si>
  <si>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</si>
  <si>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</si>
  <si>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</si>
  <si>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</si>
  <si>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</si>
  <si>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</si>
  <si>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</si>
  <si>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</si>
  <si>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</si>
  <si>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</si>
  <si>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</si>
  <si>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</si>
  <si>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</si>
  <si>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</si>
  <si>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</si>
  <si>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</si>
  <si>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</si>
  <si>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</si>
  <si>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</si>
  <si>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</si>
  <si>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</si>
  <si>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</si>
  <si>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</si>
  <si>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</si>
  <si>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</si>
  <si>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</si>
  <si>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</si>
  <si>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</si>
  <si>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</si>
  <si>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</si>
  <si>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</si>
  <si>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</si>
  <si>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</si>
  <si>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</si>
  <si>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</si>
  <si>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</si>
  <si>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</si>
  <si>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</si>
  <si>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</si>
  <si>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</si>
  <si>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</si>
  <si>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</si>
  <si>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</si>
  <si>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</si>
  <si>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</si>
  <si>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</si>
  <si>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</si>
  <si>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</si>
  <si>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</si>
  <si>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</si>
  <si>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</si>
  <si>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</si>
  <si>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</si>
  <si>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</si>
  <si>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</si>
  <si>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</si>
  <si>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</si>
  <si>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</si>
  <si>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</si>
  <si>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</si>
  <si>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</si>
  <si>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</si>
  <si>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</si>
  <si>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</si>
  <si>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</si>
  <si>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</si>
  <si>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</si>
  <si>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</si>
  <si>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</si>
  <si>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</si>
  <si>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</si>
  <si>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</si>
  <si>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</si>
  <si>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</si>
  <si>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</si>
  <si>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</si>
  <si>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</si>
  <si>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</si>
  <si>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</si>
  <si>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</si>
  <si>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</si>
  <si>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</si>
  <si>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</si>
  <si>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</si>
  <si>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</si>
  <si>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</si>
  <si>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</si>
  <si>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</si>
  <si>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</si>
  <si>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</si>
  <si>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</si>
  <si>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</si>
  <si>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</si>
  <si>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</si>
  <si>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</si>
  <si>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</si>
  <si>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</si>
  <si>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</si>
  <si>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</si>
  <si>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</si>
  <si>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</si>
  <si>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</si>
  <si>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</si>
  <si>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</si>
  <si>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</si>
  <si>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</si>
  <si>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</si>
  <si>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</si>
  <si>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</si>
  <si>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</si>
  <si>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</si>
  <si>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</si>
  <si>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</si>
  <si>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</si>
  <si>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</si>
  <si>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</si>
  <si>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</si>
  <si>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</si>
  <si>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</si>
  <si>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</si>
  <si>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</si>
  <si>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</si>
  <si>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</si>
  <si>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</si>
  <si>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</si>
  <si>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</si>
  <si>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</si>
  <si>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</si>
  <si>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</si>
  <si>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</si>
  <si>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</si>
  <si>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</si>
  <si>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</si>
  <si>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</si>
  <si>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</si>
  <si>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</si>
  <si>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</si>
  <si>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</si>
  <si>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</si>
  <si>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</si>
  <si>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</si>
  <si>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</si>
  <si>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</si>
  <si>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</si>
  <si>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</si>
  <si>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</si>
  <si>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</si>
  <si>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</si>
  <si>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</si>
  <si>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</si>
  <si>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</si>
  <si>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</si>
  <si>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</si>
  <si>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</si>
  <si>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</si>
  <si>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</si>
  <si>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</si>
  <si>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</si>
  <si>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</si>
  <si>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</si>
  <si>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</si>
  <si>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</si>
  <si>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</si>
  <si>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</si>
  <si>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</si>
  <si>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</si>
  <si>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</si>
  <si>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</si>
  <si>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</si>
  <si>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</si>
  <si>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</si>
  <si>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</si>
  <si>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</si>
  <si>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</si>
  <si>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</si>
  <si>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</si>
  <si>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</si>
  <si>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</si>
  <si>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</si>
  <si>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</si>
  <si>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</si>
  <si>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</si>
  <si>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</si>
  <si>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</si>
  <si>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</si>
  <si>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</si>
  <si>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</si>
  <si>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</si>
  <si>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</si>
  <si>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</si>
  <si>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</si>
  <si>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</si>
  <si>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</si>
  <si>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</si>
  <si>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</si>
  <si>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</si>
  <si>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</si>
  <si>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</si>
  <si>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</si>
  <si>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</si>
  <si>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</si>
  <si>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</si>
  <si>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</si>
  <si>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</si>
  <si>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</si>
  <si>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</si>
  <si>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</si>
  <si>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</si>
  <si>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</si>
  <si>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</si>
  <si>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</si>
  <si>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</si>
  <si>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</si>
  <si>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</si>
  <si>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</si>
  <si>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</si>
  <si>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</si>
  <si>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</si>
  <si>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Defunct city govt</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</si>
  <si>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</si>
  <si>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</si>
  <si>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</si>
  <si>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</si>
  <si>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</si>
  <si>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</si>
  <si>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</si>
  <si>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</si>
  <si>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</si>
  <si>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</si>
  <si>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</si>
  <si>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</si>
  <si>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</si>
  <si>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</si>
  <si>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</si>
  <si>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</si>
  <si>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</si>
  <si>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</si>
  <si>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</si>
  <si>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</si>
  <si>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</si>
  <si>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</si>
  <si>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</si>
  <si>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</si>
  <si>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</si>
  <si>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</si>
  <si>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</si>
  <si>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</si>
  <si>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</si>
  <si>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</si>
  <si>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</si>
  <si>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</si>
  <si>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</si>
  <si>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</si>
  <si>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</si>
  <si>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</si>
  <si>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</si>
  <si>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</si>
  <si>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</si>
  <si>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</si>
  <si>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</si>
  <si>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</si>
  <si>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</si>
  <si>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</si>
  <si>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</si>
  <si>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</si>
  <si>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</si>
  <si>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</si>
  <si>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</si>
  <si>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</si>
  <si>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</si>
  <si>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</si>
  <si>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</si>
  <si>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</si>
  <si>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</si>
  <si>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</si>
  <si>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</si>
  <si>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</si>
  <si>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</si>
  <si>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</si>
  <si>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</si>
  <si>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</si>
  <si>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</si>
  <si>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</si>
  <si>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</si>
  <si>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</si>
  <si>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</si>
  <si>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</si>
  <si>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</si>
  <si>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</si>
  <si>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</si>
  <si>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</si>
  <si>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</si>
  <si>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</si>
  <si>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</si>
  <si>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</si>
  <si>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</si>
  <si>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</si>
  <si>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</si>
  <si>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</si>
  <si>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</si>
  <si>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</si>
  <si>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</si>
  <si>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</si>
  <si>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</si>
  <si>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</si>
  <si>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</si>
  <si>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</si>
  <si>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</si>
  <si>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</si>
  <si>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</si>
  <si>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</si>
  <si>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</si>
  <si>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</si>
  <si>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</si>
  <si>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</si>
  <si>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</si>
  <si>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</si>
  <si>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</si>
  <si>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</si>
  <si>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</si>
  <si>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</si>
  <si>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</si>
  <si>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</si>
  <si>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</si>
  <si>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</si>
  <si>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</si>
  <si>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</si>
  <si>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</si>
  <si>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</si>
  <si>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</si>
  <si>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</si>
  <si>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</si>
  <si>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</si>
  <si>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</si>
  <si>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</si>
  <si>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</si>
  <si>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</si>
  <si>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</si>
  <si>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</si>
  <si>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</si>
  <si>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</si>
  <si>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</si>
  <si>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</si>
  <si>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</si>
  <si>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</si>
  <si>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</si>
  <si>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</si>
  <si>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</si>
  <si>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</si>
  <si>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</si>
  <si>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</si>
  <si>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</si>
  <si>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</si>
  <si>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</si>
  <si>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</si>
  <si>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</si>
  <si>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</si>
  <si>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</si>
  <si>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</si>
  <si>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</si>
  <si>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</si>
  <si>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</si>
  <si>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</si>
  <si>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</si>
  <si>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</si>
  <si>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</si>
  <si>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</si>
  <si>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</si>
  <si>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</si>
  <si>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</si>
  <si>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</si>
  <si>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</si>
  <si>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</si>
  <si>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</si>
  <si>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</si>
  <si>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</si>
  <si>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</si>
  <si>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</si>
  <si>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</si>
  <si>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</si>
  <si>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</si>
  <si>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</si>
  <si>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</si>
  <si>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</si>
  <si>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</si>
  <si>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</si>
  <si>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</si>
  <si>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</si>
  <si>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</si>
  <si>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</si>
  <si>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</si>
  <si>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</si>
  <si>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</si>
  <si>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</si>
  <si>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</si>
  <si>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</si>
  <si>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</si>
  <si>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</si>
  <si>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</si>
  <si>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</si>
  <si>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</si>
  <si>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</si>
  <si>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</si>
  <si>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</si>
  <si>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</si>
  <si>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</si>
  <si>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</si>
  <si>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</si>
  <si>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</si>
  <si>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</si>
  <si>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</si>
  <si>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</si>
  <si>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</si>
  <si>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</si>
  <si>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</si>
  <si>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</si>
  <si>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</si>
  <si>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</si>
  <si>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</si>
  <si>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</si>
  <si>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</si>
  <si>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</si>
  <si>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</si>
  <si>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</si>
  <si>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</si>
  <si>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</si>
  <si>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</si>
  <si>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</si>
  <si>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</si>
  <si>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</si>
  <si>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</si>
  <si>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</si>
  <si>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</si>
  <si>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</si>
  <si>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</si>
  <si>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</si>
  <si>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</si>
  <si>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</si>
  <si>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</si>
  <si>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</si>
  <si>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</si>
  <si>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</si>
  <si>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</si>
  <si>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</si>
  <si>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</si>
  <si>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</si>
  <si>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</si>
  <si>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</si>
  <si>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</si>
  <si>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</si>
  <si>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</si>
  <si>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</si>
  <si>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</si>
  <si>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</si>
  <si>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</si>
  <si>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</si>
  <si>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</si>
  <si>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</si>
  <si>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</si>
  <si>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</si>
  <si>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</si>
  <si>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</si>
  <si>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</si>
  <si>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</si>
  <si>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</si>
  <si>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</si>
  <si>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</si>
  <si>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</si>
  <si>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</si>
  <si>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</si>
  <si>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</si>
  <si>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</si>
  <si>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</si>
  <si>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</si>
  <si>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</si>
  <si>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</si>
  <si>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</si>
  <si>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</si>
  <si>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</si>
  <si>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</si>
  <si>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</si>
  <si>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</si>
  <si>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</si>
  <si>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</si>
  <si>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</si>
  <si>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</si>
  <si>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</si>
  <si>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</si>
  <si>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</si>
  <si>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</si>
  <si>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</si>
  <si>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</si>
  <si>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</si>
  <si>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</si>
  <si>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</si>
  <si>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</si>
  <si>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</si>
  <si>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</si>
  <si>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</si>
  <si>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</si>
  <si>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</si>
  <si>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</si>
  <si>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</si>
  <si>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</si>
  <si>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</si>
  <si>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</si>
  <si>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</si>
  <si>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</si>
  <si>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</si>
  <si>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</si>
  <si>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</si>
  <si>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</si>
  <si>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</si>
  <si>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</si>
  <si>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</si>
  <si>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</si>
  <si>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</si>
  <si>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</si>
  <si>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</si>
  <si>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</si>
  <si>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</si>
  <si>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</si>
  <si>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</si>
  <si>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</si>
  <si>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</si>
  <si>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</si>
  <si>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</si>
  <si>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</si>
  <si>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</si>
  <si>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</si>
  <si>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</si>
  <si>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</si>
  <si>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</si>
  <si>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</si>
  <si>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</si>
  <si>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</si>
  <si>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</si>
  <si>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</si>
  <si>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</si>
  <si>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</si>
  <si>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</si>
  <si>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</si>
  <si>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</si>
  <si>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</si>
  <si>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</si>
  <si>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</si>
  <si>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</si>
  <si>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</si>
  <si>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</si>
  <si>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</si>
  <si>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</si>
  <si>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</si>
  <si>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</si>
  <si>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</si>
  <si>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</si>
  <si>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</si>
  <si>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</si>
  <si>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</si>
  <si>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</si>
  <si>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</si>
  <si>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</si>
  <si>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</si>
  <si>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</si>
  <si>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</si>
  <si>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</si>
  <si>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</si>
  <si>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</si>
  <si>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</si>
  <si>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</si>
  <si>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</si>
  <si>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</si>
  <si>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</si>
  <si>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</si>
  <si>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</si>
  <si>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</si>
  <si>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</si>
  <si>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</si>
  <si>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</si>
  <si>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</si>
  <si>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</si>
  <si>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</si>
  <si>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</si>
  <si>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</si>
  <si>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</si>
  <si>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</si>
  <si>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</si>
  <si>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</si>
  <si>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</si>
  <si>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</si>
  <si>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</si>
  <si>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</si>
  <si>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</si>
  <si>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</si>
  <si>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</si>
  <si>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</si>
  <si>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</si>
  <si>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</si>
  <si>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</si>
  <si>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</si>
  <si>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</si>
  <si>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</si>
  <si>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</si>
  <si>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</si>
  <si>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</si>
  <si>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</si>
  <si>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</si>
  <si>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</si>
  <si>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</si>
  <si>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</si>
  <si>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</si>
  <si>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</si>
  <si>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</si>
  <si>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</si>
  <si>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</si>
  <si>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</si>
  <si>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</si>
  <si>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</si>
  <si>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</si>
  <si>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</si>
  <si>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</si>
  <si>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</si>
  <si>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</si>
  <si>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</si>
  <si>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</si>
  <si>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</si>
  <si>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</si>
  <si>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</si>
  <si>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</si>
  <si>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</si>
  <si>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</si>
  <si>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</si>
  <si>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</si>
  <si>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</si>
  <si>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</si>
  <si>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</si>
  <si>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</si>
  <si>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</si>
  <si>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</si>
  <si>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</si>
  <si>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</si>
  <si>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</si>
  <si>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</si>
  <si>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</si>
  <si>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</si>
  <si>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</si>
  <si>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</si>
  <si>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</si>
  <si>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</si>
  <si>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</si>
  <si>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</si>
  <si>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</si>
  <si>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</si>
  <si>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</si>
  <si>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</si>
  <si>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</si>
  <si>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</si>
  <si>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</si>
  <si>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</si>
  <si>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</si>
  <si>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</si>
  <si>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</si>
  <si>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</si>
  <si>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</si>
  <si>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</si>
  <si>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</si>
  <si>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</si>
  <si>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</si>
  <si>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</si>
  <si>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</si>
  <si>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</si>
  <si>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</si>
  <si>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</si>
  <si>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</si>
  <si>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</si>
  <si>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</si>
  <si>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</si>
  <si>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</si>
  <si>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</si>
  <si>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</si>
  <si>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</si>
  <si>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</si>
  <si>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</si>
  <si>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</si>
  <si>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</si>
  <si>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</si>
  <si>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</si>
  <si>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</si>
  <si>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</si>
  <si>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</si>
  <si>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</si>
  <si>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</si>
  <si>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</si>
  <si>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</si>
  <si>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</si>
  <si>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</si>
  <si>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</si>
  <si>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</si>
  <si>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</si>
  <si>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</si>
  <si>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</si>
  <si>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</si>
  <si>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</si>
  <si>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</si>
  <si>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</si>
  <si>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</si>
  <si>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</si>
  <si>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</si>
  <si>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</si>
  <si>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</si>
  <si>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</si>
  <si>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</si>
  <si>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</si>
  <si>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</si>
  <si>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</si>
  <si>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</si>
  <si>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</si>
  <si>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</si>
  <si>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</si>
  <si>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</si>
  <si>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</si>
  <si>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</si>
  <si>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</si>
  <si>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</si>
  <si>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</si>
  <si>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</si>
  <si>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</si>
  <si>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</si>
  <si>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</si>
  <si>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</si>
  <si>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</si>
  <si>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</si>
  <si>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</si>
  <si>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</si>
  <si>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</si>
  <si>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</si>
  <si>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</si>
  <si>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</si>
  <si>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</si>
  <si>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</si>
  <si>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</si>
  <si>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</si>
  <si>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</si>
  <si>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</si>
  <si>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</si>
  <si>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</si>
  <si>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</si>
  <si>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</si>
  <si>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</si>
  <si>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</si>
  <si>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</si>
  <si>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</si>
  <si>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</si>
  <si>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</si>
  <si>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</si>
  <si>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</si>
  <si>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</si>
  <si>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</si>
  <si>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</si>
  <si>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</si>
  <si>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</si>
  <si>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</si>
  <si>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</si>
  <si>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</si>
  <si>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</si>
  <si>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</si>
  <si>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</si>
  <si>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</si>
  <si>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</si>
  <si>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</si>
  <si>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</si>
  <si>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</si>
  <si>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</si>
  <si>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</si>
  <si>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</si>
  <si>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</si>
  <si>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</si>
  <si>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</si>
  <si>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</si>
  <si>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</si>
  <si>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</si>
  <si>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</si>
  <si>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</si>
  <si>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</si>
  <si>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</si>
  <si>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</si>
  <si>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</si>
  <si>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</si>
  <si>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</si>
  <si>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</si>
  <si>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</si>
  <si>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</si>
  <si>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</si>
  <si>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</si>
  <si>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</si>
  <si>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</si>
  <si>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</si>
  <si>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</si>
  <si>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</si>
  <si>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</si>
  <si>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</si>
  <si>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</si>
  <si>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</si>
  <si>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</si>
  <si>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</si>
  <si>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</si>
  <si>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</si>
  <si>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</si>
  <si>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</si>
  <si>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</si>
  <si>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</si>
  <si>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</si>
  <si>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</si>
  <si>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</si>
  <si>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</si>
  <si>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</si>
  <si>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</si>
  <si>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</si>
  <si>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</si>
  <si>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</si>
  <si>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</si>
  <si>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</si>
  <si>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</si>
  <si>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</si>
  <si>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</si>
  <si>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</si>
  <si>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</si>
  <si>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</si>
  <si>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</si>
  <si>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</si>
  <si>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</si>
  <si>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</si>
  <si>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</si>
  <si>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</si>
  <si>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</si>
  <si>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</si>
  <si>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</si>
  <si>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</si>
  <si>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</si>
  <si>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</si>
  <si>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</si>
  <si>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</si>
  <si>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</si>
  <si>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</si>
  <si>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</si>
  <si>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</si>
  <si>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</si>
  <si>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</si>
  <si>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</si>
  <si>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</si>
  <si>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</si>
  <si>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</si>
  <si>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</si>
  <si>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</si>
  <si>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</si>
  <si>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</si>
  <si>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</si>
  <si>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</si>
  <si>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</si>
  <si>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</si>
  <si>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</si>
  <si>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</si>
  <si>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</si>
  <si>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</si>
  <si>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</si>
  <si>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</si>
  <si>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</si>
  <si>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</si>
  <si>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</si>
  <si>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</si>
  <si>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</si>
  <si>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</si>
  <si>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</si>
  <si>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</si>
  <si>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</si>
  <si>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</si>
  <si>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</si>
  <si>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</si>
  <si>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</si>
  <si>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</si>
  <si>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</si>
  <si>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</si>
  <si>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</si>
  <si>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</si>
  <si>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</si>
  <si>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</si>
  <si>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</si>
  <si>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</si>
  <si>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</si>
  <si>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</si>
  <si>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</si>
  <si>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</si>
  <si>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</si>
  <si>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</si>
  <si>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</si>
  <si>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</si>
  <si>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</si>
  <si>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</si>
  <si>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</si>
  <si>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</si>
  <si>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</si>
  <si>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</si>
  <si>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</si>
  <si>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</si>
  <si>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</si>
  <si>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</si>
  <si>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</si>
  <si>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</si>
  <si>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</si>
  <si>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</si>
  <si>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</si>
  <si>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</si>
  <si>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</si>
  <si>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</si>
  <si>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</si>
  <si>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</si>
  <si>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</si>
  <si>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</si>
  <si>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</si>
  <si>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</si>
  <si>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</si>
  <si>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</si>
  <si>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</si>
  <si>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</si>
  <si>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</si>
  <si>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</si>
  <si>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</si>
  <si>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</si>
  <si>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</si>
  <si>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</si>
  <si>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</si>
  <si>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</si>
  <si>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</si>
  <si>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</si>
  <si>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</si>
  <si>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</si>
  <si>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</si>
  <si>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</si>
  <si>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</si>
  <si>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</si>
  <si>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</si>
  <si>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</si>
  <si>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</si>
  <si>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</si>
  <si>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</si>
  <si>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</si>
  <si>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</si>
  <si>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</si>
  <si>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</si>
  <si>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</si>
  <si>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</si>
  <si>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</si>
  <si>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</si>
  <si>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</si>
  <si>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</si>
  <si>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</si>
  <si>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</si>
  <si>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</si>
  <si>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</si>
  <si>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</si>
  <si>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</si>
  <si>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</si>
  <si>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</si>
  <si>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</si>
  <si>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</si>
  <si>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</si>
  <si>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</si>
  <si>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</si>
  <si>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</si>
  <si>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</si>
  <si>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</si>
  <si>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</si>
  <si>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</si>
  <si>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</si>
  <si>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</si>
  <si>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</si>
  <si>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</si>
  <si>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</si>
  <si>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</si>
  <si>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</si>
  <si>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</si>
  <si>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</si>
  <si>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</si>
  <si>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</si>
  <si>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</si>
  <si>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</si>
  <si>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</si>
  <si>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</si>
  <si>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</si>
  <si>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</si>
  <si>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</si>
  <si>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</si>
  <si>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</si>
  <si>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</si>
  <si>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</si>
  <si>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</si>
  <si>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</si>
  <si>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</si>
  <si>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</si>
  <si>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</si>
  <si>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</si>
  <si>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</si>
  <si>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</si>
  <si>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</si>
  <si>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</si>
  <si>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</si>
  <si>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</si>
  <si>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</si>
  <si>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</si>
  <si>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</si>
  <si>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</si>
  <si>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</si>
  <si>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</si>
  <si>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</si>
  <si>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</si>
  <si>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</si>
  <si>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</si>
  <si>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</si>
  <si>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</si>
  <si>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</si>
  <si>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</si>
  <si>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</si>
  <si>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</si>
  <si>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</si>
  <si>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</si>
  <si>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</si>
  <si>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</si>
  <si>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</si>
  <si>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</si>
  <si>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</si>
  <si>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</si>
  <si>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</si>
  <si>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</si>
  <si>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</si>
  <si>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</si>
  <si>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</si>
  <si>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</si>
  <si>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</si>
  <si>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</si>
  <si>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</si>
  <si>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</si>
  <si>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</si>
  <si>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</si>
  <si>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</si>
  <si>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</si>
  <si>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</si>
  <si>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</si>
  <si>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</si>
  <si>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</si>
  <si>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</si>
  <si>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</si>
  <si>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</si>
  <si>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</si>
  <si>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</si>
  <si>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</si>
  <si>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</si>
  <si>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</si>
  <si>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</si>
  <si>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</si>
  <si>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</si>
  <si>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</si>
  <si>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</si>
  <si>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</si>
  <si>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</si>
  <si>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</si>
  <si>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</si>
  <si>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</si>
  <si>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</si>
  <si>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</si>
  <si>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</si>
  <si>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</si>
  <si>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</si>
  <si>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</si>
  <si>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</si>
  <si>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</si>
  <si>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</si>
  <si>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Waivers and/or Pre-Approvals - have the following waivers and/or pre-approvals been approved by DCA?</t>
  </si>
  <si>
    <t>Qualification Determination?</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</si>
  <si>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</si>
  <si>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</si>
  <si>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</si>
  <si>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</si>
  <si>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</si>
  <si>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</si>
  <si>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</si>
  <si>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</si>
  <si>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</si>
  <si>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</si>
  <si>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</si>
  <si>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</si>
  <si>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</si>
  <si>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</si>
  <si>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</si>
  <si>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</si>
  <si>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</si>
  <si>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</si>
  <si>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</si>
  <si>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</si>
  <si>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</si>
  <si>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</si>
  <si>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</si>
  <si>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</si>
  <si>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</si>
  <si>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</si>
  <si>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</si>
  <si>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</si>
  <si>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</si>
  <si>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</si>
  <si>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</si>
  <si>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</si>
  <si>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</si>
  <si>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</si>
  <si>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</si>
  <si>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</si>
  <si>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</si>
  <si>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</si>
  <si>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</si>
  <si>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</si>
  <si>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</si>
  <si>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</si>
  <si>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</si>
  <si>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</si>
  <si>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</si>
  <si>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</si>
  <si>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</si>
  <si>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</si>
  <si>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</si>
  <si>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</si>
  <si>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</si>
  <si>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</si>
  <si>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</si>
  <si>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</si>
  <si>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</si>
  <si>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</si>
  <si>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</si>
  <si>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</si>
  <si>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</si>
  <si>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</si>
  <si>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</si>
  <si>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</si>
  <si>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</si>
  <si>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</si>
  <si>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</si>
  <si>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</si>
  <si>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</si>
  <si>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</si>
  <si>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</si>
  <si>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</si>
  <si>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</si>
  <si>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</si>
  <si>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</si>
  <si>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</si>
  <si>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</si>
  <si>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</si>
  <si>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</si>
  <si>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</si>
  <si>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</si>
  <si>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</si>
  <si>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</si>
  <si>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</si>
  <si>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</si>
  <si>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</si>
  <si>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</si>
  <si>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</si>
  <si>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</si>
  <si>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</si>
  <si>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</si>
  <si>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</si>
  <si>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</si>
  <si>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</si>
  <si>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</si>
  <si>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</si>
  <si>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</si>
  <si>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</si>
  <si>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</si>
  <si>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</si>
  <si>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</si>
  <si>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</si>
  <si>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</si>
  <si>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</si>
  <si>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</si>
  <si>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</si>
  <si>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</si>
  <si>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</si>
  <si>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</si>
  <si>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</si>
  <si>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</si>
  <si>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</si>
  <si>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</si>
  <si>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</si>
  <si>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</si>
  <si>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</si>
  <si>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</si>
  <si>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</si>
  <si>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</si>
  <si>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</si>
  <si>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</si>
  <si>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</si>
  <si>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</si>
  <si>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</si>
  <si>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</si>
  <si>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</si>
  <si>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</si>
  <si>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</si>
  <si>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</si>
  <si>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</si>
  <si>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</si>
  <si>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</si>
  <si>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</si>
  <si>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</si>
  <si>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</si>
  <si>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</si>
  <si>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</si>
  <si>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</si>
  <si>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</si>
  <si>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</si>
  <si>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</si>
  <si>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</si>
  <si>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</si>
  <si>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</si>
  <si>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</si>
  <si>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</si>
  <si>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</si>
  <si>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</si>
  <si>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</si>
  <si>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</si>
  <si>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</si>
  <si>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</si>
  <si>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</si>
  <si>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</si>
  <si>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</si>
  <si>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</si>
  <si>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</si>
  <si>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</si>
  <si>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</si>
  <si>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</si>
  <si>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</si>
  <si>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</si>
  <si>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</si>
  <si>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</si>
  <si>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</si>
  <si>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</si>
  <si>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</si>
  <si>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</si>
  <si>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</si>
  <si>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</si>
  <si>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</si>
  <si>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</si>
  <si>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</si>
  <si>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</si>
  <si>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</si>
  <si>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</si>
  <si>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</si>
  <si>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</si>
  <si>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</si>
  <si>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</si>
  <si>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</si>
  <si>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</si>
  <si>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</si>
  <si>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</si>
  <si>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</si>
  <si>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</si>
  <si>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</si>
  <si>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</si>
  <si>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</si>
  <si>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</si>
  <si>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</si>
  <si>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</si>
  <si>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</si>
  <si>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</si>
  <si>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</si>
  <si>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</si>
  <si>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</si>
  <si>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</si>
  <si>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</si>
  <si>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</si>
  <si>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</si>
  <si>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</si>
  <si>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</si>
  <si>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</si>
  <si>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</si>
  <si>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</si>
  <si>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</si>
  <si>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</si>
  <si>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</si>
  <si>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</si>
  <si>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</si>
  <si>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</si>
  <si>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</si>
  <si>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</si>
  <si>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</si>
  <si>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</si>
  <si>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</si>
  <si>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</si>
  <si>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</si>
  <si>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</si>
  <si>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</si>
  <si>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</si>
  <si>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</si>
  <si>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</si>
  <si>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</si>
  <si>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</si>
  <si>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</si>
  <si>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</si>
  <si>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</si>
  <si>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</si>
  <si>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</si>
  <si>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</si>
  <si>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</si>
  <si>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</si>
  <si>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</si>
  <si>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</si>
  <si>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</si>
  <si>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</si>
  <si>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</si>
  <si>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</si>
  <si>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</si>
  <si>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</si>
  <si>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</si>
  <si>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</si>
  <si>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</si>
  <si>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</si>
  <si>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</si>
  <si>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</si>
  <si>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</si>
  <si>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</si>
  <si>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</si>
  <si>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</si>
  <si>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</si>
  <si>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</si>
  <si>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</si>
  <si>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</si>
  <si>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</si>
  <si>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</si>
  <si>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</si>
  <si>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</si>
  <si>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</si>
  <si>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</si>
  <si>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</si>
  <si>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</si>
  <si>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</si>
  <si>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</si>
  <si>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</si>
  <si>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Hist Desig</t>
  </si>
  <si>
    <t>DCA HOME* --&gt; amt from DCA Consent Ltr:</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</si>
  <si>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</si>
  <si>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</si>
  <si>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</si>
  <si>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</si>
  <si>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</si>
  <si>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</si>
  <si>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</si>
  <si>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</si>
  <si>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</si>
  <si>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HUD Properties</t>
  </si>
  <si>
    <t>Expiring Tax Credit Properties</t>
  </si>
  <si>
    <t>15.</t>
  </si>
  <si>
    <t>DCA COMMUNITY INITIATIVES</t>
  </si>
  <si>
    <t>16.</t>
  </si>
  <si>
    <t>identifies the project as located w/in political jurisdiction:</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</si>
  <si>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</si>
  <si>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</si>
  <si>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</si>
  <si>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</si>
  <si>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</si>
  <si>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</si>
  <si>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</si>
  <si>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</si>
  <si>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</si>
  <si>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</si>
  <si>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</si>
  <si>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</si>
  <si>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</si>
  <si>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</si>
  <si>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</si>
  <si>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</si>
  <si>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</si>
  <si>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</si>
  <si>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</si>
  <si>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</si>
  <si>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</si>
  <si>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</si>
  <si>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</si>
  <si>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</si>
  <si>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</si>
  <si>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</si>
  <si>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</si>
  <si>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</si>
  <si>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</si>
  <si>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</si>
  <si>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</si>
  <si>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</si>
  <si>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</si>
  <si>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</si>
  <si>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</si>
  <si>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</si>
  <si>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</si>
  <si>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</si>
  <si>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</si>
  <si>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</si>
  <si>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</si>
  <si>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</si>
  <si>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</si>
  <si>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</si>
  <si>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</si>
  <si>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</si>
  <si>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</si>
  <si>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</si>
  <si>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</si>
  <si>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</si>
  <si>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</si>
  <si>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</si>
  <si>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</si>
  <si>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</si>
  <si>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</si>
  <si>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</si>
  <si>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</si>
  <si>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</si>
  <si>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</si>
  <si>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</si>
  <si>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</si>
  <si>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</si>
  <si>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</si>
  <si>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</si>
  <si>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</si>
  <si>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</si>
  <si>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</si>
  <si>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</si>
  <si>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</si>
  <si>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</si>
  <si>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</si>
  <si>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</si>
  <si>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</si>
  <si>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</si>
  <si>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</si>
  <si>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</si>
  <si>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</si>
  <si>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</si>
  <si>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</si>
  <si>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</si>
  <si>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</si>
  <si>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</si>
  <si>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</si>
  <si>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</si>
  <si>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</si>
  <si>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</si>
  <si>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</si>
  <si>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</si>
  <si>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</si>
  <si>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</si>
  <si>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</si>
  <si>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</si>
  <si>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</si>
  <si>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</si>
  <si>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</si>
  <si>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</si>
  <si>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</si>
  <si>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</si>
  <si>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</si>
  <si>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</si>
  <si>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</si>
  <si>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</si>
  <si>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</si>
  <si>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</si>
  <si>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</si>
  <si>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</si>
  <si>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</si>
  <si>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</si>
  <si>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</si>
  <si>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</si>
  <si>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</si>
  <si>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</si>
  <si>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</si>
  <si>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</si>
  <si>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</si>
  <si>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</si>
  <si>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</si>
  <si>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</si>
  <si>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</si>
  <si>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</si>
  <si>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</si>
  <si>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</si>
  <si>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</si>
  <si>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</si>
  <si>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</si>
  <si>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</si>
  <si>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</si>
  <si>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</si>
  <si>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</si>
  <si>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</si>
  <si>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</si>
  <si>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</si>
  <si>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</si>
  <si>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</si>
  <si>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</si>
  <si>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</si>
  <si>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</si>
  <si>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</si>
  <si>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</si>
  <si>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</si>
  <si>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</si>
  <si>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</si>
  <si>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</si>
  <si>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</si>
  <si>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</si>
  <si>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</si>
  <si>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</si>
  <si>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</si>
  <si>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</si>
  <si>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</si>
  <si>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</si>
  <si>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</si>
  <si>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</si>
  <si>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</si>
  <si>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</si>
  <si>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</si>
  <si>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</si>
  <si>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</si>
  <si>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</si>
  <si>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</si>
  <si>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</si>
  <si>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</si>
  <si>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</si>
  <si>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</si>
  <si>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</si>
  <si>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</si>
  <si>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</si>
  <si>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</si>
  <si>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</si>
  <si>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</si>
  <si>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</si>
  <si>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</si>
  <si>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</si>
  <si>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</si>
  <si>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</si>
  <si>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</si>
  <si>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</si>
  <si>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</si>
  <si>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</si>
  <si>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</si>
  <si>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</si>
  <si>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</si>
  <si>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</si>
  <si>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</si>
  <si>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</si>
  <si>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Sight / Hearing Impaired</t>
  </si>
  <si>
    <t>that clearly:</t>
  </si>
  <si>
    <t>Letter from a designated</t>
  </si>
  <si>
    <t>LEVERAGING OF RESOURCES</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</si>
  <si>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</si>
  <si>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</si>
  <si>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</si>
  <si>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</si>
  <si>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</si>
  <si>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</si>
  <si>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</si>
  <si>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</si>
  <si>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</si>
  <si>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</si>
  <si>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</si>
  <si>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</si>
  <si>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</si>
  <si>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</si>
  <si>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</si>
  <si>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</si>
  <si>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</si>
  <si>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</si>
  <si>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</si>
  <si>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</si>
  <si>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</si>
  <si>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</si>
  <si>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</si>
  <si>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</si>
  <si>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</si>
  <si>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</si>
  <si>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</si>
  <si>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</si>
  <si>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</si>
  <si>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</si>
  <si>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</si>
  <si>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</si>
  <si>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</si>
  <si>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</si>
  <si>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</si>
  <si>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</si>
  <si>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</si>
  <si>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</si>
  <si>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</si>
  <si>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</si>
  <si>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</si>
  <si>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</si>
  <si>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</si>
  <si>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</si>
  <si>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</si>
  <si>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</si>
  <si>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</si>
  <si>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</si>
  <si>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</si>
  <si>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</si>
  <si>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</si>
  <si>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</si>
  <si>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</si>
  <si>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</si>
  <si>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</si>
  <si>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</si>
  <si>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</si>
  <si>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</si>
  <si>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</si>
  <si>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</si>
  <si>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</si>
  <si>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</si>
  <si>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</si>
  <si>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</si>
  <si>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</si>
  <si>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</si>
  <si>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</si>
  <si>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</si>
  <si>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</si>
  <si>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</si>
  <si>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</si>
  <si>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</si>
  <si>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</si>
  <si>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</si>
  <si>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</si>
  <si>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</si>
  <si>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</si>
  <si>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</si>
  <si>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</si>
  <si>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</si>
  <si>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</si>
  <si>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</si>
  <si>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</si>
  <si>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</si>
  <si>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</si>
  <si>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</si>
  <si>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</si>
  <si>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</si>
  <si>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</si>
  <si>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</si>
  <si>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</si>
  <si>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</si>
  <si>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</si>
  <si>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</si>
  <si>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</si>
  <si>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</si>
  <si>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</si>
  <si>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</si>
  <si>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</si>
  <si>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</si>
  <si>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</si>
  <si>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</si>
  <si>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</si>
  <si>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</si>
  <si>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</si>
  <si>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</si>
  <si>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</si>
  <si>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</si>
  <si>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</si>
  <si>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</si>
  <si>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</si>
  <si>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</si>
  <si>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</si>
  <si>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</si>
  <si>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</si>
  <si>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</si>
  <si>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</si>
  <si>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</si>
  <si>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</si>
  <si>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</si>
  <si>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</si>
  <si>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</si>
  <si>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</si>
  <si>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</si>
  <si>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</si>
  <si>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</si>
  <si>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</si>
  <si>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</si>
  <si>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</si>
  <si>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</si>
  <si>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</si>
  <si>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</si>
  <si>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</si>
  <si>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</si>
  <si>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</si>
  <si>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</si>
  <si>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</si>
  <si>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</si>
  <si>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</si>
  <si>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</si>
  <si>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</si>
  <si>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</si>
  <si>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</si>
  <si>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</si>
  <si>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</si>
  <si>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</si>
  <si>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</si>
  <si>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</si>
  <si>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</si>
  <si>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</si>
  <si>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</si>
  <si>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</si>
  <si>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</si>
  <si>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</si>
  <si>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</si>
  <si>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</si>
  <si>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</si>
  <si>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</si>
  <si>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</si>
  <si>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</si>
  <si>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</si>
  <si>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</si>
  <si>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</si>
  <si>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</si>
  <si>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</si>
  <si>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</si>
  <si>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</si>
  <si>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</si>
  <si>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</si>
  <si>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</si>
  <si>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</si>
  <si>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</si>
  <si>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</si>
  <si>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</si>
  <si>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</si>
  <si>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</si>
  <si>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</si>
  <si>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</si>
  <si>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</si>
  <si>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</si>
  <si>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</si>
  <si>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</si>
  <si>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</si>
  <si>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</si>
  <si>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</si>
  <si>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</si>
  <si>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</si>
  <si>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</si>
  <si>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</si>
  <si>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</si>
  <si>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</si>
  <si>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</si>
  <si>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</si>
  <si>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</si>
  <si>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</si>
  <si>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</si>
  <si>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</si>
  <si>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</si>
  <si>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</si>
  <si>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</si>
  <si>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</si>
  <si>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</si>
  <si>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</si>
  <si>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</si>
  <si>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</si>
  <si>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</si>
  <si>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</si>
  <si>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</si>
  <si>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</si>
  <si>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</si>
  <si>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</si>
  <si>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</si>
  <si>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</si>
  <si>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</si>
  <si>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</si>
  <si>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</si>
  <si>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</si>
  <si>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</si>
  <si>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</si>
  <si>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</si>
  <si>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</si>
  <si>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</si>
  <si>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</si>
  <si>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</si>
  <si>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</si>
  <si>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</si>
  <si>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</si>
  <si>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</si>
  <si>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</si>
  <si>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</si>
  <si>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</si>
  <si>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</si>
  <si>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</si>
  <si>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</si>
  <si>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</si>
  <si>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</si>
  <si>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</si>
  <si>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</si>
  <si>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</si>
  <si>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</si>
  <si>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</si>
  <si>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</si>
  <si>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</si>
  <si>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</si>
  <si>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</si>
  <si>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</si>
  <si>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</si>
  <si>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</si>
  <si>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</si>
  <si>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</si>
  <si>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</si>
  <si>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</si>
  <si>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</si>
  <si>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</si>
  <si>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</si>
  <si>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</si>
  <si>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</si>
  <si>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</si>
  <si>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</si>
  <si>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</si>
  <si>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</si>
  <si>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</si>
  <si>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</si>
  <si>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</si>
  <si>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</si>
  <si>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</si>
  <si>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</si>
  <si>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</si>
  <si>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</si>
  <si>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</si>
  <si>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</si>
  <si>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</si>
  <si>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</si>
  <si>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</si>
  <si>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</si>
  <si>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</si>
  <si>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</si>
  <si>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</si>
  <si>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</si>
  <si>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</si>
  <si>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</si>
  <si>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</si>
  <si>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</si>
  <si>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</si>
  <si>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</si>
  <si>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</si>
  <si>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</si>
  <si>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</si>
  <si>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</si>
  <si>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</si>
  <si>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</si>
  <si>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</si>
  <si>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</si>
  <si>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</si>
  <si>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</si>
  <si>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</si>
  <si>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</si>
  <si>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</si>
  <si>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</si>
  <si>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</si>
  <si>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</si>
  <si>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</si>
  <si>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Project Participant</t>
  </si>
  <si>
    <t>Low Income</t>
  </si>
  <si>
    <t>Acq/Rehab</t>
  </si>
  <si>
    <t>Development Authority of Mitchell County</t>
  </si>
  <si>
    <t>Development Authority of Monroe County</t>
  </si>
  <si>
    <t>Conyers</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</si>
  <si>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</si>
  <si>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</si>
  <si>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</si>
  <si>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</si>
  <si>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</si>
  <si>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</si>
  <si>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</si>
  <si>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</si>
  <si>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</si>
  <si>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</si>
  <si>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</si>
  <si>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</si>
  <si>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</si>
  <si>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</si>
  <si>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</si>
  <si>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</si>
  <si>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</si>
  <si>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</si>
  <si>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</si>
  <si>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</si>
  <si>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</si>
  <si>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</si>
  <si>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</si>
  <si>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</si>
  <si>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</si>
  <si>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</si>
  <si>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</si>
  <si>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</si>
  <si>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</si>
  <si>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</si>
  <si>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</si>
  <si>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</si>
  <si>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</si>
  <si>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</si>
  <si>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</si>
  <si>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</si>
  <si>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</si>
  <si>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</si>
  <si>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</si>
  <si>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</si>
  <si>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</si>
  <si>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</si>
  <si>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</si>
  <si>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</si>
  <si>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</si>
  <si>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</si>
  <si>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</si>
  <si>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</si>
  <si>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</si>
  <si>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</si>
  <si>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</si>
  <si>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</si>
  <si>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</si>
  <si>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</si>
  <si>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</si>
  <si>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</si>
  <si>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</si>
  <si>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</si>
  <si>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</si>
  <si>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</si>
  <si>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</si>
  <si>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</si>
  <si>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</si>
  <si>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</si>
  <si>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</si>
  <si>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</si>
  <si>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</si>
  <si>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</si>
  <si>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</si>
  <si>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</si>
  <si>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</si>
  <si>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</si>
  <si>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</si>
  <si>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</si>
  <si>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</si>
  <si>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</si>
  <si>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</si>
  <si>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</si>
  <si>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</si>
  <si>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</si>
  <si>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</si>
  <si>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</si>
  <si>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</si>
  <si>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</si>
  <si>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</si>
  <si>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</si>
  <si>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</si>
  <si>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</si>
  <si>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</si>
  <si>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</si>
  <si>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</si>
  <si>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</si>
  <si>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</si>
  <si>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</si>
  <si>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</si>
  <si>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</si>
  <si>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</si>
  <si>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</si>
  <si>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</si>
  <si>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</si>
  <si>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</si>
  <si>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</si>
  <si>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</si>
  <si>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</si>
  <si>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</si>
  <si>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</si>
  <si>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</si>
  <si>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</si>
  <si>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</si>
  <si>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</si>
  <si>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</si>
  <si>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</si>
  <si>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</si>
  <si>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</si>
  <si>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</si>
  <si>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</si>
  <si>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</si>
  <si>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</si>
  <si>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</si>
  <si>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</si>
  <si>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</si>
  <si>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</si>
  <si>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</si>
  <si>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</si>
  <si>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</si>
  <si>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</si>
  <si>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</si>
  <si>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</si>
  <si>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</si>
  <si>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</si>
  <si>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</si>
  <si>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</si>
  <si>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</si>
  <si>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</si>
  <si>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</si>
  <si>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</si>
  <si>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</si>
  <si>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</si>
  <si>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</si>
  <si>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</si>
  <si>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</si>
  <si>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</si>
  <si>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</si>
  <si>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</si>
  <si>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</si>
  <si>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</si>
  <si>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</si>
  <si>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</si>
  <si>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</si>
  <si>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</si>
  <si>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</si>
  <si>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</si>
  <si>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</si>
  <si>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</si>
  <si>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</si>
  <si>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</si>
  <si>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</si>
  <si>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</si>
  <si>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</si>
  <si>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</si>
  <si>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</si>
  <si>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</si>
  <si>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</si>
  <si>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</si>
  <si>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</si>
  <si>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</si>
  <si>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</si>
  <si>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</si>
  <si>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</si>
  <si>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</si>
  <si>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</si>
  <si>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</si>
  <si>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</si>
  <si>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</si>
  <si>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</si>
  <si>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</si>
  <si>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</si>
  <si>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</si>
  <si>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</si>
  <si>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</si>
  <si>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</si>
  <si>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</si>
  <si>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</si>
  <si>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</si>
  <si>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</si>
  <si>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</si>
  <si>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</si>
  <si>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</si>
  <si>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</si>
  <si>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</si>
  <si>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</si>
  <si>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</si>
  <si>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</si>
  <si>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</si>
  <si>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</si>
  <si>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</si>
  <si>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</si>
  <si>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</si>
  <si>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</si>
  <si>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</si>
  <si>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</si>
  <si>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</si>
  <si>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</si>
  <si>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</si>
  <si>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</si>
  <si>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</si>
  <si>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</si>
  <si>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</si>
  <si>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</si>
  <si>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</si>
  <si>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</si>
  <si>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</si>
  <si>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</si>
  <si>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</si>
  <si>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</si>
  <si>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</si>
  <si>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</si>
  <si>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</si>
  <si>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</si>
  <si>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</si>
  <si>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</si>
  <si>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</si>
  <si>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</si>
  <si>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</si>
  <si>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</si>
  <si>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</si>
  <si>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</si>
  <si>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</si>
  <si>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</si>
  <si>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</si>
  <si>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</si>
  <si>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</si>
  <si>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</si>
  <si>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</si>
  <si>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</si>
  <si>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</si>
  <si>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</si>
  <si>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</si>
  <si>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</si>
  <si>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</si>
  <si>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</si>
  <si>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</si>
  <si>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</si>
  <si>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</si>
  <si>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</si>
  <si>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</si>
  <si>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</si>
  <si>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</si>
  <si>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</si>
  <si>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</si>
  <si>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</si>
  <si>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</si>
  <si>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</si>
  <si>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</si>
  <si>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</si>
  <si>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</si>
  <si>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</si>
  <si>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</si>
  <si>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</si>
  <si>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</si>
  <si>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</si>
  <si>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</si>
  <si>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</si>
  <si>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</si>
  <si>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</si>
  <si>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</si>
  <si>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</si>
  <si>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</si>
  <si>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</si>
  <si>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</si>
  <si>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</si>
  <si>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</si>
  <si>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</si>
  <si>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</si>
  <si>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</si>
  <si>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</si>
  <si>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</si>
  <si>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</si>
  <si>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</si>
  <si>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</si>
  <si>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</si>
  <si>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</si>
  <si>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</si>
  <si>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</si>
  <si>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</si>
  <si>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</si>
  <si>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</si>
  <si>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</si>
  <si>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</si>
  <si>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</si>
  <si>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</si>
  <si>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</si>
  <si>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</si>
  <si>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</si>
  <si>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</si>
  <si>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</si>
  <si>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</si>
  <si>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</si>
  <si>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</si>
  <si>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</si>
  <si>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</si>
  <si>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</si>
  <si>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</si>
  <si>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</si>
  <si>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</si>
  <si>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</si>
  <si>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</si>
  <si>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</si>
  <si>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</si>
  <si>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</si>
  <si>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</si>
  <si>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</si>
  <si>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</si>
  <si>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</si>
  <si>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</si>
  <si>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</si>
  <si>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</si>
  <si>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</si>
  <si>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</si>
  <si>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</si>
  <si>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</si>
  <si>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</si>
  <si>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</si>
  <si>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</si>
  <si>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</si>
  <si>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</si>
  <si>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</si>
  <si>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</si>
  <si>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</si>
  <si>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</si>
  <si>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</si>
  <si>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</si>
  <si>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</si>
  <si>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</si>
  <si>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</si>
  <si>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</si>
  <si>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</si>
  <si>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</si>
  <si>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</si>
  <si>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</si>
  <si>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</si>
  <si>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</si>
  <si>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</si>
  <si>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</si>
  <si>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</si>
  <si>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</si>
  <si>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</si>
  <si>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</si>
  <si>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</si>
  <si>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</si>
  <si>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</si>
  <si>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</si>
  <si>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</si>
  <si>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</si>
  <si>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</si>
  <si>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</si>
  <si>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</si>
  <si>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</si>
  <si>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</si>
  <si>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</si>
  <si>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</si>
  <si>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</si>
  <si>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</si>
  <si>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</si>
  <si>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</si>
  <si>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</si>
  <si>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</si>
  <si>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</si>
  <si>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</si>
  <si>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</si>
  <si>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</si>
  <si>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</si>
  <si>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</si>
  <si>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</si>
  <si>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</si>
  <si>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</si>
  <si>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</si>
  <si>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A short-term work plan?</t>
  </si>
  <si>
    <t>A comprehensive plan, consolidated plan, municipal zoning plan or land use plan?</t>
  </si>
  <si>
    <t>More than four years old?</t>
  </si>
  <si>
    <t>PHASED DEVELOPMENTS / PREVIOUS PROJECTS</t>
  </si>
  <si>
    <t>MARKET</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</si>
  <si>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</si>
  <si>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</si>
  <si>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</si>
  <si>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</si>
  <si>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</si>
  <si>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</si>
  <si>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</si>
  <si>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</si>
  <si>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</si>
  <si>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</si>
  <si>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</si>
  <si>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</si>
  <si>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</si>
  <si>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</si>
  <si>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</si>
  <si>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</si>
  <si>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</si>
  <si>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</si>
  <si>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</si>
  <si>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</si>
  <si>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</si>
  <si>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</si>
  <si>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</si>
  <si>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</si>
  <si>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</si>
  <si>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</si>
  <si>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</si>
  <si>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</si>
  <si>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</si>
  <si>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</si>
  <si>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</si>
  <si>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</si>
  <si>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</si>
  <si>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</si>
  <si>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</si>
  <si>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</si>
  <si>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</si>
  <si>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</si>
  <si>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</si>
  <si>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</si>
  <si>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</si>
  <si>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</si>
  <si>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</si>
  <si>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</si>
  <si>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</si>
  <si>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</si>
  <si>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</si>
  <si>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</si>
  <si>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</si>
  <si>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</si>
  <si>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</si>
  <si>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</si>
  <si>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</si>
  <si>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</si>
  <si>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</si>
  <si>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</si>
  <si>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</si>
  <si>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</si>
  <si>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</si>
  <si>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</si>
  <si>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</si>
  <si>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</si>
  <si>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</si>
  <si>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</si>
  <si>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</si>
  <si>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</si>
  <si>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</si>
  <si>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</si>
  <si>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</si>
  <si>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</si>
  <si>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</si>
  <si>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</si>
  <si>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</si>
  <si>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</si>
  <si>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</si>
  <si>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</si>
  <si>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</si>
  <si>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</si>
  <si>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</si>
  <si>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</si>
  <si>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</si>
  <si>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</si>
  <si>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</si>
  <si>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</si>
  <si>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</si>
  <si>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</si>
  <si>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</si>
  <si>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</si>
  <si>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</si>
  <si>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</si>
  <si>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</si>
  <si>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</si>
  <si>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</si>
  <si>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</si>
  <si>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</si>
  <si>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</si>
  <si>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</si>
  <si>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</si>
  <si>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</si>
  <si>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</si>
  <si>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</si>
  <si>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</si>
  <si>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</si>
  <si>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</si>
  <si>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</si>
  <si>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</si>
  <si>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</si>
  <si>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</si>
  <si>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</si>
  <si>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</si>
  <si>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</si>
  <si>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</si>
  <si>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</si>
  <si>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</si>
  <si>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</si>
  <si>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</si>
  <si>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</si>
  <si>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</si>
  <si>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</si>
  <si>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</si>
  <si>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</si>
  <si>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</si>
  <si>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</si>
  <si>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</si>
  <si>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</si>
  <si>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</si>
  <si>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</si>
  <si>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</si>
  <si>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</si>
  <si>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</si>
  <si>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</si>
  <si>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</si>
  <si>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</si>
  <si>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</si>
  <si>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</si>
  <si>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</si>
  <si>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</si>
  <si>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</si>
  <si>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</si>
  <si>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</si>
  <si>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</si>
  <si>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</si>
  <si>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</si>
  <si>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</si>
  <si>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</si>
  <si>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</si>
  <si>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</si>
  <si>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</si>
  <si>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</si>
  <si>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</si>
  <si>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</si>
  <si>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</si>
  <si>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</si>
  <si>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</si>
  <si>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</si>
  <si>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</si>
  <si>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</si>
  <si>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</si>
  <si>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</si>
  <si>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</si>
  <si>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</si>
  <si>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</si>
  <si>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</si>
  <si>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</si>
  <si>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</si>
  <si>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</si>
  <si>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</si>
  <si>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</si>
  <si>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CHOICE Neighborhoods</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</si>
  <si>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</si>
  <si>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</si>
  <si>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</si>
  <si>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</si>
  <si>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</si>
  <si>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</si>
  <si>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</si>
  <si>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</si>
  <si>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</si>
  <si>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</si>
  <si>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</si>
  <si>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</si>
  <si>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</si>
  <si>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</si>
  <si>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</si>
  <si>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</si>
  <si>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</si>
  <si>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</si>
  <si>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</si>
  <si>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</si>
  <si>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</si>
  <si>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</si>
  <si>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</si>
  <si>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</si>
  <si>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</si>
  <si>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1b)</t>
  </si>
  <si>
    <t>2a)</t>
  </si>
  <si>
    <t>2b)</t>
  </si>
  <si>
    <r>
      <t>Site is</t>
    </r>
    <r>
      <rPr>
        <b/>
        <i/>
        <sz val="9"/>
        <rFont val="Arial"/>
        <family val="2"/>
      </rPr>
      <t xml:space="preserve"> adjacent to </t>
    </r>
    <r>
      <rPr>
        <b/>
        <sz val="9"/>
        <rFont val="Arial"/>
        <family val="2"/>
      </rPr>
      <t>(within 300 ft) of an established public transportation stop</t>
    </r>
  </si>
  <si>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</si>
  <si>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</si>
  <si>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</si>
  <si>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</si>
  <si>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</si>
  <si>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</si>
  <si>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</si>
  <si>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</si>
  <si>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</si>
  <si>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PRESERVATION PRIORITY POINTS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</si>
  <si>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</si>
  <si>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</si>
  <si>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</si>
  <si>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</si>
  <si>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Not Previously Rehabilitated</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</si>
  <si>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</si>
  <si>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</si>
  <si>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</si>
  <si>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</si>
  <si>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</si>
  <si>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Hard Costs Proportion</t>
  </si>
  <si>
    <t>Application construction hard costs are at least 45% of TDC.</t>
  </si>
  <si>
    <t>Are more than two DCA funded projects in primary market area which have occupancy rates of less than 90% and compete for same tenant base as proposed project?</t>
  </si>
  <si>
    <t>COMMUNITY TRANSPORTATION OPTIONS</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</si>
  <si>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</si>
  <si>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</si>
  <si>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</si>
  <si>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</si>
  <si>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</si>
  <si>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</si>
  <si>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</si>
  <si>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</si>
  <si>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</si>
  <si>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</si>
  <si>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</si>
  <si>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</si>
  <si>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</si>
  <si>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</si>
  <si>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</si>
  <si>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</si>
  <si>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</si>
  <si>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</si>
  <si>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</si>
  <si>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</si>
  <si>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</si>
  <si>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</si>
  <si>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</si>
  <si>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</si>
  <si>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</si>
  <si>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</si>
  <si>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</si>
  <si>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</si>
  <si>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</si>
  <si>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</si>
  <si>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</si>
  <si>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</si>
  <si>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</si>
  <si>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</si>
  <si>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</si>
  <si>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</si>
  <si>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</si>
  <si>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</si>
  <si>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</si>
  <si>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</si>
  <si>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</si>
  <si>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</si>
  <si>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QUALIFICATIONS FOR PROJECT PARTICIPANTS (PERFORMANCE)</t>
  </si>
  <si>
    <t>COMPLIANCE HISTORY SUMMARY</t>
  </si>
  <si>
    <t>REQUIRED LEGAL OPINIONS</t>
  </si>
  <si>
    <t>RELOCATION AND DISPLACEMENT OF TENANTS</t>
  </si>
  <si>
    <t>MARKETING TO POPULATIONS WITH DISABILITIES OR THE HOMELESS</t>
  </si>
  <si>
    <t>OPTIMAL UTILIZATION OF RESOURCES</t>
  </si>
  <si>
    <t>Indicate all that apply to the proposed project.</t>
  </si>
  <si>
    <t>An existing tax credit property which has met or will meet the 15-year Compliance Period prior to the earlier of the date of acquisition by the new development owner or the end of the year of the carryover allocation.</t>
  </si>
  <si>
    <t>Eligible</t>
  </si>
  <si>
    <t>Ineligible</t>
  </si>
  <si>
    <t>Outstanding or uncured major non-compliance issues</t>
  </si>
  <si>
    <t xml:space="preserve">Functional obsolescence </t>
  </si>
  <si>
    <t>Property is in substantially good condition and does not need immediate recapitalization</t>
  </si>
  <si>
    <t>Poor condition of the property is the result of the willful deferral of maintenance by the owner</t>
  </si>
  <si>
    <t>Units are not at risk of losing affordability if converted to market units</t>
  </si>
  <si>
    <t>Primary purpose is to subsidize an ownership transfer</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</si>
  <si>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</si>
  <si>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</si>
  <si>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</si>
  <si>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</si>
  <si>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Is the completed Organizational Chart included in the application?</t>
  </si>
  <si>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</si>
  <si>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</si>
  <si>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</si>
  <si>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</si>
  <si>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</si>
  <si>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</si>
  <si>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</si>
  <si>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is executed by the official representative of the Community</t>
  </si>
  <si>
    <t>Is Conceptual Site Development Plan included in application and has it been prepared in accordance with instructions set forth in Manual?</t>
  </si>
  <si>
    <t>Setasides</t>
  </si>
  <si>
    <t>CHDO</t>
  </si>
  <si>
    <t>Percent of available 9% credit pool</t>
  </si>
  <si>
    <t>Percent of state HOME allocation</t>
  </si>
  <si>
    <t>Rural w/USDA 515 Financing</t>
  </si>
  <si>
    <t>General Requirements (exclusive of Contractor Svcs)</t>
  </si>
  <si>
    <t>Single Family fee</t>
  </si>
  <si>
    <t>Per Dwelling</t>
  </si>
  <si>
    <t>Nbr units to have these restrictions:</t>
  </si>
  <si>
    <t>USDA 515 or URFA Fee</t>
  </si>
  <si>
    <t>Percent of Residential Units:</t>
  </si>
  <si>
    <t>Choose one.</t>
  </si>
  <si>
    <t>*** Check point score value for this criteria</t>
  </si>
  <si>
    <t>Indicate which of the following criteria the project will meet:</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</si>
  <si>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</si>
  <si>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</si>
  <si>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</si>
  <si>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</si>
  <si>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</si>
  <si>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</si>
  <si>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</si>
  <si>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</si>
  <si>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</si>
  <si>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If the CHDO is a GP with a for-profit or non-profit general partner, does the CHDO own at least 51% of the general partnership interest?</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</si>
  <si>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</si>
  <si>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</si>
  <si>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</si>
  <si>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</si>
  <si>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</si>
  <si>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</si>
  <si>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</si>
  <si>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</si>
  <si>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If selected, does the Applicant agree to designate these populations as having priority for units with rental assistance if allowable under their rental assistance agreements?</t>
  </si>
  <si>
    <t xml:space="preserve">DO NOT cut, copy or paste cells in this tab.  For Common Space (non-income producing) units, select "N/A-CS" for Rent Type and "Common" for Employee Unit.  </t>
  </si>
  <si>
    <t>Applicant agrees that this proposed property must achieve a minimum standard for energy efficiency and sustainable building practices upon construction completion as set forth in the QAP and Manual?</t>
  </si>
  <si>
    <t>Applicant agrees that the final construction documents must clearly indicate all components of the building envelope and all materials and equipment that meet the requirements set forth in the QAP and Architectural Manual?</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</si>
  <si>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</si>
  <si>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</si>
  <si>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</si>
  <si>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</si>
  <si>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</si>
  <si>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</si>
  <si>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TOTAL SCORE WITHOUT PRESERVATION POINTS</t>
  </si>
  <si>
    <t>Min percent:</t>
  </si>
  <si>
    <t>Public Benefits Affidavit</t>
  </si>
  <si>
    <t>Nonprofit Setaside selection from Project Information tab:</t>
  </si>
  <si>
    <t>ELIGIBILITY FOR CREDIT UNDER THE PRESERVATION SET-ASIDE</t>
  </si>
  <si>
    <t>Construction Period Inspection Fees</t>
  </si>
  <si>
    <t>Name of Company that prepared the Phase I Assessment:</t>
  </si>
  <si>
    <t xml:space="preserve"> If "Yes", name of company that prepared the noise assessment?</t>
  </si>
  <si>
    <t>Rehabilitation projects will be considered for funding only if the per unit rehabilitation hard costs exceed $25,000.  The costs of furniture, fixtures, construction of community buildings and common area amenities are not included in these amounts.</t>
  </si>
  <si>
    <t>For LIHTC projects involving DCA HOME funds, does the total hard cost of the project exceed 90% of the as completed unencumbered appraised value of the property?</t>
  </si>
  <si>
    <t>Project seeks to obtain a sustainable community certification from the program chosen above:</t>
  </si>
  <si>
    <t>Is the required documentation included in the appropriate tab of the application?</t>
  </si>
  <si>
    <t>(80 total units or less, must be 100% new construction)</t>
  </si>
  <si>
    <t>Application proposes to pay the full balance of a DCA HOME loan where the minimum statutory period of affordability has expired?</t>
  </si>
  <si>
    <t>Project is under development by a local public housing authority using replacement housing factor (RHF) funds or a loan secured by the assets and/or capital funds of the PHA as the primary source of financing?</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</si>
  <si>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</si>
  <si>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</si>
  <si>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</si>
  <si>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</si>
  <si>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</si>
  <si>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</si>
  <si>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</si>
  <si>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</si>
  <si>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</si>
  <si>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</si>
  <si>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</si>
  <si>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</si>
  <si>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</si>
  <si>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</si>
  <si>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</si>
  <si>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</si>
  <si>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</si>
  <si>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</si>
  <si>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</si>
  <si>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</si>
  <si>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</si>
  <si>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</si>
  <si>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</si>
  <si>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</si>
  <si>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Project seeks points for certification in following categories:</t>
  </si>
  <si>
    <t xml:space="preserve"> renewable electric generation</t>
  </si>
  <si>
    <t>alternative thermal production</t>
  </si>
  <si>
    <t>on site renewable energy sources</t>
  </si>
  <si>
    <t>district heating and cooling</t>
  </si>
  <si>
    <t>Existing properties: currently an Extension of Cancellation Option?</t>
  </si>
  <si>
    <t>New properties: to exercise an Extension of Cancellation Option?</t>
  </si>
  <si>
    <t>Website</t>
  </si>
  <si>
    <t>Specify:</t>
  </si>
  <si>
    <r>
      <rPr>
        <b/>
        <sz val="10"/>
        <color indexed="10"/>
        <rFont val="Arial"/>
        <family val="2"/>
      </rPr>
      <t>Choose only one option under A or only one option under B</t>
    </r>
    <r>
      <rPr>
        <sz val="10"/>
        <color indexed="10"/>
        <rFont val="Arial"/>
        <family val="2"/>
      </rPr>
      <t>.   Indicate selection in box above.  Additional required questions depending on option selected:</t>
    </r>
  </si>
  <si>
    <t>Redevelopment Plan has been formulated by the local government under O.C.G.A.:</t>
  </si>
  <si>
    <t>&lt;&lt;Select statute&gt;&gt;</t>
  </si>
  <si>
    <t>Redevelopment Plan clearly targets the specific neighborhood in which the project is located?</t>
  </si>
  <si>
    <t>Redevelopment Plan is current?   Date Redevelopment Plan adopted by local govt:</t>
  </si>
  <si>
    <t>Project is located in area w/ ongoing Redevelopment Plan adopted by the local govt:</t>
  </si>
  <si>
    <t>Page nbr(s):</t>
  </si>
  <si>
    <t>Redevelopment Plan clearly documents its' direct effect on the site of the proposed project?</t>
  </si>
  <si>
    <t>Redevelopment Zone</t>
  </si>
  <si>
    <t>&lt;---This box for points, not Y/N.</t>
  </si>
  <si>
    <t>Expiration Date:</t>
  </si>
  <si>
    <t>Is site control provided through November 30, 2013?</t>
  </si>
  <si>
    <t>Does this project comply with applicable DCA accessibility requirements detailed in the 2013 Architectural and Accessibility Manuals?</t>
  </si>
  <si>
    <t>List DCA tax credit projects (inside a 2-mile radius for urban or, for rural, the greater of a 10-mile radius or the local jurisdiction) for years 2009 - 2012.  Include both DCA project number and project name in each case.</t>
  </si>
  <si>
    <t>Adopted on or before January 1, 2013?</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</si>
  <si>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</si>
  <si>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</si>
  <si>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</si>
  <si>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</si>
  <si>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</si>
  <si>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</si>
  <si>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</si>
  <si>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</si>
  <si>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</si>
  <si>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</si>
  <si>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</si>
  <si>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</si>
  <si>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</si>
  <si>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</si>
  <si>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</si>
  <si>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</si>
  <si>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</si>
  <si>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</si>
  <si>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</si>
  <si>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Total Per Unit Cost Limit for Project</t>
  </si>
  <si>
    <t>Development will cause a 10% increase or greater in rents</t>
  </si>
  <si>
    <t>Development will result in a loss of units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</si>
  <si>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</si>
  <si>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</si>
  <si>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</si>
  <si>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Agreement to accept PBRA for Target Population</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</si>
  <si>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</si>
  <si>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</si>
  <si>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</si>
  <si>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</si>
  <si>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</si>
  <si>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Lead in wtr?</t>
  </si>
  <si>
    <t>If Historic Designation involved, indicate below (Y/N):</t>
  </si>
  <si>
    <t>Per Unit Cost Limitation Waiver Request?</t>
  </si>
  <si>
    <t>Sustainable Communities Site Analysis Packet or Feasibility study?</t>
  </si>
  <si>
    <t>Noise Waiver?</t>
  </si>
  <si>
    <t>Exterior gathering area (if "Other", explain in box provided at right):</t>
  </si>
  <si>
    <t>If "Other", explain here</t>
  </si>
  <si>
    <t>Additional Amenities (describe below)</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</si>
  <si>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2013 Accessibility Manual?  Also, when two or more accessibility standards apply, the applicant is required to follow and apply both standards so that a maximum accessibility is obtained.</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</si>
  <si>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</si>
  <si>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</si>
  <si>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</si>
  <si>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</si>
  <si>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Applicant agrees to arrange for preconstruction plan review and inspection of project by a DCA-qualified consultant at least 3 times during construction in order to monitor grading operations, framing, and final compliance?  DCA must be copied on all reviews/reports.</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</si>
  <si>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</si>
  <si>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</si>
  <si>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</si>
  <si>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</si>
  <si>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Project seeks points under the “conservation” development form?</t>
  </si>
  <si>
    <t>1c)</t>
  </si>
  <si>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</si>
  <si>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</si>
  <si>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</si>
  <si>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</si>
  <si>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</si>
  <si>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Identifier/Nbr:</t>
  </si>
  <si>
    <t xml:space="preserve"> DCA funding cycles</t>
  </si>
  <si>
    <t>OR is located outside of a 2-mile radius from such a funded project in Urban areas or outside of a 10-mile radius from such a project in Rural areas.</t>
  </si>
  <si>
    <t xml:space="preserve">Proposed development site is w/in the boundaries of a Local Government where a 9% Credit, 4% Credit and/or HOME project has not been awarded w/in last </t>
  </si>
  <si>
    <t>Have occupancy rates at comparable DCA properties experienced a significant decline (more than 5% over a two year period)?</t>
  </si>
  <si>
    <t>Has there been a significant change in economic conditions in the proposed market which could detrimentally affect the long term viability of the proposed project and the proposed tenant population?</t>
  </si>
  <si>
    <t>Is there less than a 10% difference in proposed rents and market rate rents at comparable properties?</t>
  </si>
  <si>
    <t>Historic tax credit proceeds</t>
  </si>
  <si>
    <t>Replacement Housing Funds</t>
  </si>
  <si>
    <t>Grant funds from nonprofit organizations</t>
  </si>
  <si>
    <t>Loans with interest rates below AFR from nonprofit organizations</t>
  </si>
  <si>
    <t>Grant funds from government entities</t>
  </si>
  <si>
    <t>Loans with interest rates below AFR from government entities</t>
  </si>
  <si>
    <t>l)</t>
  </si>
  <si>
    <t>m)</t>
  </si>
  <si>
    <t>n)</t>
  </si>
  <si>
    <t>Project receives long-term (no less than 45-year) ground lease from a local public housing authority, local government or a charitable nonprofit organization for nominal consideration and no other land costs.</t>
  </si>
  <si>
    <t>Community-Driven Housing Strategies</t>
  </si>
  <si>
    <t>Innovative Project Concept and Design</t>
  </si>
  <si>
    <t>Applicant agrees to accept government project-based rental assistance for up to 15% of the units for the purpose of providing integrated housing opportunities to individuals with mental illness, as defined in the Settlement Agreement between the State of Georgia and the Department of Justice (#1:10-CV-249-CAP) and to individuals eligible to participate in the Money Follows the Person program.</t>
  </si>
  <si>
    <t>The property is an adaptive reuse of a certified historic structure (either listed individually on the National Register, or as a contributing structure in a National Register Historic District), or is deemed via a Georgia DNR-HPD approved NPS Part 1- Evaluation of Significance to have a preliminary determination of listing on the National Register.</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</si>
  <si>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</si>
  <si>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Project has a project-based Section 8 contract but is eligible to opt out of that contract with a one-year notice to tenants. To be eligible to opt out, the Contract must be out of its original term and in a renewal period of 5 years or less.</t>
  </si>
  <si>
    <t>Project-Based Rental Assistance or Subsidies</t>
  </si>
  <si>
    <t>Application preserves a project with a commitment of government-awarded rental assistance or subsidies for at least 30% of low-income units for a minimum of five (5) years. This percentage will be calculated based on the total residential units (common space employee units will not be included in the total residential units).</t>
  </si>
  <si>
    <t>Application will rehabilitate an existing tax credit property with a Compliance Period that began at least 20 years prior to the application deadline.</t>
  </si>
  <si>
    <t>Application will rehabilitate an existing tax credit property with a Compliance Period that began at least 18 years prior to the application deadline.</t>
  </si>
  <si>
    <t>High Performing School Zones</t>
  </si>
  <si>
    <t>Application preserves a Family property which is located in the attendance zone of a high-performing elementary school. DCA defines a high-performance school as one in which each grade level meets or exceeds the average state achievement level.</t>
  </si>
  <si>
    <t>&lt;Select a Stable Communities/Redevelopment/Revitalization option&gt;</t>
  </si>
  <si>
    <t>Designation:</t>
  </si>
  <si>
    <t>Stable Communities &lt; 10%</t>
  </si>
  <si>
    <t>Statutory Redevelopment Plan</t>
  </si>
  <si>
    <t>Local Redevelopment Plan</t>
  </si>
  <si>
    <t>Stable Communities &lt; 5%</t>
  </si>
  <si>
    <t>Stable Communities &lt; 15%</t>
  </si>
  <si>
    <t>Stable Communities &lt; 20%</t>
  </si>
  <si>
    <t>per Res'l unit</t>
  </si>
  <si>
    <t>per Res'l sq ft</t>
  </si>
  <si>
    <t>Have any changes occurred in the project since pre-application?</t>
  </si>
  <si>
    <t>Note: if a PUCL Waiver has been approved by DCA, that amount would supercede the amounts shown at left.</t>
  </si>
  <si>
    <t>Project is under development by a local public housing authority using replacement housing factor (RHF) funds or a loan secured by the assets and/or capital funds of the PHA as the primary source of financing.</t>
  </si>
  <si>
    <t>Project has a project-based Section 8 contract but is eligible to opt out of that contract with a one-year notice to tenants. The Contract is out of its original term and in a renewal period of 5 years or less.</t>
  </si>
  <si>
    <t>Existing HUD 236 project.  The Interest Reduction Payment (IRP) will be decoupled from the Section 236 agreement if housing credits are awarded (exceptions permitted on case-by-case basis). The affordability requirements of the Section 236 agreement will also be maintained for the property.</t>
  </si>
  <si>
    <t>Other affordable non-public housing project that has existing funding from HUD, is severely deteriorated, and has been designated by HUD as a preservation project that is in danger of losing its affordability.</t>
  </si>
  <si>
    <t>Existing U.S. Department of Agriculture, Rural Development (RD) project with Section 515 financing and project based rental assistance for at least fifty percent (50%) of the units.</t>
  </si>
  <si>
    <t>At lease one selected?</t>
  </si>
  <si>
    <r>
      <t xml:space="preserve">Select Preservation Set Aside </t>
    </r>
    <r>
      <rPr>
        <b/>
        <u/>
        <sz val="8"/>
        <color rgb="FFFF0000"/>
        <rFont val="Arial"/>
        <family val="2"/>
      </rPr>
      <t>and</t>
    </r>
    <r>
      <rPr>
        <b/>
        <sz val="8"/>
        <color rgb="FFFF0000"/>
        <rFont val="Arial"/>
        <family val="2"/>
      </rPr>
      <t xml:space="preserve"> Preservation in "Part I Project Info" tab.  Enter Y in Threshold 23 Preservation Eligibility.</t>
    </r>
  </si>
  <si>
    <t>------------&gt;</t>
  </si>
  <si>
    <t>(Enter phone nbrs w/out using hyphens, parentheses, etc - ex: 1234567890)</t>
  </si>
  <si>
    <t>Census Tract</t>
  </si>
  <si>
    <r>
      <t xml:space="preserve">   HQ Congressional District </t>
    </r>
    <r>
      <rPr>
        <b/>
        <sz val="9"/>
        <color indexed="10"/>
        <rFont val="Arial Narrow"/>
        <family val="2"/>
      </rPr>
      <t>*</t>
    </r>
  </si>
  <si>
    <t>The project has DCA HOME and has met the statutory period of affordability or will meet the statutory period of affordability by Dec 31, 2013.</t>
  </si>
  <si>
    <r>
      <t xml:space="preserve">Nearest Physical Street Address </t>
    </r>
    <r>
      <rPr>
        <b/>
        <sz val="10"/>
        <color rgb="FFFF0000"/>
        <rFont val="Arial Narrow"/>
        <family val="2"/>
      </rPr>
      <t>*</t>
    </r>
  </si>
  <si>
    <t xml:space="preserve">    If Yes, Number of Sites</t>
  </si>
  <si>
    <t>Scoring Section 15A - Innovative Project Concept and Design Narrative</t>
  </si>
  <si>
    <t>If Yes, a form for applicant's required narrative is located in Tab IX-B of this electronic core application.  Is a completed printed copy of this narrative (no more than two pages) included in the application binder where indicated by the Tabs Checklist?</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</si>
  <si>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</si>
  <si>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</si>
  <si>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</si>
  <si>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</si>
  <si>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</si>
  <si>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</si>
  <si>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</si>
  <si>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Is the proposed project part of a </t>
    </r>
    <r>
      <rPr>
        <b/>
        <sz val="8"/>
        <rFont val="Arial"/>
        <family val="2"/>
      </rPr>
      <t>Public Housing Authority’s</t>
    </r>
    <r>
      <rPr>
        <sz val="8"/>
        <rFont val="Arial"/>
        <family val="2"/>
      </rPr>
      <t xml:space="preserve"> master plan for redevelopment in which one or more phases received an allocation of 9% tax credits within the past 3 funding rounds and at least one phase has commenced construction per that allocation?</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</si>
  <si>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</si>
  <si>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</si>
  <si>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</si>
  <si>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t>If not submitted at pre-application, has the principal and entities of each General Partner, Developer, Management Company and Project Consultant(s) submitted a complete and correct DCA Performance Workbook, which includes the DCA Compliance History Summary Form?</t>
  </si>
  <si>
    <t>Is completed compliance questionnaire for each General Partner, Developer, and project consultant(s) included in the Performance Workbook?</t>
  </si>
  <si>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</si>
  <si>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</si>
  <si>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</si>
  <si>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Name of concerted community revitalization plan:</t>
  </si>
  <si>
    <t>Is the required documentation included in the appropriate tab of the application as determined by the Tabs Checklist?</t>
  </si>
  <si>
    <t>Website address displaying Plan information:</t>
  </si>
  <si>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</si>
  <si>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</si>
  <si>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</si>
  <si>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</si>
  <si>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</si>
  <si>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</si>
  <si>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</si>
  <si>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</si>
  <si>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</si>
  <si>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</si>
  <si>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</si>
  <si>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</si>
  <si>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</si>
  <si>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</si>
  <si>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</si>
  <si>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</si>
  <si>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</si>
  <si>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</si>
  <si>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</si>
  <si>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</si>
  <si>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XIV
XVIII</t>
  </si>
  <si>
    <t>A
3.a) c)</t>
  </si>
  <si>
    <t>Leveraging
Preservation</t>
  </si>
  <si>
    <t>XVIII</t>
  </si>
  <si>
    <t>3.d)</t>
  </si>
  <si>
    <t>Section 10</t>
  </si>
  <si>
    <t>Documentation, explanation and / or calculation for real estate tax expense and insurance expense projection</t>
  </si>
  <si>
    <t>Three years' audited operating statements, if applicable</t>
  </si>
  <si>
    <t>II. Cost Limits</t>
  </si>
  <si>
    <t>Commitment from foundation or nonprofit for amount in excess of Cost Limit included in 01-04-01 above (Threshold I.9 a), if applicable</t>
  </si>
  <si>
    <t>XIV</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</si>
  <si>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</si>
  <si>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</si>
  <si>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</si>
  <si>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</si>
  <si>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</si>
  <si>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</si>
  <si>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</si>
  <si>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</si>
  <si>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A.-E.</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</si>
  <si>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</si>
  <si>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</si>
  <si>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</si>
  <si>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</si>
  <si>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</si>
  <si>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</si>
  <si>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Documentation of Site Control evidencing legal control by proposed GP or LP through at least 11/30/13 or 4% bond closing date as applicable</t>
  </si>
  <si>
    <t>Ground lease minimum term of 45 years</t>
  </si>
  <si>
    <t>HOME Contract Addendum (if applicable) / or right to withdraw</t>
  </si>
  <si>
    <t>IX. Site Access</t>
  </si>
  <si>
    <t>Legally accessible Access to Site must include appropriate drawings, survey or other documentation, as applicable</t>
  </si>
  <si>
    <t>X. Zoning</t>
  </si>
  <si>
    <t>Site zoning confirmed by authorized Local Government official</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</si>
  <si>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</si>
  <si>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</si>
  <si>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</si>
  <si>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</si>
  <si>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</si>
  <si>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</si>
  <si>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</si>
  <si>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</si>
  <si>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Evidence of public meeting and presentations to local government and residents of community</t>
  </si>
  <si>
    <t>Resolutions or letters of support from Local Government officials (optional)</t>
  </si>
  <si>
    <t>XIV. Amenities</t>
  </si>
  <si>
    <t>Pre-approval of amenities not included in Architectural Manual, if applicable</t>
  </si>
  <si>
    <t>XV. Rehab Standards</t>
  </si>
  <si>
    <t>Documentation supporting construction costs (Schedule of Values)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</si>
  <si>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</si>
  <si>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</si>
  <si>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</si>
  <si>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</si>
  <si>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</si>
  <si>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</si>
  <si>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</si>
  <si>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</si>
  <si>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</si>
  <si>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</si>
  <si>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</si>
  <si>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</si>
  <si>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</si>
  <si>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Management Company experience</t>
  </si>
  <si>
    <t>XXI. Compliance</t>
  </si>
  <si>
    <t>General Partner organizational documents, including Operating Agreement</t>
  </si>
  <si>
    <t>Documentation that organizational entities are registered to do business in GA</t>
  </si>
  <si>
    <t>All partnership and consulting agreements between project participants</t>
  </si>
  <si>
    <t>XIX</t>
  </si>
  <si>
    <t>A.2.</t>
  </si>
  <si>
    <t>Compliance</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</si>
  <si>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</si>
  <si>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</si>
  <si>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</si>
  <si>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</si>
  <si>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A copy of the non-profit's by-laws or Articles of Incorporation evidencing inclusion of the fostering of low income housing as one of its tax-exempt purposes</t>
  </si>
  <si>
    <t>Documentation showing that at least one eligibility criterion (numbered 1-7 in Appendix I, page 33) is met</t>
  </si>
  <si>
    <t>XXIV. CHDO</t>
  </si>
  <si>
    <t xml:space="preserve">Copy of the State CHDO Pre-qualification / renewal letter (only applicable if HOME Consent has been issued) </t>
  </si>
  <si>
    <t>Evidence of CHDO Predevelopment Loan, if applicable</t>
  </si>
  <si>
    <t>XXV. Other HUD Requirements</t>
  </si>
  <si>
    <t>Certification for Contract, Loans and Coo-operative Agreements</t>
  </si>
  <si>
    <t>Projects involving acquisition and rehabilitation require a Legal opinion regarding acquisition Credit eligibility</t>
  </si>
  <si>
    <t>Projects operated as assisted living facilities require a legal opinion regarding Credit eligibility</t>
  </si>
  <si>
    <t>For non profit projects, see Sec. XXII A</t>
  </si>
  <si>
    <t>Scattered site projects require a legal opinion that includes a reference to the proposed site plan</t>
  </si>
  <si>
    <t>XXVII. Relocation (if occupied)</t>
  </si>
  <si>
    <t xml:space="preserve">All applications must include a Site Relocation Survey form  </t>
  </si>
  <si>
    <t>Detailed Project Relocation Plan and Cost Estimate Form</t>
  </si>
  <si>
    <t>Occupancy History (3 months)</t>
  </si>
  <si>
    <t>Tenant Household Data Forms - each unit</t>
  </si>
  <si>
    <t>General Info Notice for Occupants with Proof of Delivery</t>
  </si>
  <si>
    <t>Appendix II: Scoring only</t>
  </si>
  <si>
    <t>Desirable/Undesirable form</t>
  </si>
  <si>
    <t>Site map indicating location of desirable/undesirable activity/characteristic with a key</t>
  </si>
  <si>
    <t>Color original or color copy pictures of each desirable/undesirable activity/characteristic</t>
  </si>
  <si>
    <t>Documentation evidencing the desirable activity/characteristic proposed on sites under construction</t>
  </si>
  <si>
    <t>IV. Transportation</t>
  </si>
  <si>
    <t>Map showing location of the transit stop in relation to the proposed development</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</si>
  <si>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</si>
  <si>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</si>
  <si>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</si>
  <si>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</si>
  <si>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</si>
  <si>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</si>
  <si>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</si>
  <si>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legible street map indicating the subject site and the boundary for a 2 mile radius in all directions and a 10 mile radius in all directions for Urban or Rural projects respectively</t>
  </si>
  <si>
    <t>X. Ownership</t>
  </si>
  <si>
    <t>If applicable, a viable homeownership strategy for residents who inhabit the units before the end of the Compliance Period</t>
  </si>
  <si>
    <t>XI. Nonprofit</t>
  </si>
  <si>
    <t>DCA Nonprofit Assessment Form</t>
  </si>
  <si>
    <t>Copy of organization's publicly available federal form 990</t>
  </si>
  <si>
    <t>Most recent annual audit completed by an independent auditor</t>
  </si>
  <si>
    <t>Service commitments, if applicable</t>
  </si>
  <si>
    <t>Letter from official representative of eligible DCA Georgia Initiative for Community Housing or DCA Community of Opportunity</t>
  </si>
  <si>
    <t>Commitment of funds for offsite improvement</t>
  </si>
  <si>
    <t>Detailed source of funds</t>
  </si>
  <si>
    <t>Amount of investment</t>
  </si>
  <si>
    <t>Timeline for completion</t>
  </si>
  <si>
    <t>Description and location of improvements on a legible site map</t>
  </si>
  <si>
    <t>For historic tax credits only, a copy of the GA DNR-HPD and NPS approved Part1, Part 2 and the GA approved Part A</t>
  </si>
  <si>
    <t>Commitment for PBRA executed by authorized regulatory agency</t>
  </si>
  <si>
    <t>Administrative Plan or evidence of HUD review and approval of proposed preference</t>
  </si>
  <si>
    <t>Narrative of how the (specific) building(s) will be reused</t>
  </si>
  <si>
    <t>Copy of GA DNR-HPD and NPS approved Part 1- Evaluation of Significance</t>
  </si>
  <si>
    <t>Section B-3</t>
  </si>
  <si>
    <t>Section B-4</t>
  </si>
  <si>
    <t>Section B-6</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</si>
  <si>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</si>
  <si>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</si>
  <si>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This Application is submitted in accordance with the 2013 Qualified Allocation Plan and the Housing Finance and Development Division Manuals.  In submitting this Application for funding consideration, the undersigned applicant hereby certifies:</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</si>
  <si>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</si>
  <si>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</si>
  <si>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</si>
  <si>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</si>
  <si>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</si>
  <si>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</si>
  <si>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</si>
  <si>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</si>
  <si>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</si>
  <si>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</si>
  <si>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t>
    </r>
    <r>
      <rPr>
        <sz val="9"/>
        <color rgb="FFFF0000"/>
        <rFont val="Arial Narrow"/>
        <family val="2"/>
      </rPr>
      <t>(Explain in Comments if Applicant's PCL calculation &gt; QAP PCL)</t>
    </r>
  </si>
  <si>
    <t>Are any commitments submitted as “Under Consideration” which need final approval before July 12, 2013?</t>
  </si>
  <si>
    <t>Qualification Determination from DCA</t>
  </si>
  <si>
    <t xml:space="preserve">II.
</t>
  </si>
  <si>
    <t xml:space="preserve">B.
</t>
  </si>
  <si>
    <t>XVI</t>
  </si>
  <si>
    <t>A.3.b)</t>
  </si>
  <si>
    <t>B.1. a), b)</t>
  </si>
  <si>
    <t>Deepr Targtg</t>
  </si>
  <si>
    <t xml:space="preserve">Support Hsg
</t>
  </si>
  <si>
    <t xml:space="preserve">   If Yes -----------------&gt;:</t>
  </si>
  <si>
    <t xml:space="preserve">   If Yes, new Limit is --------------------------------------------&gt;:</t>
  </si>
  <si>
    <t>(Avg$/mth/unit)</t>
  </si>
  <si>
    <t>Average per unit per year</t>
  </si>
  <si>
    <t>Formulated by Owner of project and submitted to a local government for approval?</t>
  </si>
  <si>
    <t>Avg Per Unit:</t>
  </si>
  <si>
    <t>Average per unit per month</t>
  </si>
  <si>
    <t>Average per unit</t>
  </si>
  <si>
    <t>08</t>
  </si>
  <si>
    <t>09</t>
  </si>
  <si>
    <t>17</t>
  </si>
  <si>
    <t>18</t>
  </si>
  <si>
    <r>
      <t>1</t>
    </r>
    <r>
      <rPr>
        <sz val="9"/>
        <rFont val="Arial Narrow"/>
        <family val="2"/>
      </rPr>
      <t xml:space="preserve">. Has this entity withdrawn or been involuntarily removed from a HOME or LIHTC project since Jan 1, 2002 (Y/N)?  </t>
    </r>
    <r>
      <rPr>
        <b/>
        <sz val="9"/>
        <rFont val="Arial Narrow"/>
        <family val="2"/>
      </rPr>
      <t>If Y, attach explanation.</t>
    </r>
  </si>
  <si>
    <t xml:space="preserve">*This source may possibly trigger Uniform Relocation Act and/or HUD 104(d) reqmts.  Check with source.  For DCA HOME, refer to Relocation Manual. </t>
  </si>
  <si>
    <t>Max: $20,000</t>
  </si>
  <si>
    <t>http://votesmart.org/</t>
  </si>
  <si>
    <t>Congressional District:</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</si>
  <si>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</si>
  <si>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</si>
  <si>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</si>
  <si>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</si>
  <si>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</si>
  <si>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t>
    </r>
  </si>
  <si>
    <r>
      <t xml:space="preserve">Average TDC Per:            </t>
    </r>
    <r>
      <rPr>
        <i/>
        <sz val="10"/>
        <rFont val="Arial Narrow"/>
        <family val="2"/>
      </rPr>
      <t xml:space="preserve"> Unit:</t>
    </r>
  </si>
  <si>
    <t>Other (e.g., Native American burial grounds, etc.) - describe:</t>
  </si>
  <si>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</si>
  <si>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</si>
  <si>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</si>
  <si>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r>
      <t>Pre-Application Number</t>
    </r>
    <r>
      <rPr>
        <sz val="10"/>
        <color rgb="FFFF0000"/>
        <rFont val="Arial Narrow"/>
        <family val="2"/>
      </rPr>
      <t xml:space="preserve"> </t>
    </r>
    <r>
      <rPr>
        <sz val="8"/>
        <color rgb="FFFF0000"/>
        <rFont val="Arial Narrow"/>
        <family val="2"/>
      </rPr>
      <t>(if applicable)</t>
    </r>
  </si>
  <si>
    <t>Core Application including Project Narrative</t>
  </si>
  <si>
    <t>XV. Superior Project Concept</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</si>
  <si>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</si>
  <si>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</si>
  <si>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</si>
  <si>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DCA Performance Workbook for General Partner(s), Developer(s), Management Company and Project Consultant (if applicable) and all supporting documentation</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</si>
  <si>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</si>
  <si>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</si>
  <si>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</si>
  <si>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</si>
  <si>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</si>
  <si>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</si>
  <si>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</si>
  <si>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</si>
  <si>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</si>
  <si>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05   Final confirmation for HUD, USDA and AHP due 7/12/13; or Alternate financing due 7/26/13</t>
  </si>
  <si>
    <t xml:space="preserve">01   Assumption of Existing Debt, if applicable </t>
  </si>
  <si>
    <t>02   Copy of original Promissory Note</t>
  </si>
  <si>
    <t>03   Copy of original Loan Agreement</t>
  </si>
  <si>
    <t>04   Copy of original Mortgage, Deed to Secure Debt,  or Trust</t>
  </si>
  <si>
    <t>01   Compliance Questionnaire for General Partner(s), Developer(s), Management Company and Project Consultant (if applicable)</t>
  </si>
  <si>
    <t>02   Organizational Chart</t>
  </si>
  <si>
    <t>03   DCA Compliance History form executed by applicant for other State Housing Agencies pursuant to DCA instructions</t>
  </si>
  <si>
    <t>04   Executed criminal and credit background check release forms</t>
  </si>
  <si>
    <t>01   Copy of Executed Earthcraft Communities Memorandum of Participation for the development where the site is located</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</si>
  <si>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</si>
  <si>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</si>
  <si>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</si>
  <si>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</si>
  <si>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</si>
  <si>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</si>
  <si>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</si>
  <si>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02   Certificate of Participation in DCA's Green Building for Affordable Housing Training course completed by a direct employee of the Owner dated 2012 or 2013</t>
  </si>
  <si>
    <t>Form Nbr and/or Form Name</t>
  </si>
  <si>
    <t>01   Copy of the Statutory Redevelopment Plan</t>
  </si>
  <si>
    <t>02   Website address for information on Statutory Plan</t>
  </si>
  <si>
    <t>03   Copy of Resolution(s) adopting the Statutory Plan according to requirements of the statute</t>
  </si>
  <si>
    <t>04   Documentation of  Public Hearing and Publication as required by statute</t>
  </si>
  <si>
    <t>05   Documentation that Statutory Plan is current, ongoing and directly affects the site</t>
  </si>
  <si>
    <t>01   Copy of the community revitalization plan or web link to related information is located</t>
  </si>
  <si>
    <t>02   Copy of Resolution adopting the State Enterprise Zone</t>
  </si>
  <si>
    <t>03   Documentation evidencing that the proposed site is located in a QCT</t>
  </si>
  <si>
    <t>01   The DCA Neighborhood Redevelopment Certification Form</t>
  </si>
  <si>
    <t>02   Documentation of the process the government used for developing and adopting the Local Redevelopment Plan</t>
  </si>
  <si>
    <t>03   Details regarding community input and public hearing held prior to adoption of the Local Redevelopment Plan</t>
  </si>
  <si>
    <t>04   A copy of the entire Local Redevelopment Plan</t>
  </si>
  <si>
    <t>05   Evidence of adoption of the Local Redevelopment Plan</t>
  </si>
  <si>
    <t>06   Map of area targeted by the Local Redevelopment Plan that indicates the subject site</t>
  </si>
  <si>
    <t>01  Documentation of the Public Housing Authority's Master Plan for redevelopment</t>
  </si>
  <si>
    <t>02   Site control documented in Appendix I Sec. VIII must include evidence that entire site including one or more phases that received an allocation of 9% tax credits within the past 3 funding rounds</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</si>
  <si>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</si>
  <si>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</si>
  <si>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</si>
  <si>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</si>
  <si>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</si>
  <si>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</si>
  <si>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</si>
  <si>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</si>
  <si>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01   Partnership's tax returns for the first and last years in which credits were claimed, along with appropriate IRS forms 8609 attached.</t>
  </si>
  <si>
    <t xml:space="preserve">02   Legal opinion that project will meet 15 year compliance period requirements specified </t>
  </si>
  <si>
    <t>01   Project rent rolls for each month (December 2012 through May 2013) that indicates each occupied and vacant unit</t>
  </si>
  <si>
    <t>02   Legal opinion, with supporting IRS documentation, verifying the date the Compliance Period began</t>
  </si>
  <si>
    <t>03   Copy of the school's Georgia Education Scoreboard (see QAP for website)</t>
  </si>
  <si>
    <t>04   Documentation showing that the property is within the attendance zone of the high-performing school</t>
  </si>
  <si>
    <t>I. Feasibility</t>
  </si>
  <si>
    <t>Section 6</t>
  </si>
  <si>
    <t>III. Tenancy</t>
  </si>
  <si>
    <t>IV. Services</t>
  </si>
  <si>
    <t>VI. Appraisal</t>
  </si>
  <si>
    <t>VII. Environmental</t>
  </si>
  <si>
    <t>Section 2</t>
  </si>
  <si>
    <t>(For hard copy, move tab to separate binder, please)</t>
  </si>
  <si>
    <t>XXIII. Preservation</t>
  </si>
  <si>
    <t>XXVI. Legal Opinions</t>
  </si>
  <si>
    <t>XIX. Design Standards</t>
  </si>
  <si>
    <t>XXII. Nonprofit</t>
  </si>
  <si>
    <t>XX. Qualification Determination AND</t>
  </si>
  <si>
    <t>III. Desirable/ Undesirable</t>
  </si>
  <si>
    <t>VII. Stable Communities</t>
  </si>
  <si>
    <t xml:space="preserve">VIII. Phased/ Previous Projects </t>
  </si>
  <si>
    <t>XIV. Leveraging</t>
  </si>
  <si>
    <t>XIII. Community Initiatives</t>
  </si>
  <si>
    <t>XVI. Supportive Housing</t>
  </si>
  <si>
    <t xml:space="preserve">XVII. Historic Preservation </t>
  </si>
  <si>
    <t>XVIII. Preservation</t>
  </si>
  <si>
    <t>Section A-2</t>
  </si>
  <si>
    <t>Section A&amp;B</t>
  </si>
  <si>
    <t>10</t>
  </si>
  <si>
    <t>Section A-1</t>
  </si>
  <si>
    <t>Section B-1</t>
  </si>
  <si>
    <t>Section B-2</t>
  </si>
  <si>
    <t>QAP Sect or Manual</t>
  </si>
  <si>
    <t>Sub-Section</t>
  </si>
  <si>
    <t>Additional - Specify Other Necessary Documents Not Listed in Sections Above</t>
  </si>
  <si>
    <t>Assign Form Nbr (if multiple documents for same Item Nbr) and/or Name</t>
  </si>
  <si>
    <t>% New Construction</t>
  </si>
  <si>
    <t>Affirmative Housing Fair Marketing Plan</t>
  </si>
  <si>
    <t>Mountain View Senior Residences, LP</t>
  </si>
  <si>
    <t>750 Commerce Drive, Suite 201</t>
  </si>
  <si>
    <t>0219.07</t>
  </si>
  <si>
    <t>sharon.guest@dekalbhousing.org</t>
  </si>
  <si>
    <t>Sharon D. Guest</t>
  </si>
  <si>
    <t>Mountain View Senior Residences Corp</t>
  </si>
  <si>
    <t>Housing Authority of DeKalb County</t>
  </si>
  <si>
    <t>Eugene P. Walker, Jr.</t>
  </si>
  <si>
    <t>Executive Director</t>
  </si>
  <si>
    <t>eugene.walker@dekalbhousing.org</t>
  </si>
  <si>
    <t>Yes</t>
  </si>
  <si>
    <t>No</t>
  </si>
  <si>
    <t>MF</t>
  </si>
  <si>
    <t>PHA PBRA</t>
  </si>
  <si>
    <t>Deferred Developer's Fee</t>
  </si>
  <si>
    <t>Amortizing</t>
  </si>
  <si>
    <t>DDA/QCT</t>
  </si>
  <si>
    <t>Lender Due Dilligence Fee</t>
  </si>
  <si>
    <t>United Consulting</t>
  </si>
  <si>
    <t>Ground lease/Option</t>
  </si>
  <si>
    <t>Georgia Power</t>
  </si>
  <si>
    <t>Dekalb County Dept. of Watershed Management</t>
  </si>
  <si>
    <t>Room</t>
  </si>
  <si>
    <t>Gazebo</t>
  </si>
  <si>
    <t>Agree</t>
  </si>
  <si>
    <t>Competitive Round</t>
  </si>
  <si>
    <t>Housing Development Corporation of DeKalb</t>
  </si>
  <si>
    <t>Reno &amp; Cavanaugh, PLLC</t>
  </si>
  <si>
    <t>Megan Glasheen</t>
  </si>
  <si>
    <t xml:space="preserve">Washington, DC </t>
  </si>
  <si>
    <t>Attorney</t>
  </si>
  <si>
    <t>455 Massachusetts Ave, NW Suite 400</t>
  </si>
  <si>
    <t>For Profit</t>
  </si>
  <si>
    <t>President</t>
  </si>
  <si>
    <t>Mglasheen@renocacanugh</t>
  </si>
  <si>
    <t>Walton Construction</t>
  </si>
  <si>
    <t>The Corcoran OTA Group, Inc</t>
  </si>
  <si>
    <t>corcoran@corcoran-ota.com</t>
  </si>
  <si>
    <t>5775 Glenridge Drive, NE Bldg C, Suite 225</t>
  </si>
  <si>
    <t>Land Liability Property Insurance</t>
  </si>
  <si>
    <t>3+ Story</t>
  </si>
  <si>
    <t>Mountain View Senior Residences</t>
  </si>
  <si>
    <t>City of Stone Mountain</t>
  </si>
  <si>
    <t>Particia Wheeler</t>
  </si>
  <si>
    <t>Mayor</t>
  </si>
  <si>
    <t>875 Main Street</t>
  </si>
  <si>
    <t>mayor@stonemountaincity.org</t>
  </si>
  <si>
    <t>901 4th Street</t>
  </si>
  <si>
    <t>Elderly</t>
  </si>
  <si>
    <t>NA</t>
  </si>
  <si>
    <t>Tobie Grant Senior Residences</t>
  </si>
  <si>
    <t>Housing Development Corp of DeKalb</t>
  </si>
  <si>
    <t>On-site laundry</t>
  </si>
  <si>
    <t>Computer Center</t>
  </si>
  <si>
    <t>stonemountaincity.org</t>
  </si>
  <si>
    <t>Yeager &amp; Boyd, LLC</t>
  </si>
  <si>
    <t>Robert A. Boyd</t>
  </si>
  <si>
    <t>5501 Highway 280, Suite 201</t>
  </si>
  <si>
    <t>Birmingham</t>
  </si>
  <si>
    <t>cpa@yeagerboyd.com</t>
  </si>
  <si>
    <t>Mark Stovall</t>
  </si>
  <si>
    <t>Partner</t>
  </si>
  <si>
    <t>Minority concentration</t>
  </si>
  <si>
    <t>President, Housing Development Corp of DeKalb</t>
  </si>
  <si>
    <t>mstovall@waltoncommunities.com</t>
  </si>
  <si>
    <t>2181 Newmarket Parkway</t>
  </si>
  <si>
    <t>Pass</t>
  </si>
  <si>
    <t>Exercise/Fitness Classes, Walking Club</t>
  </si>
  <si>
    <t>Garden Club, Music Therapy, Computer Classes</t>
  </si>
  <si>
    <t>219.06, 219.08, 219.12, 219.13, 232.09, 233.11, 233.12, 233.16, 504.15</t>
  </si>
  <si>
    <t>Earth Craft House Multifamily</t>
  </si>
  <si>
    <t>Part 21 (D): This form is not included because the Applicant does not conduct operations in other states.</t>
  </si>
  <si>
    <t>11 units per month</t>
  </si>
  <si>
    <t>7 months</t>
  </si>
  <si>
    <t>Novogradac &amp; Company LLP</t>
  </si>
  <si>
    <t>Part 3:  The project is designated for residents 62 and older.</t>
  </si>
  <si>
    <t>Part 8:  The Applicant has executed an option to lease which expires December 31, 2013 included in Tab 8.</t>
  </si>
  <si>
    <t>Part 14: All required amenities are identified on the site plan provided in Tab 16 in the application.</t>
  </si>
  <si>
    <t>Part 16: The Conceptual Site Development Plan is included in Tab 16 of the application.</t>
  </si>
  <si>
    <t>59.44 db</t>
  </si>
  <si>
    <t>None</t>
  </si>
  <si>
    <t>1. CSX Railway 57.12 db     2. Main Street 55.67 db</t>
  </si>
  <si>
    <t>Beverly J. Searles Foundation</t>
  </si>
  <si>
    <t>Richard D. Searles</t>
  </si>
  <si>
    <t>3555 Sweetwater Rd</t>
  </si>
  <si>
    <t>ricksearles@bjsfoundation.org</t>
  </si>
  <si>
    <t>PA 13-06</t>
  </si>
  <si>
    <t>Yes - see Comment</t>
  </si>
  <si>
    <t>Michael Corcoran</t>
  </si>
  <si>
    <t>Atlanta, GA</t>
  </si>
  <si>
    <t>Member</t>
  </si>
  <si>
    <t>BillJ@Norsouth.com</t>
  </si>
  <si>
    <t>Norsouth Management Services, LLC</t>
  </si>
  <si>
    <t>329 Commercial Dr, Suite 110</t>
  </si>
  <si>
    <t>Willam Johnston</t>
  </si>
  <si>
    <t>Part 9:  The property is fully accessible by 4th street to the west as indicated on the site plan in Tab 9.</t>
  </si>
  <si>
    <t>Part 11 (A): The property will utilize 100% of electrical power which is evidenced by Georgia Power for availability and capacity.</t>
  </si>
  <si>
    <t xml:space="preserve">Part 13: The Housing Authority held an informational community meeting on March 11, 2013; the Mayor and Council Members were in attendace as well as residents of the community (Evidenced by sign in Sheet); additionally, the project was presented to both the local government and community through the public rezoning and variance hearings; Support for the project is evidenced by the Resolution of Support included in Tab 13.  </t>
  </si>
  <si>
    <t>Part 5: There are no DCA tax credit projects inside a 2-mile radius of the property and there has never been a 9% LIHTC allocated in the city limits of Stone Mountain, GA.</t>
  </si>
  <si>
    <t>Dining/Dance Multi-Purpose Room</t>
  </si>
  <si>
    <t>Furnished Fitness Center</t>
  </si>
  <si>
    <t>HUD</t>
  </si>
  <si>
    <t>Res. Ser. Prog, Computer software</t>
  </si>
  <si>
    <t>Direct Tax Credits</t>
  </si>
  <si>
    <t>Community &amp; Southern Bank</t>
  </si>
  <si>
    <t>Electric Heat Pump</t>
  </si>
  <si>
    <t xml:space="preserve">Part II: The project Team has changed since the Pre-Application.  The Housing Authority of DeKalb County (HADC) has been deemed Not Qualified by DCA.  The determination letter states that the project team may be qualifed to participate based on Options for Non-qualifed Entities.  HADC will partner with the BJS Foundation, a Qualified Without Conditions.  BJS Foundation will have a   20% GP ownership interest and serve as a co-developer.
Part V (F): Total Residential Parking Spaces:  Due to this being an Elderly community, a variance for parking was requested and approved from 1.5 to 1.0 spaces per unit; the approved variance is included in Tab 10.   
Part X (B-C) - The Housing Development Corporation of DeKalb/HADC is a General Partner and Developer in the two projects referenced in this section and is requesting  total Federal Credit of $1,343,792 in this round.  BJS Foundation is is also a General Partner and Developer in one other project in addition to Mountain View Senior Residences.  BJS Foundation's project participation and total Federal Credits are reflected in their Silver Comet core application.  
</t>
  </si>
  <si>
    <t>Lafayette General One, LLC</t>
  </si>
  <si>
    <t>Paul Smith</t>
  </si>
  <si>
    <t>psmtih@directtaxcredits.com</t>
  </si>
  <si>
    <t>2660 West Highway 54, Suite 202</t>
  </si>
  <si>
    <t xml:space="preserve">Peachtree City </t>
  </si>
  <si>
    <t xml:space="preserve">Part 2 (B): The Applicant has been deemed by DCA to be Not Qualified.  The determination letter states that the project team may be qualifed to participate based on Options for Non-qualifed Entities.  The Applicant will partner with the Beverly J. Searles Foundation, a Qualified Without Conditions.  BJS Foundation will have a   20% GP ownership interest and serve as a co-developer.  
Part IV (4): The Managing GP (Mountain View Senior Corp) and the NonProfit Sponsor (Housing Development Corporation of DeKalb) are both subsidiaries of the Housing Authority of DeKalb County (also acting as developer). </t>
  </si>
  <si>
    <t>Rental Assistance Demonstration Section 8</t>
  </si>
  <si>
    <t xml:space="preserve">Part II: The construction loan interest rate is the one year libor plus 300 bps which is equals 3.69% as of 6/5/2013; as a conservative measure, we set the interest rate at 4.5%.  
Part III: The permanent loan interest rate is set at 6.0% per the commitment letter from Community and Southern Bank located in Tab1.
Part III: The Housing Authority of DeKalb County is loaning $1,625,000 in Replacement Housing Factor Funds to support 25 RAD (Rental Assistance Demontrations) Project Based Voucher units as part of the Tobie Grant Manor Public Housing replacement program.  The interest rate is 3%, cash flow only.
Part III:  The Equity Commitment provided by Direct Tax Credits states a total of $6,946,565; the commitment is located in Tab 1.
</t>
  </si>
  <si>
    <t xml:space="preserve"> There is no Acquistion cost for Land ; the land will be leased to the Partnership; the Option to Ground Lease is located in Tab 8.
  No construction period real estate taxes are budgeted as the property is classified exempt from property taxes by the county, per the letter included in Tab 1.
 Construction pricing was detemined by Walton Construction based on consultation. 
Items included in the categories are based either on existing vendor commitments or on the developer's experience with similar costs on  similiar tax credit senior housing projects.  
Professional services fees are also based either on actual commitments in place for this application or fees incurred by similar tax credit senior housing.
 Local government fees are based upon DeKalb County's development department fee schedule for multi-family projects. </t>
  </si>
  <si>
    <t>Part 1:  Residents will be responsible for all utilites with the exception of trash; the project will only have 1 and 2 bedrooms.</t>
  </si>
  <si>
    <t xml:space="preserve">Part 14 (A): The project will utilize $1,625,000 of replacement housing factor funds from HADC to support 25 RAD-PBV units.  This sources will make up 15.518% of the Total Development Costs.  Part 14 (B): HADC will ground lease the land to the Partnership for a minimum of 99 years.  </t>
  </si>
  <si>
    <t xml:space="preserve">I. Rent Schedule - In Tab 1 Fesasibilty, we have included the  Fair Market Payment Standards for the 50 PBRA units and the CHAP Award from HUD that reflects the 25 PBRA RAD units (noted as "HUD" under the PBRA Provider on the rent Schedule).
Part IV:  Annual Operating Expenses are based on expenses for similar senior tax credit projects. 
Part IV:  All utilities reflected in expenses, excluding Trash Collection, are for common area usage only.
Part IV: No real estate taxes are budgeted as the property is classified exempt from property taxes by DeKalb County, per the letter included in Tab 1.
Part IV: Insurance expense is based on a quote from our existing LIHTC senior property of similar size; Evidence of this insurance quote is included in Tab 1.
                                                                                              </t>
  </si>
  <si>
    <t xml:space="preserve">The project meets the minimum DCA DSC for new projects of 1.20 for each year. 
The RHF loan is set at or below AFR which is currently 2.47%; the RHF loan is a cash flow soft debt loan;
 The Asset Management fee of $8,000 is based on the commitment letter provided by Direct Tax Credits. </t>
  </si>
  <si>
    <t>The project's TDC is $10,417,563 which is below the allowable DCA cost limit of $10,514,744.</t>
  </si>
  <si>
    <t xml:space="preserve">An executed MOU with the Resident Services Corp of DeKalb (RSCD) outlines the required services as well as other services that will be provided to the Residents; RSCD currently provides services to our existing Senior LIHTC developments; the MOU can be found in Tab 32.  </t>
  </si>
  <si>
    <t>No appraisal was required due to HADC ground leasing the land to the Partnership for a minimum of 99 years; Please refer to Tab 10 for the rezoning documentation.</t>
  </si>
  <si>
    <t>Part 10: The site was rezoned for multi family residential (MR-1) by the City of Stone Mountain on May 7, 2013; All variances were approved on May 20, 2013; Copies of the zoning and variance approvals are located in Tab 10.</t>
  </si>
  <si>
    <t>Sanitary and sewer availability is located on the west and south side of the proposed site; an 8 inch water main is on the west side and 4 inch water main is located on the south side of the proposed site; Availability and Capabilty letters for water and sewer are located in Tab 12.</t>
  </si>
  <si>
    <t>Rehabiltion standards are not applicable.</t>
  </si>
  <si>
    <t>The Earthcraft Cerfification Worksheet that evidences building substainability is located in Tab 28.</t>
  </si>
  <si>
    <t xml:space="preserve">Part 20: The Applicant has been deemed Not Qualified by DCA..  The determination letter states that the project team may be qualifed to participate based on Options for Non-qualifed Entities.  The Applicant will partner with the Beverly J. Searles Foundation, a Qualified Without Conditions entity with a 20% GP ownership interest and as co-developer.  </t>
  </si>
  <si>
    <t xml:space="preserve">Part 22: The Housing Development Corp of DeKalb is a qualified non-profit that will materially participate in the project.  All required documentation is included in Tab 19.  </t>
  </si>
  <si>
    <t>This section is not applicable.</t>
  </si>
  <si>
    <t>The Non-profit legal opinion is located is located in Tab 19 of the application.</t>
  </si>
  <si>
    <t xml:space="preserve">This section is not applicable. </t>
  </si>
  <si>
    <t xml:space="preserve"> (E.1): Samples materials were found not to contain regulated concentrations of asbestos fibers
 (E.2):  Building currently on site was built around 2004.  Lead based testing is not required on properties built after 1978.
 (E.3-5)  As the on-site structures are to be demolished, no survey of water leaks, mold, or lead in water was conducted.
 (E.6): Per utility provider Georgia Power there are 3-4 electrical transformers on the site and they should not contain PCBs.
(E.7): As project structures are scheduled to be demolished, radon testing was not conducted; the new construction will utilize radon barriers per DCA requirements.
 (F.1):  Wetlands comprise 0.65% of the total property.  There will be no development on the wetlands area.  The 8 step process is not required
</t>
  </si>
  <si>
    <t>A commitment of Section 8 PBRA (based on FMR rents) is provided for 50 units; A commitment for Section 8 RAD PBRA (based on HUD's Rent Schedule) is provided for 25 units; both commitments are located in Tab 1 of the application.</t>
  </si>
  <si>
    <t xml:space="preserve"> The nearast MARTA stop is .4 miles from the property.  In addition, the property will provide bus service to the transit stop, and area shops, banks, grocery stores, and pharmacies.  </t>
  </si>
  <si>
    <t>Mountain View Senior Residences will achieve sustainable building certificaton through Earth Craft  Mulltifamily.  The scoring worksheet is included in Tab 28.</t>
  </si>
  <si>
    <t xml:space="preserve">According the the United States Census Bureau the property is located on tract 219.07 and is classified middle income, with less than 15% poverty.
</t>
  </si>
  <si>
    <t xml:space="preserve">The Housing Development Corp of DeKalb County is a 501c3 non-profit and materially participates in the development.  The Applicant has included all required documenttion and non-profit legal opinion is included in Tab 19. </t>
  </si>
  <si>
    <t>Section 4-13 of HADC's Administrative Plan identifies the preference for the individuals identified in the Settlement Agreement between the State of Georgai and the Department of Justice.</t>
  </si>
  <si>
    <t xml:space="preserve">
</t>
  </si>
  <si>
    <t xml:space="preserve">Mountain View Senior Residences (“Mountain View”) is a proposed residential community of eighty (80) apartment homes exclusively reserved and targeted for seniors.  Designated as “elderly housing”, residency will be restricted to occupants age sixty-two (62) years and older who are capable of living in an independent community.  This newly-constructed community will be located within the city limits of Stone Mountain, Georgia and adjacent to the historic, Stone Mountain Park. 
Nestled at the base of Stone Mountain Park, this 10.183 acre site is within two walking blocks from downtown Stone Mountain which provides excellent access to local retail options and cultural amenities.  The site is also one-half mile from the main entrance of Stone Mountain Park.  Currently, the site is improved by six vacant, residential buildings that were previously occupied by a children’s shelter which will demolished as part of the redevelopment program.    Access to transportation is facilitated by bus service that has a bus stop within one-half mile.  The Housing Authority of DeKalb County’s Resident Services Department also provides shuttle services for the senior communities within its portfolio as alternative transportation. 
Utilizing the natural site features of topography, mature vegetation and mandated stream buffers, the Mountain View site plan was intentionally designed to seamlessly incorporate the natural site elements with new, lush green spaces, community gardens and walking paths. The single, three-story, wood frame building will consist of approximately sixty-six (66) one-bedroom units and fourteen (14) two-bedroom units with double-loaded, interior corridors.  Designed for accessibility and convenience for the seniors, the building will be serviced by two hydraulic elevators. The construction will include a wood frame building with brick and cementitious siding exterior. All interior amenities as well as the management office will be housed within the building. Parking for the community will include up to 80 spaces for residents and visitors. Mountain View will also offer seniors the chance to enjoy independent, active lifestyles, while providing easy access to a range of social, recreational and educational pursuits that will be provided on-site within the amenity and common areas.  The residents’ quality-of-life will be significantly improved with amenities such as: state-of-the-art fitness center, fully-equipped business center, intimate movie theater, controlled access, and well-appointed dining/dance hall with stunning views of the mountain. 
While constructed to DCA’s construction standards, this redeveloped, infill site will further enrich the lives of the residents with the pursuit of the EarthCraft Multifamily certification which will have long-term financial benefits for residents, the owner and financial stakeholders.  The development team considered green design and building options such as site planning, durability/moisture control, indoor air quality, high-performance building envelope, energy efficient systems, operations and innovation.  
Based on these criteria, the team incorporated stormwater control elements, tree preservation, slab vapor barrier and roof-installed solar panels, to name a few.  Enhancements such as low VOC: interior paints, sealant/adhesives, carpet and carpet pads will also be implemented. Energy Star equipment will include:  HVAC, ceiling fans, supply/exhaust fans and clothes washers and energy efficient windows and doors.  
The location of Mountain View in the city of Stone Mountain will be a first of its kind and serve as the City’s “first” LIHTC community.  Located in a “middle income” census tract, Mountain View not only signifies the need for affordable housing but will also create a true “mixed-income” community.  The experienced development team has engaged the neighborhood via community meetings, zoning hearings and extended outreach.  This full community engagement and participation has resulted in the City of Stone Mountain and community’s full support of the redevelopment as evidenced by a resolution of support.  
Partnering with the Beverly J. Searles Foundation, Inc as co-developer, DeKalb Housing Authority has programmed ninety-four percent (94%) of the units at Mountain View to be affordable to residents at 60% AMI; six percent (6%) of the units will be set-aside for market rate residents. The project will consist of both HUD’s Rental Assisted Demonstration (RAD) and DeKalb project-based rental assisted units.  DeKalb housing has committed a portion of the Replacement Housing Factor (RHF) funds as a gap financing source for the redevelopment.  
In summary, Mountain View is a well-designed, sustainable community that will be an asset to the residents and city of Stone Mountain.
 </t>
  </si>
  <si>
    <t>2013-011</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</si>
</sst>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45">
    <font>
      <sz val="10"/>
      <name val="Arial"/>
    </font>
    <font>
      <sz val="11"/>
      <color theme="1"/>
      <name val="Calibri"/>
      <family val="2"/>
      <scheme val="minor"/>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sz val="9"/>
      <color rgb="FFFF0000"/>
      <name val="Arial Narrow"/>
      <family val="2"/>
    </font>
    <font>
      <i/>
      <sz val="11"/>
      <name val="Arial Narrow"/>
      <family val="2"/>
    </font>
    <font>
      <b/>
      <u/>
      <sz val="8"/>
      <color rgb="FFFF0000"/>
      <name val="Arial"/>
      <family val="2"/>
    </font>
    <font>
      <sz val="10"/>
      <color rgb="FFFF0000"/>
      <name val="Arial"/>
      <family val="2"/>
    </font>
    <font>
      <b/>
      <sz val="11"/>
      <color rgb="FFFF0000"/>
      <name val="Arial Narrow"/>
      <family val="2"/>
    </font>
    <font>
      <sz val="11"/>
      <color theme="0"/>
      <name val="Times New Roman"/>
      <family val="1"/>
    </font>
    <font>
      <sz val="7"/>
      <color theme="0"/>
      <name val="Arial Narrow"/>
      <family val="2"/>
    </font>
    <font>
      <b/>
      <i/>
      <sz val="8"/>
      <color theme="0"/>
      <name val="Arial"/>
      <family val="2"/>
    </font>
    <font>
      <b/>
      <sz val="8"/>
      <color theme="0"/>
      <name val="Arial"/>
      <family val="2"/>
    </font>
    <font>
      <sz val="10"/>
      <color theme="0"/>
      <name val="Arial Narrow"/>
      <family val="2"/>
    </font>
    <font>
      <u/>
      <sz val="8"/>
      <color theme="0"/>
      <name val="Arial Narrow"/>
      <family val="2"/>
    </font>
    <font>
      <u/>
      <sz val="10"/>
      <color theme="0"/>
      <name val="Arial Narrow"/>
      <family val="2"/>
    </font>
    <font>
      <b/>
      <sz val="8"/>
      <color theme="0"/>
      <name val="Arial Narrow"/>
      <family val="2"/>
    </font>
    <font>
      <b/>
      <u/>
      <sz val="9"/>
      <name val="Arial Narrow"/>
      <family val="2"/>
    </font>
    <font>
      <sz val="11"/>
      <color theme="0"/>
      <name val="Calibri"/>
      <family val="2"/>
      <scheme val="minor"/>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s>
  <fills count="2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rgb="FFFFFF00"/>
        <bgColor indexed="64"/>
      </patternFill>
    </fill>
    <fill>
      <patternFill patternType="solid">
        <fgColor theme="0"/>
        <bgColor indexed="64"/>
      </patternFill>
    </fill>
    <fill>
      <patternFill patternType="solid">
        <fgColor theme="9" tint="0.39997558519241921"/>
        <bgColor indexed="65"/>
      </patternFill>
    </fill>
  </fills>
  <borders count="101">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18">
    <xf numFmtId="0" fontId="0" fillId="0" borderId="0"/>
    <xf numFmtId="43" fontId="3" fillId="0" borderId="0" applyFont="0" applyFill="0" applyBorder="0" applyAlignment="0" applyProtection="0"/>
    <xf numFmtId="44" fontId="3" fillId="0" borderId="0" applyFont="0" applyFill="0" applyBorder="0" applyAlignment="0" applyProtection="0"/>
    <xf numFmtId="38" fontId="4" fillId="2" borderId="0" applyNumberFormat="0" applyBorder="0" applyAlignment="0" applyProtection="0"/>
    <xf numFmtId="0" fontId="5" fillId="0" borderId="1" applyNumberFormat="0" applyAlignment="0" applyProtection="0">
      <alignment horizontal="left" vertical="center"/>
    </xf>
    <xf numFmtId="0" fontId="5" fillId="0" borderId="2">
      <alignment horizontal="left" vertical="center"/>
    </xf>
    <xf numFmtId="0" fontId="6" fillId="0" borderId="0" applyNumberFormat="0" applyFill="0" applyBorder="0" applyAlignment="0" applyProtection="0">
      <alignment vertical="top"/>
      <protection locked="0"/>
    </xf>
    <xf numFmtId="10" fontId="4" fillId="3" borderId="3" applyNumberFormat="0" applyBorder="0" applyAlignment="0" applyProtection="0"/>
    <xf numFmtId="172" fontId="3" fillId="0" borderId="0"/>
    <xf numFmtId="0" fontId="33" fillId="0" borderId="0"/>
    <xf numFmtId="9" fontId="3" fillId="0" borderId="0" applyFont="0" applyFill="0" applyBorder="0" applyAlignment="0" applyProtection="0"/>
    <xf numFmtId="10" fontId="3" fillId="0" borderId="0" applyFont="0" applyFill="0" applyBorder="0" applyAlignment="0" applyProtection="0"/>
    <xf numFmtId="0" fontId="2" fillId="0" borderId="0"/>
    <xf numFmtId="0" fontId="3" fillId="0" borderId="0"/>
    <xf numFmtId="0" fontId="132" fillId="19" borderId="0" applyNumberFormat="0" applyBorder="0" applyAlignment="0" applyProtection="0"/>
    <xf numFmtId="0" fontId="5" fillId="0" borderId="86">
      <alignment horizontal="left" vertical="center"/>
    </xf>
    <xf numFmtId="10" fontId="4" fillId="3" borderId="90" applyNumberFormat="0" applyBorder="0" applyAlignment="0" applyProtection="0"/>
    <xf numFmtId="0" fontId="1" fillId="0" borderId="0"/>
  </cellStyleXfs>
  <cellXfs count="1794">
    <xf numFmtId="0" fontId="0" fillId="0" borderId="0" xfId="0"/>
    <xf numFmtId="0" fontId="12" fillId="0" borderId="0" xfId="0" applyFont="1" applyFill="1" applyAlignment="1" applyProtection="1">
      <alignment vertical="center"/>
    </xf>
    <xf numFmtId="0" fontId="8" fillId="0" borderId="0" xfId="0" applyFont="1" applyFill="1" applyAlignment="1" applyProtection="1">
      <alignment horizontal="center" vertical="center"/>
    </xf>
    <xf numFmtId="0" fontId="8" fillId="0" borderId="0" xfId="0" applyFont="1" applyFill="1" applyBorder="1" applyAlignment="1" applyProtection="1">
      <alignment horizontal="left" vertical="center"/>
    </xf>
    <xf numFmtId="38" fontId="8" fillId="0" borderId="0" xfId="0" applyNumberFormat="1" applyFont="1" applyFill="1" applyBorder="1" applyAlignment="1" applyProtection="1">
      <alignment horizontal="center" vertical="center"/>
    </xf>
    <xf numFmtId="0" fontId="8" fillId="0" borderId="0" xfId="0" applyFont="1" applyFill="1" applyAlignment="1" applyProtection="1">
      <alignment vertical="center"/>
    </xf>
    <xf numFmtId="0" fontId="12" fillId="0" borderId="0" xfId="0" applyFont="1" applyFill="1" applyBorder="1" applyAlignment="1" applyProtection="1">
      <alignment vertical="center"/>
    </xf>
    <xf numFmtId="0" fontId="12" fillId="0" borderId="0" xfId="0" applyFont="1" applyFill="1" applyAlignment="1" applyProtection="1">
      <alignment horizontal="center" vertical="center"/>
    </xf>
    <xf numFmtId="0" fontId="12" fillId="0" borderId="0" xfId="0" applyFont="1" applyFill="1" applyBorder="1" applyAlignment="1" applyProtection="1">
      <alignment horizontal="center" vertical="center"/>
    </xf>
    <xf numFmtId="0" fontId="12" fillId="0" borderId="0" xfId="0" applyFont="1" applyFill="1" applyProtection="1"/>
    <xf numFmtId="38" fontId="12" fillId="0" borderId="0" xfId="0" applyNumberFormat="1" applyFont="1" applyFill="1" applyAlignment="1" applyProtection="1">
      <alignment horizontal="center" vertical="center"/>
    </xf>
    <xf numFmtId="0" fontId="8" fillId="0" borderId="0" xfId="0" applyFont="1" applyFill="1" applyBorder="1" applyAlignment="1" applyProtection="1">
      <alignment vertical="center"/>
    </xf>
    <xf numFmtId="0" fontId="12" fillId="0" borderId="0" xfId="0" applyFont="1" applyFill="1" applyBorder="1" applyAlignment="1" applyProtection="1">
      <alignment horizontal="left" vertical="center"/>
    </xf>
    <xf numFmtId="0" fontId="20" fillId="0" borderId="0" xfId="0" applyFont="1" applyFill="1" applyAlignment="1" applyProtection="1">
      <alignment horizontal="right" vertical="center"/>
    </xf>
    <xf numFmtId="38" fontId="12" fillId="0" borderId="0" xfId="1" applyNumberFormat="1" applyFont="1" applyFill="1" applyBorder="1" applyAlignment="1" applyProtection="1">
      <alignment horizontal="right" vertical="center"/>
    </xf>
    <xf numFmtId="0" fontId="12" fillId="0" borderId="0" xfId="0" applyFont="1" applyFill="1" applyAlignment="1" applyProtection="1">
      <alignment horizontal="right" vertical="center"/>
    </xf>
    <xf numFmtId="0" fontId="8" fillId="0" borderId="0" xfId="0" applyFont="1" applyFill="1" applyProtection="1"/>
    <xf numFmtId="0" fontId="8" fillId="0" borderId="0" xfId="0" applyFont="1" applyFill="1" applyAlignment="1" applyProtection="1">
      <alignment horizontal="right" vertical="center"/>
    </xf>
    <xf numFmtId="164" fontId="8" fillId="0" borderId="0" xfId="1" applyNumberFormat="1" applyFont="1" applyFill="1" applyProtection="1"/>
    <xf numFmtId="0" fontId="12" fillId="0" borderId="0" xfId="0" applyFont="1" applyFill="1" applyBorder="1" applyProtection="1"/>
    <xf numFmtId="164" fontId="12" fillId="0" borderId="0" xfId="1" applyNumberFormat="1" applyFont="1" applyFill="1" applyProtection="1"/>
    <xf numFmtId="0" fontId="12" fillId="0" borderId="5" xfId="0" applyFont="1" applyFill="1" applyBorder="1" applyProtection="1"/>
    <xf numFmtId="164" fontId="12" fillId="0" borderId="6" xfId="1" applyNumberFormat="1" applyFont="1" applyFill="1" applyBorder="1" applyProtection="1"/>
    <xf numFmtId="164" fontId="12" fillId="0" borderId="7" xfId="1" applyNumberFormat="1" applyFont="1" applyFill="1" applyBorder="1" applyProtection="1"/>
    <xf numFmtId="0" fontId="12" fillId="0" borderId="8" xfId="0" applyFont="1" applyFill="1" applyBorder="1" applyProtection="1"/>
    <xf numFmtId="164" fontId="12" fillId="0" borderId="0" xfId="1" applyNumberFormat="1" applyFont="1" applyFill="1" applyBorder="1" applyProtection="1"/>
    <xf numFmtId="164" fontId="12" fillId="0" borderId="9" xfId="1" applyNumberFormat="1" applyFont="1" applyFill="1" applyBorder="1" applyProtection="1"/>
    <xf numFmtId="43" fontId="12" fillId="0" borderId="0" xfId="1" applyNumberFormat="1" applyFont="1" applyFill="1" applyBorder="1" applyProtection="1"/>
    <xf numFmtId="43" fontId="12" fillId="0" borderId="9" xfId="1" applyNumberFormat="1" applyFont="1" applyFill="1" applyBorder="1" applyProtection="1"/>
    <xf numFmtId="0" fontId="12" fillId="0" borderId="10" xfId="0" applyFont="1" applyFill="1" applyBorder="1" applyProtection="1"/>
    <xf numFmtId="0" fontId="29" fillId="0" borderId="0" xfId="0" applyFont="1" applyFill="1" applyBorder="1" applyAlignment="1" applyProtection="1">
      <alignment vertical="center"/>
    </xf>
    <xf numFmtId="0" fontId="0" fillId="0" borderId="0" xfId="0" applyProtection="1"/>
    <xf numFmtId="0" fontId="8" fillId="0" borderId="0" xfId="0" applyFont="1" applyFill="1" applyBorder="1" applyProtection="1"/>
    <xf numFmtId="0" fontId="8" fillId="0" borderId="0" xfId="0" applyFont="1" applyFill="1" applyBorder="1" applyAlignment="1" applyProtection="1">
      <alignment horizontal="left"/>
    </xf>
    <xf numFmtId="0" fontId="8" fillId="0" borderId="0" xfId="0" applyFont="1" applyFill="1" applyBorder="1" applyAlignment="1" applyProtection="1">
      <alignment horizontal="center"/>
    </xf>
    <xf numFmtId="0" fontId="8" fillId="0" borderId="0" xfId="0" applyFont="1" applyFill="1" applyAlignment="1" applyProtection="1"/>
    <xf numFmtId="0" fontId="8" fillId="0" borderId="0" xfId="0" quotePrefix="1" applyFont="1" applyFill="1" applyAlignment="1" applyProtection="1">
      <alignment horizontal="center" vertical="center"/>
    </xf>
    <xf numFmtId="0" fontId="12" fillId="0" borderId="0" xfId="0" applyFont="1" applyFill="1" applyBorder="1" applyAlignment="1" applyProtection="1">
      <alignment vertical="center" wrapText="1"/>
    </xf>
    <xf numFmtId="0" fontId="4" fillId="0" borderId="0" xfId="0" applyFont="1" applyFill="1" applyBorder="1" applyAlignment="1" applyProtection="1">
      <alignment horizontal="left" vertical="center"/>
    </xf>
    <xf numFmtId="164" fontId="12" fillId="0" borderId="3" xfId="1" applyNumberFormat="1" applyFont="1" applyFill="1" applyBorder="1" applyProtection="1"/>
    <xf numFmtId="0" fontId="0" fillId="0" borderId="0" xfId="0" applyAlignment="1" applyProtection="1">
      <alignment vertical="center"/>
    </xf>
    <xf numFmtId="9" fontId="12" fillId="0" borderId="0" xfId="10" applyFont="1" applyFill="1" applyBorder="1" applyProtection="1"/>
    <xf numFmtId="44" fontId="12" fillId="0" borderId="0" xfId="0" applyNumberFormat="1" applyFont="1" applyFill="1" applyProtection="1"/>
    <xf numFmtId="0" fontId="21" fillId="0" borderId="0" xfId="0" applyFont="1" applyFill="1" applyProtection="1"/>
    <xf numFmtId="0" fontId="4" fillId="0" borderId="0" xfId="0" applyFont="1" applyFill="1" applyAlignment="1" applyProtection="1">
      <alignment vertical="center"/>
    </xf>
    <xf numFmtId="1" fontId="4" fillId="0" borderId="0" xfId="0" applyNumberFormat="1" applyFont="1" applyFill="1" applyAlignment="1" applyProtection="1">
      <alignment horizontal="left" vertical="center"/>
    </xf>
    <xf numFmtId="0" fontId="7" fillId="0" borderId="0" xfId="0" applyFont="1" applyFill="1" applyAlignment="1" applyProtection="1">
      <alignment horizontal="center" vertical="center"/>
    </xf>
    <xf numFmtId="0" fontId="7" fillId="0" borderId="0" xfId="0" applyFont="1" applyFill="1" applyAlignment="1" applyProtection="1">
      <alignment vertical="center"/>
    </xf>
    <xf numFmtId="0" fontId="17" fillId="0" borderId="0" xfId="0" applyFont="1" applyFill="1" applyProtection="1"/>
    <xf numFmtId="0" fontId="21" fillId="0" borderId="0" xfId="0" applyFont="1" applyFill="1" applyAlignment="1" applyProtection="1">
      <alignment vertical="center"/>
    </xf>
    <xf numFmtId="0" fontId="18" fillId="0" borderId="0" xfId="0" applyFont="1" applyFill="1" applyProtection="1"/>
    <xf numFmtId="0" fontId="9" fillId="0" borderId="0" xfId="0" applyFont="1" applyFill="1" applyAlignment="1" applyProtection="1">
      <alignment vertical="center"/>
    </xf>
    <xf numFmtId="0" fontId="25" fillId="0" borderId="0" xfId="0" applyFont="1" applyFill="1" applyAlignment="1" applyProtection="1">
      <alignment vertical="center"/>
    </xf>
    <xf numFmtId="0" fontId="21" fillId="0" borderId="0" xfId="0" applyFont="1" applyFill="1" applyAlignment="1" applyProtection="1">
      <alignment horizontal="center" vertical="center"/>
    </xf>
    <xf numFmtId="0" fontId="14" fillId="0" borderId="0" xfId="0" applyFont="1" applyFill="1" applyAlignment="1" applyProtection="1">
      <alignment horizontal="right" vertical="center"/>
    </xf>
    <xf numFmtId="0" fontId="19" fillId="0" borderId="0" xfId="0" applyFont="1" applyFill="1" applyAlignment="1" applyProtection="1">
      <alignment vertical="center"/>
    </xf>
    <xf numFmtId="0" fontId="16" fillId="0" borderId="0" xfId="0" applyFont="1" applyFill="1" applyAlignment="1" applyProtection="1">
      <alignment vertical="center"/>
    </xf>
    <xf numFmtId="0" fontId="21" fillId="0" borderId="0" xfId="0" applyFont="1" applyFill="1" applyBorder="1" applyAlignment="1" applyProtection="1">
      <alignment vertical="center"/>
    </xf>
    <xf numFmtId="0" fontId="24" fillId="0" borderId="0" xfId="0" applyFont="1" applyFill="1" applyAlignment="1" applyProtection="1">
      <alignment horizontal="right"/>
    </xf>
    <xf numFmtId="0" fontId="10" fillId="0" borderId="0" xfId="0" applyFont="1" applyFill="1" applyBorder="1" applyAlignment="1" applyProtection="1">
      <alignment horizontal="center" vertical="center"/>
    </xf>
    <xf numFmtId="0" fontId="14" fillId="0" borderId="0" xfId="0" applyFont="1" applyFill="1" applyAlignment="1" applyProtection="1">
      <alignment horizontal="center" vertical="center"/>
    </xf>
    <xf numFmtId="0" fontId="4" fillId="0" borderId="0" xfId="0" applyFont="1" applyFill="1" applyBorder="1" applyAlignment="1" applyProtection="1">
      <alignment vertical="center"/>
    </xf>
    <xf numFmtId="0" fontId="19" fillId="0" borderId="0" xfId="0" applyFont="1" applyFill="1" applyBorder="1" applyAlignment="1" applyProtection="1">
      <alignment vertical="center"/>
    </xf>
    <xf numFmtId="0" fontId="18" fillId="0" borderId="0" xfId="0" applyFont="1" applyFill="1" applyBorder="1" applyProtection="1"/>
    <xf numFmtId="0" fontId="4" fillId="0" borderId="0" xfId="0" applyFont="1" applyFill="1" applyProtection="1"/>
    <xf numFmtId="38" fontId="8" fillId="4" borderId="3" xfId="0" applyNumberFormat="1" applyFont="1" applyFill="1" applyBorder="1" applyAlignment="1" applyProtection="1">
      <alignment horizontal="center" vertical="center"/>
    </xf>
    <xf numFmtId="0" fontId="21" fillId="0" borderId="0" xfId="0" applyFont="1" applyFill="1" applyBorder="1" applyAlignment="1" applyProtection="1">
      <alignment horizontal="center" vertical="center"/>
    </xf>
    <xf numFmtId="0" fontId="11" fillId="0" borderId="0" xfId="0" applyFont="1" applyFill="1" applyBorder="1" applyAlignment="1" applyProtection="1">
      <alignment horizontal="right"/>
    </xf>
    <xf numFmtId="0" fontId="7" fillId="0" borderId="0" xfId="0" applyFont="1" applyFill="1" applyBorder="1" applyAlignment="1" applyProtection="1">
      <alignment vertical="center"/>
    </xf>
    <xf numFmtId="0" fontId="4" fillId="0" borderId="0" xfId="0" applyFont="1" applyFill="1" applyBorder="1" applyAlignment="1" applyProtection="1"/>
    <xf numFmtId="0" fontId="25" fillId="0" borderId="0" xfId="0" applyFont="1" applyFill="1" applyBorder="1" applyAlignment="1" applyProtection="1">
      <alignment vertical="center"/>
    </xf>
    <xf numFmtId="0" fontId="7" fillId="0" borderId="0" xfId="0" applyFont="1" applyFill="1" applyBorder="1" applyAlignment="1" applyProtection="1">
      <alignment horizontal="center" vertical="center"/>
    </xf>
    <xf numFmtId="0" fontId="25" fillId="0" borderId="0" xfId="0" applyFont="1" applyFill="1" applyAlignment="1" applyProtection="1">
      <alignment horizontal="left" vertical="center"/>
    </xf>
    <xf numFmtId="0" fontId="12" fillId="0" borderId="0" xfId="0" applyFont="1" applyFill="1" applyAlignment="1" applyProtection="1">
      <alignment horizontal="center"/>
    </xf>
    <xf numFmtId="0" fontId="24" fillId="0" borderId="0" xfId="0" applyFont="1" applyFill="1" applyProtection="1"/>
    <xf numFmtId="0" fontId="14" fillId="0" borderId="0" xfId="0" applyFont="1" applyFill="1" applyBorder="1" applyAlignment="1" applyProtection="1">
      <alignment horizontal="right" vertical="center"/>
    </xf>
    <xf numFmtId="38" fontId="8" fillId="0" borderId="3" xfId="0" applyNumberFormat="1" applyFont="1" applyFill="1" applyBorder="1" applyAlignment="1" applyProtection="1">
      <alignment horizontal="center" vertical="center"/>
    </xf>
    <xf numFmtId="0" fontId="4" fillId="0" borderId="0" xfId="0" applyFont="1" applyFill="1" applyBorder="1" applyAlignment="1" applyProtection="1">
      <alignment horizontal="right" vertical="center"/>
    </xf>
    <xf numFmtId="0" fontId="7" fillId="0" borderId="0" xfId="0" applyFont="1" applyFill="1" applyAlignment="1" applyProtection="1">
      <alignment horizontal="right" vertical="center"/>
    </xf>
    <xf numFmtId="0" fontId="16" fillId="0" borderId="0" xfId="0" applyFont="1" applyFill="1" applyBorder="1" applyAlignment="1" applyProtection="1">
      <alignment vertical="center"/>
    </xf>
    <xf numFmtId="0" fontId="11" fillId="0" borderId="0" xfId="0" applyFont="1" applyFill="1" applyBorder="1" applyProtection="1"/>
    <xf numFmtId="0" fontId="21" fillId="0" borderId="0" xfId="0" applyFont="1" applyFill="1" applyAlignment="1" applyProtection="1"/>
    <xf numFmtId="0" fontId="5" fillId="0" borderId="0" xfId="0" applyFont="1" applyFill="1" applyAlignment="1" applyProtection="1">
      <alignment horizontal="center" vertical="center"/>
    </xf>
    <xf numFmtId="0" fontId="13" fillId="0" borderId="0" xfId="0" applyFont="1" applyFill="1" applyAlignment="1" applyProtection="1"/>
    <xf numFmtId="0" fontId="8" fillId="4" borderId="3" xfId="0" applyFont="1" applyFill="1" applyBorder="1" applyAlignment="1" applyProtection="1">
      <alignment horizontal="center" vertical="center"/>
    </xf>
    <xf numFmtId="0" fontId="8" fillId="0" borderId="0" xfId="0" applyFont="1" applyFill="1" applyBorder="1" applyAlignment="1" applyProtection="1">
      <alignment horizontal="center" vertical="top" wrapText="1"/>
    </xf>
    <xf numFmtId="0" fontId="8" fillId="0" borderId="0" xfId="0" applyFont="1" applyAlignment="1" applyProtection="1">
      <alignment horizontal="center"/>
    </xf>
    <xf numFmtId="38" fontId="8" fillId="0" borderId="0" xfId="0" applyNumberFormat="1" applyFont="1" applyFill="1" applyAlignment="1" applyProtection="1">
      <alignment horizontal="center"/>
    </xf>
    <xf numFmtId="0" fontId="3" fillId="0" borderId="0" xfId="0" applyFont="1" applyFill="1" applyAlignment="1" applyProtection="1">
      <alignment horizontal="center" vertical="center"/>
    </xf>
    <xf numFmtId="0" fontId="32" fillId="0" borderId="0" xfId="0" applyFont="1" applyFill="1" applyAlignment="1" applyProtection="1">
      <alignment horizontal="center" vertical="center"/>
    </xf>
    <xf numFmtId="0" fontId="12" fillId="0" borderId="0" xfId="0" applyFont="1" applyFill="1" applyBorder="1" applyAlignment="1" applyProtection="1">
      <alignment horizontal="center" vertical="top" wrapText="1"/>
    </xf>
    <xf numFmtId="0" fontId="21" fillId="0" borderId="0" xfId="0" applyFont="1" applyAlignment="1" applyProtection="1">
      <alignment horizontal="center"/>
    </xf>
    <xf numFmtId="0" fontId="8" fillId="0" borderId="3" xfId="0" applyFont="1" applyFill="1" applyBorder="1" applyAlignment="1" applyProtection="1">
      <alignment horizontal="center" vertical="center"/>
    </xf>
    <xf numFmtId="0" fontId="12" fillId="0" borderId="6" xfId="0" applyFont="1" applyFill="1" applyBorder="1" applyAlignment="1" applyProtection="1">
      <alignment vertical="center"/>
    </xf>
    <xf numFmtId="10" fontId="12" fillId="0" borderId="0" xfId="0" applyNumberFormat="1" applyFont="1" applyFill="1" applyBorder="1" applyAlignment="1" applyProtection="1">
      <alignment horizontal="left"/>
    </xf>
    <xf numFmtId="0" fontId="12" fillId="0" borderId="0" xfId="0" applyFont="1" applyAlignment="1" applyProtection="1">
      <alignment vertical="center"/>
    </xf>
    <xf numFmtId="0" fontId="12" fillId="0" borderId="0" xfId="0" applyFont="1" applyBorder="1" applyAlignment="1" applyProtection="1">
      <alignment vertical="center"/>
    </xf>
    <xf numFmtId="0" fontId="0" fillId="0" borderId="0" xfId="0" applyAlignment="1" applyProtection="1">
      <alignment horizontal="center"/>
    </xf>
    <xf numFmtId="0" fontId="12" fillId="0" borderId="0" xfId="0" applyFont="1" applyFill="1" applyAlignment="1" applyProtection="1">
      <alignment horizontal="right"/>
    </xf>
    <xf numFmtId="0" fontId="28" fillId="0" borderId="0" xfId="0" applyFont="1" applyFill="1" applyProtection="1"/>
    <xf numFmtId="0" fontId="8" fillId="0" borderId="5" xfId="0" applyFont="1" applyFill="1" applyBorder="1" applyAlignment="1" applyProtection="1">
      <alignment horizontal="center" vertical="center"/>
    </xf>
    <xf numFmtId="0" fontId="8" fillId="0" borderId="13" xfId="0" applyFont="1" applyFill="1" applyBorder="1" applyAlignment="1" applyProtection="1">
      <alignment horizontal="center"/>
    </xf>
    <xf numFmtId="0" fontId="8" fillId="0" borderId="9" xfId="0" applyFont="1" applyFill="1" applyBorder="1" applyAlignment="1" applyProtection="1">
      <alignment vertical="center"/>
    </xf>
    <xf numFmtId="0" fontId="16" fillId="0" borderId="14" xfId="0" applyFont="1" applyFill="1" applyBorder="1" applyAlignment="1" applyProtection="1">
      <alignment vertical="top"/>
    </xf>
    <xf numFmtId="0" fontId="14" fillId="0" borderId="0" xfId="0" applyFont="1" applyFill="1" applyAlignment="1" applyProtection="1">
      <alignment vertical="center"/>
    </xf>
    <xf numFmtId="0" fontId="14" fillId="0" borderId="0" xfId="0" applyFont="1" applyFill="1" applyBorder="1" applyAlignment="1" applyProtection="1"/>
    <xf numFmtId="0" fontId="14" fillId="0" borderId="0" xfId="0" applyFont="1" applyFill="1" applyAlignment="1" applyProtection="1"/>
    <xf numFmtId="0" fontId="13" fillId="0" borderId="0" xfId="0" applyFont="1" applyFill="1" applyProtection="1"/>
    <xf numFmtId="0" fontId="28" fillId="0" borderId="0" xfId="0" applyFont="1" applyFill="1" applyAlignment="1" applyProtection="1">
      <alignment vertical="center"/>
    </xf>
    <xf numFmtId="0" fontId="28" fillId="0" borderId="0" xfId="0" applyFont="1" applyProtection="1"/>
    <xf numFmtId="0" fontId="8" fillId="0" borderId="0" xfId="0" applyFont="1" applyFill="1" applyAlignment="1" applyProtection="1">
      <alignment horizontal="center" wrapText="1"/>
    </xf>
    <xf numFmtId="0" fontId="7" fillId="0" borderId="0" xfId="0" quotePrefix="1" applyFont="1" applyFill="1" applyAlignment="1" applyProtection="1">
      <alignment horizontal="right" vertical="center"/>
    </xf>
    <xf numFmtId="0" fontId="18" fillId="0" borderId="0" xfId="0" applyFont="1" applyFill="1" applyBorder="1" applyAlignment="1" applyProtection="1">
      <alignment vertical="center"/>
    </xf>
    <xf numFmtId="0" fontId="12" fillId="0" borderId="0" xfId="0" applyFont="1" applyFill="1" applyBorder="1" applyAlignment="1" applyProtection="1">
      <alignment horizontal="center" vertical="center" wrapText="1"/>
    </xf>
    <xf numFmtId="0" fontId="12" fillId="0" borderId="3" xfId="0" applyFont="1" applyFill="1" applyBorder="1" applyAlignment="1" applyProtection="1">
      <alignment horizontal="center" vertical="center"/>
    </xf>
    <xf numFmtId="0" fontId="3" fillId="0" borderId="0" xfId="0" applyFont="1" applyFill="1" applyAlignment="1" applyProtection="1">
      <alignment vertical="center"/>
    </xf>
    <xf numFmtId="0" fontId="16" fillId="0" borderId="0" xfId="0" applyFont="1" applyFill="1" applyBorder="1" applyAlignment="1" applyProtection="1">
      <alignment horizontal="left" vertical="center"/>
    </xf>
    <xf numFmtId="0" fontId="12" fillId="0" borderId="0" xfId="0" applyFont="1" applyFill="1" applyAlignment="1" applyProtection="1">
      <alignment horizontal="left"/>
    </xf>
    <xf numFmtId="0" fontId="16" fillId="0" borderId="14" xfId="0" applyFont="1" applyFill="1" applyBorder="1" applyAlignment="1" applyProtection="1">
      <alignment vertical="center"/>
    </xf>
    <xf numFmtId="0" fontId="21" fillId="0" borderId="14" xfId="0" applyFont="1" applyFill="1" applyBorder="1" applyAlignment="1" applyProtection="1">
      <alignment vertical="center"/>
    </xf>
    <xf numFmtId="0" fontId="4" fillId="0" borderId="14" xfId="0" applyFont="1" applyFill="1" applyBorder="1" applyAlignment="1" applyProtection="1">
      <alignment horizontal="left" vertical="top" wrapText="1"/>
    </xf>
    <xf numFmtId="0" fontId="7" fillId="0" borderId="0" xfId="0" applyFont="1" applyProtection="1"/>
    <xf numFmtId="10" fontId="12" fillId="0" borderId="0" xfId="0" applyNumberFormat="1" applyFont="1" applyFill="1" applyAlignment="1" applyProtection="1">
      <alignment horizontal="center"/>
    </xf>
    <xf numFmtId="0" fontId="18" fillId="0" borderId="0" xfId="0" applyFont="1" applyFill="1" applyAlignment="1" applyProtection="1">
      <alignment vertical="center"/>
    </xf>
    <xf numFmtId="0" fontId="13" fillId="0" borderId="0" xfId="0" applyFont="1" applyFill="1" applyBorder="1" applyAlignment="1" applyProtection="1">
      <alignment vertical="center"/>
    </xf>
    <xf numFmtId="0" fontId="0" fillId="0" borderId="0" xfId="0" applyAlignment="1" applyProtection="1">
      <alignment vertical="top" wrapText="1"/>
    </xf>
    <xf numFmtId="0" fontId="20" fillId="0" borderId="0" xfId="0" applyFont="1" applyFill="1" applyAlignment="1" applyProtection="1">
      <alignment vertical="center"/>
    </xf>
    <xf numFmtId="0" fontId="20" fillId="0" borderId="0" xfId="0" applyFont="1" applyFill="1" applyBorder="1" applyAlignment="1" applyProtection="1">
      <alignment vertical="center"/>
    </xf>
    <xf numFmtId="0" fontId="31" fillId="0" borderId="0" xfId="0" applyFont="1" applyFill="1" applyAlignment="1" applyProtection="1">
      <alignment horizontal="center" vertical="center"/>
    </xf>
    <xf numFmtId="0" fontId="13" fillId="0" borderId="0" xfId="0" applyFont="1" applyFill="1" applyAlignment="1" applyProtection="1">
      <alignment horizontal="left" indent="2"/>
    </xf>
    <xf numFmtId="0" fontId="27" fillId="0" borderId="0" xfId="0" applyFont="1" applyFill="1" applyAlignment="1" applyProtection="1">
      <alignment horizontal="center" vertical="center"/>
    </xf>
    <xf numFmtId="0" fontId="13" fillId="0" borderId="0" xfId="0" applyFont="1" applyFill="1" applyAlignment="1" applyProtection="1">
      <alignment vertical="center"/>
    </xf>
    <xf numFmtId="0" fontId="18" fillId="0" borderId="0" xfId="0" applyFont="1" applyFill="1" applyAlignment="1" applyProtection="1">
      <alignment horizontal="center"/>
    </xf>
    <xf numFmtId="0" fontId="48" fillId="0" borderId="0" xfId="0" applyFont="1" applyFill="1" applyProtection="1"/>
    <xf numFmtId="0" fontId="20" fillId="0" borderId="0" xfId="0" applyFont="1" applyFill="1" applyBorder="1" applyAlignment="1" applyProtection="1"/>
    <xf numFmtId="0" fontId="20" fillId="0" borderId="0" xfId="0" applyFont="1" applyFill="1" applyAlignment="1" applyProtection="1"/>
    <xf numFmtId="0" fontId="14" fillId="0" borderId="0" xfId="0" applyFont="1" applyFill="1" applyAlignment="1" applyProtection="1">
      <alignment horizontal="left" vertical="center"/>
    </xf>
    <xf numFmtId="0" fontId="14" fillId="0" borderId="0" xfId="0" applyFont="1" applyFill="1" applyBorder="1" applyAlignment="1" applyProtection="1">
      <alignment horizontal="left"/>
    </xf>
    <xf numFmtId="0" fontId="21" fillId="0" borderId="0" xfId="0" applyFont="1" applyProtection="1"/>
    <xf numFmtId="0" fontId="21" fillId="0" borderId="0" xfId="0" applyFont="1" applyAlignment="1" applyProtection="1">
      <alignment horizontal="center" vertical="center"/>
    </xf>
    <xf numFmtId="0" fontId="7" fillId="0" borderId="0" xfId="0" applyFont="1" applyAlignment="1" applyProtection="1">
      <alignment horizontal="left" vertical="center"/>
    </xf>
    <xf numFmtId="0" fontId="17" fillId="0" borderId="0" xfId="0" applyFont="1" applyFill="1" applyBorder="1" applyProtection="1"/>
    <xf numFmtId="0" fontId="0" fillId="0" borderId="0" xfId="0" applyBorder="1" applyProtection="1"/>
    <xf numFmtId="0" fontId="7" fillId="0" borderId="0" xfId="0" applyFont="1" applyAlignment="1" applyProtection="1">
      <alignment vertical="center"/>
    </xf>
    <xf numFmtId="0" fontId="7" fillId="0" borderId="0" xfId="0" applyFont="1" applyAlignment="1" applyProtection="1">
      <alignment horizontal="center"/>
    </xf>
    <xf numFmtId="164" fontId="12" fillId="0" borderId="6" xfId="1" applyNumberFormat="1" applyFont="1" applyFill="1" applyBorder="1" applyAlignment="1" applyProtection="1">
      <alignment vertical="center"/>
    </xf>
    <xf numFmtId="164" fontId="12" fillId="0" borderId="0" xfId="1" applyNumberFormat="1" applyFont="1" applyFill="1" applyBorder="1" applyAlignment="1" applyProtection="1">
      <alignment vertical="center"/>
    </xf>
    <xf numFmtId="0" fontId="26" fillId="0" borderId="0" xfId="0" applyFont="1" applyFill="1" applyAlignment="1" applyProtection="1">
      <alignment horizontal="right"/>
    </xf>
    <xf numFmtId="0" fontId="3" fillId="0" borderId="0" xfId="0" applyFont="1" applyAlignment="1" applyProtection="1">
      <alignment horizontal="center"/>
    </xf>
    <xf numFmtId="0" fontId="34" fillId="0" borderId="0" xfId="0" applyFont="1" applyProtection="1"/>
    <xf numFmtId="0" fontId="27" fillId="0" borderId="0" xfId="0" applyFont="1" applyFill="1" applyAlignment="1" applyProtection="1">
      <alignment vertical="center"/>
    </xf>
    <xf numFmtId="0" fontId="20" fillId="0" borderId="0" xfId="0" applyFont="1" applyFill="1" applyBorder="1" applyAlignment="1" applyProtection="1">
      <alignment horizontal="right" vertical="center"/>
    </xf>
    <xf numFmtId="164" fontId="13" fillId="0" borderId="3" xfId="1" applyNumberFormat="1" applyFont="1" applyFill="1" applyBorder="1" applyAlignment="1" applyProtection="1">
      <alignment horizontal="center" vertical="center"/>
    </xf>
    <xf numFmtId="164" fontId="13" fillId="0" borderId="13" xfId="1" applyNumberFormat="1" applyFont="1" applyFill="1" applyBorder="1" applyAlignment="1" applyProtection="1">
      <alignment horizontal="center" vertical="center"/>
    </xf>
    <xf numFmtId="164" fontId="13" fillId="0" borderId="15" xfId="1" applyNumberFormat="1" applyFont="1" applyFill="1" applyBorder="1" applyAlignment="1" applyProtection="1">
      <alignment horizontal="center" vertical="center"/>
    </xf>
    <xf numFmtId="0" fontId="30" fillId="0" borderId="0" xfId="0" applyFont="1" applyFill="1" applyProtection="1"/>
    <xf numFmtId="0" fontId="5" fillId="0" borderId="0" xfId="0" applyFont="1" applyFill="1" applyProtection="1"/>
    <xf numFmtId="0" fontId="29" fillId="0" borderId="0" xfId="0" applyFont="1" applyFill="1" applyBorder="1" applyAlignment="1" applyProtection="1">
      <alignment horizontal="left" vertical="top"/>
    </xf>
    <xf numFmtId="0" fontId="21" fillId="0" borderId="0" xfId="0" applyFont="1" applyFill="1" applyBorder="1" applyProtection="1"/>
    <xf numFmtId="0" fontId="8" fillId="0" borderId="0" xfId="0" applyFont="1" applyFill="1" applyAlignment="1" applyProtection="1">
      <alignment horizontal="left" vertical="top"/>
    </xf>
    <xf numFmtId="0" fontId="8" fillId="0" borderId="0" xfId="0" applyFont="1" applyFill="1" applyAlignment="1" applyProtection="1">
      <alignment vertical="top"/>
    </xf>
    <xf numFmtId="0" fontId="14" fillId="0" borderId="0" xfId="0" applyFont="1" applyFill="1" applyAlignment="1" applyProtection="1">
      <alignment vertical="top"/>
    </xf>
    <xf numFmtId="0" fontId="4" fillId="0" borderId="0" xfId="0" applyFont="1" applyFill="1" applyAlignment="1" applyProtection="1">
      <alignment horizontal="center" vertical="center"/>
    </xf>
    <xf numFmtId="0" fontId="14" fillId="0" borderId="0" xfId="0" applyFont="1" applyFill="1" applyBorder="1" applyAlignment="1" applyProtection="1">
      <alignment horizontal="right" vertical="top" wrapText="1"/>
    </xf>
    <xf numFmtId="0" fontId="21" fillId="0" borderId="0" xfId="0" applyFont="1" applyFill="1" applyAlignment="1" applyProtection="1">
      <alignment vertical="top"/>
    </xf>
    <xf numFmtId="0" fontId="4" fillId="0" borderId="0" xfId="0" applyFont="1" applyFill="1" applyBorder="1" applyAlignment="1" applyProtection="1">
      <alignment vertical="center" wrapText="1"/>
    </xf>
    <xf numFmtId="0" fontId="4" fillId="0" borderId="0" xfId="0" applyFont="1" applyAlignment="1" applyProtection="1">
      <alignment vertical="center"/>
    </xf>
    <xf numFmtId="0" fontId="0" fillId="0" borderId="0" xfId="0" applyBorder="1" applyAlignment="1" applyProtection="1"/>
    <xf numFmtId="0" fontId="36" fillId="0" borderId="0" xfId="0" applyFont="1" applyFill="1" applyAlignment="1" applyProtection="1">
      <alignment vertical="center"/>
    </xf>
    <xf numFmtId="0" fontId="16" fillId="0" borderId="0" xfId="0" applyFont="1" applyFill="1" applyBorder="1" applyAlignment="1" applyProtection="1">
      <alignment vertical="top"/>
    </xf>
    <xf numFmtId="0" fontId="16" fillId="0" borderId="0" xfId="0" applyFont="1" applyFill="1" applyBorder="1" applyAlignment="1" applyProtection="1">
      <alignment vertical="top" wrapText="1"/>
    </xf>
    <xf numFmtId="0" fontId="10" fillId="0" borderId="0" xfId="0" applyFont="1" applyFill="1" applyAlignment="1" applyProtection="1">
      <alignment horizontal="right" vertical="center"/>
    </xf>
    <xf numFmtId="0" fontId="4" fillId="0" borderId="0" xfId="0" applyFont="1" applyFill="1" applyBorder="1" applyAlignment="1" applyProtection="1">
      <alignment vertical="top"/>
    </xf>
    <xf numFmtId="0" fontId="16" fillId="0" borderId="14" xfId="0" applyFont="1" applyFill="1" applyBorder="1" applyAlignment="1" applyProtection="1">
      <alignment horizontal="left" vertical="center"/>
    </xf>
    <xf numFmtId="0" fontId="14" fillId="0" borderId="0" xfId="0" applyFont="1" applyFill="1" applyAlignment="1" applyProtection="1">
      <alignment horizontal="right" vertical="top"/>
    </xf>
    <xf numFmtId="0" fontId="7" fillId="0" borderId="0" xfId="0" applyFont="1" applyFill="1" applyAlignment="1" applyProtection="1">
      <alignment vertical="top" wrapText="1"/>
    </xf>
    <xf numFmtId="0" fontId="10" fillId="0" borderId="0" xfId="0" applyFont="1" applyFill="1" applyAlignment="1" applyProtection="1">
      <alignment horizontal="right" vertical="top"/>
    </xf>
    <xf numFmtId="0" fontId="7" fillId="0" borderId="0" xfId="0" applyFont="1" applyFill="1" applyProtection="1"/>
    <xf numFmtId="0" fontId="7" fillId="0" borderId="0" xfId="0" applyFont="1" applyFill="1" applyAlignment="1" applyProtection="1">
      <alignment horizontal="left" vertical="center"/>
    </xf>
    <xf numFmtId="0" fontId="4" fillId="0" borderId="0" xfId="0" applyFont="1" applyFill="1" applyBorder="1" applyAlignment="1" applyProtection="1">
      <alignment horizontal="left" vertical="top"/>
    </xf>
    <xf numFmtId="0" fontId="12" fillId="0" borderId="0" xfId="0" applyFont="1" applyFill="1" applyBorder="1" applyAlignment="1" applyProtection="1">
      <alignment horizontal="left" vertical="top" wrapText="1"/>
    </xf>
    <xf numFmtId="0" fontId="3" fillId="0" borderId="0" xfId="0" applyFont="1" applyFill="1" applyProtection="1"/>
    <xf numFmtId="0" fontId="8" fillId="0" borderId="0" xfId="0" applyFont="1" applyFill="1" applyBorder="1" applyAlignment="1" applyProtection="1">
      <alignment horizontal="left" vertical="top" wrapText="1"/>
    </xf>
    <xf numFmtId="0" fontId="7"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2" fillId="0" borderId="3" xfId="0" applyNumberFormat="1" applyFont="1" applyFill="1" applyBorder="1" applyAlignment="1" applyProtection="1">
      <alignment horizontal="center" vertical="center"/>
    </xf>
    <xf numFmtId="0" fontId="8" fillId="0" borderId="0" xfId="0" applyFont="1" applyAlignment="1" applyProtection="1">
      <alignment horizontal="center" vertical="center"/>
    </xf>
    <xf numFmtId="0" fontId="28" fillId="0" borderId="0" xfId="0" applyFont="1" applyFill="1" applyBorder="1" applyProtection="1"/>
    <xf numFmtId="0" fontId="20" fillId="0" borderId="0" xfId="0" quotePrefix="1" applyFont="1" applyFill="1" applyAlignment="1" applyProtection="1">
      <alignment vertical="center"/>
    </xf>
    <xf numFmtId="0" fontId="20" fillId="0" borderId="0" xfId="0" quotePrefix="1" applyFont="1" applyFill="1" applyBorder="1" applyAlignment="1" applyProtection="1">
      <alignment horizontal="left" vertical="center"/>
    </xf>
    <xf numFmtId="0" fontId="26" fillId="0" borderId="0" xfId="0" applyFont="1" applyFill="1" applyAlignment="1" applyProtection="1">
      <alignment vertical="center"/>
    </xf>
    <xf numFmtId="0" fontId="45" fillId="0" borderId="0" xfId="0" applyFont="1" applyFill="1" applyAlignment="1" applyProtection="1">
      <alignment vertical="center"/>
    </xf>
    <xf numFmtId="38" fontId="45" fillId="0" borderId="0" xfId="0" applyNumberFormat="1" applyFont="1" applyFill="1" applyAlignment="1" applyProtection="1">
      <alignment horizontal="center" vertical="center"/>
    </xf>
    <xf numFmtId="38" fontId="26" fillId="0" borderId="16" xfId="0" applyNumberFormat="1" applyFont="1" applyFill="1" applyBorder="1" applyAlignment="1" applyProtection="1">
      <alignment horizontal="center" vertical="center"/>
    </xf>
    <xf numFmtId="0" fontId="37" fillId="0" borderId="0" xfId="0" applyFont="1" applyFill="1" applyAlignment="1" applyProtection="1">
      <alignment vertical="center" wrapText="1"/>
    </xf>
    <xf numFmtId="0" fontId="3" fillId="0" borderId="0" xfId="0" applyFont="1" applyProtection="1"/>
    <xf numFmtId="0" fontId="0" fillId="0" borderId="0" xfId="0" applyAlignment="1" applyProtection="1">
      <alignment wrapText="1"/>
    </xf>
    <xf numFmtId="0" fontId="10" fillId="0" borderId="0" xfId="0" applyFont="1" applyFill="1" applyAlignment="1" applyProtection="1">
      <alignment horizontal="center" vertical="center" wrapText="1"/>
    </xf>
    <xf numFmtId="0" fontId="4" fillId="0" borderId="0" xfId="0" applyFont="1" applyFill="1" applyAlignment="1" applyProtection="1">
      <alignment horizontal="right" vertical="top"/>
    </xf>
    <xf numFmtId="164" fontId="12" fillId="0" borderId="3" xfId="1" applyNumberFormat="1" applyFont="1" applyFill="1" applyBorder="1" applyAlignment="1" applyProtection="1">
      <alignment vertical="center"/>
    </xf>
    <xf numFmtId="164" fontId="12" fillId="0" borderId="17" xfId="1" applyNumberFormat="1" applyFont="1" applyFill="1" applyBorder="1" applyAlignment="1" applyProtection="1">
      <alignment vertical="center"/>
    </xf>
    <xf numFmtId="164" fontId="13" fillId="0" borderId="0"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vertical="center"/>
    </xf>
    <xf numFmtId="164" fontId="13" fillId="0" borderId="17" xfId="1" applyNumberFormat="1" applyFont="1" applyFill="1" applyBorder="1" applyAlignment="1" applyProtection="1">
      <alignment horizontal="center" vertical="center"/>
    </xf>
    <xf numFmtId="164" fontId="13" fillId="0" borderId="18" xfId="1" applyNumberFormat="1" applyFont="1" applyFill="1" applyBorder="1" applyAlignment="1" applyProtection="1">
      <alignment horizontal="center" vertical="center"/>
    </xf>
    <xf numFmtId="164" fontId="13" fillId="0" borderId="19" xfId="1" applyNumberFormat="1" applyFont="1" applyFill="1" applyBorder="1" applyAlignment="1" applyProtection="1">
      <alignment horizontal="center" vertical="center"/>
    </xf>
    <xf numFmtId="0" fontId="30" fillId="0" borderId="0" xfId="0" applyFont="1" applyFill="1" applyBorder="1" applyAlignment="1" applyProtection="1">
      <alignment horizontal="center" vertical="center"/>
    </xf>
    <xf numFmtId="0" fontId="30" fillId="0" borderId="0" xfId="0" applyFont="1" applyFill="1" applyBorder="1" applyAlignment="1" applyProtection="1">
      <alignment vertical="center"/>
    </xf>
    <xf numFmtId="0" fontId="12" fillId="0" borderId="0" xfId="0" quotePrefix="1" applyFont="1" applyAlignment="1" applyProtection="1">
      <alignment horizontal="left" vertical="center"/>
    </xf>
    <xf numFmtId="0" fontId="14" fillId="4" borderId="3" xfId="0" applyFont="1" applyFill="1" applyBorder="1" applyAlignment="1" applyProtection="1">
      <alignment horizontal="center" vertical="center"/>
    </xf>
    <xf numFmtId="0" fontId="7" fillId="0" borderId="0" xfId="0" applyFont="1" applyBorder="1" applyProtection="1"/>
    <xf numFmtId="0" fontId="12" fillId="0" borderId="0" xfId="0" applyFont="1" applyProtection="1"/>
    <xf numFmtId="0" fontId="10" fillId="0" borderId="0" xfId="0" applyFont="1" applyFill="1" applyAlignment="1" applyProtection="1">
      <alignment vertical="center"/>
    </xf>
    <xf numFmtId="0" fontId="50" fillId="0" borderId="0" xfId="0" applyFont="1" applyAlignment="1" applyProtection="1"/>
    <xf numFmtId="0" fontId="52" fillId="0" borderId="0" xfId="0" applyFont="1" applyFill="1" applyBorder="1" applyAlignment="1" applyProtection="1">
      <alignment horizontal="center"/>
    </xf>
    <xf numFmtId="0" fontId="54" fillId="0" borderId="0" xfId="0" applyFont="1" applyAlignment="1" applyProtection="1">
      <alignment vertical="center"/>
    </xf>
    <xf numFmtId="0" fontId="55" fillId="0" borderId="0" xfId="0" applyFont="1" applyFill="1" applyBorder="1" applyAlignment="1" applyProtection="1">
      <alignment horizontal="center" vertical="center"/>
    </xf>
    <xf numFmtId="0" fontId="51" fillId="0" borderId="0" xfId="0" applyFont="1" applyAlignment="1" applyProtection="1">
      <alignment vertical="center"/>
    </xf>
    <xf numFmtId="0" fontId="56" fillId="0" borderId="0" xfId="0" applyFont="1" applyAlignment="1" applyProtection="1">
      <alignment horizontal="center" vertical="center"/>
    </xf>
    <xf numFmtId="164" fontId="51" fillId="0" borderId="3" xfId="1" applyNumberFormat="1" applyFont="1" applyFill="1" applyBorder="1" applyAlignment="1" applyProtection="1">
      <alignment horizontal="center" vertical="center"/>
    </xf>
    <xf numFmtId="0" fontId="51" fillId="0" borderId="0" xfId="0" applyFont="1" applyFill="1" applyAlignment="1" applyProtection="1">
      <alignment vertical="center"/>
    </xf>
    <xf numFmtId="0" fontId="8" fillId="0" borderId="11" xfId="0" applyFont="1" applyFill="1" applyBorder="1" applyAlignment="1" applyProtection="1">
      <alignment horizontal="center"/>
    </xf>
    <xf numFmtId="0" fontId="8" fillId="0" borderId="13" xfId="0" applyFont="1" applyFill="1" applyBorder="1" applyAlignment="1" applyProtection="1">
      <alignment horizontal="center" vertical="center"/>
    </xf>
    <xf numFmtId="0" fontId="8" fillId="0" borderId="14" xfId="0" applyFont="1" applyFill="1" applyBorder="1" applyAlignment="1" applyProtection="1">
      <alignment horizontal="center" wrapText="1"/>
    </xf>
    <xf numFmtId="0" fontId="4" fillId="0" borderId="0" xfId="0" quotePrefix="1" applyFont="1" applyFill="1" applyAlignment="1" applyProtection="1">
      <alignment horizontal="right" vertical="center"/>
    </xf>
    <xf numFmtId="0" fontId="3" fillId="0" borderId="0" xfId="0" applyFont="1" applyFill="1" applyAlignment="1" applyProtection="1">
      <alignment horizontal="right" vertical="center"/>
    </xf>
    <xf numFmtId="0" fontId="0" fillId="0" borderId="0" xfId="0" applyAlignment="1" applyProtection="1">
      <alignment horizontal="right"/>
    </xf>
    <xf numFmtId="0" fontId="7" fillId="0" borderId="0" xfId="0" applyFont="1" applyAlignment="1" applyProtection="1"/>
    <xf numFmtId="0" fontId="10" fillId="0" borderId="0" xfId="0" applyFont="1" applyAlignment="1" applyProtection="1">
      <alignment vertical="center"/>
    </xf>
    <xf numFmtId="0" fontId="10" fillId="0" borderId="0" xfId="0" applyFont="1" applyFill="1" applyBorder="1" applyAlignment="1" applyProtection="1">
      <alignment horizontal="right" vertical="center"/>
    </xf>
    <xf numFmtId="0" fontId="10" fillId="0" borderId="0" xfId="0" applyFont="1" applyFill="1" applyAlignment="1" applyProtection="1">
      <alignment horizontal="left" vertical="center"/>
    </xf>
    <xf numFmtId="0" fontId="8" fillId="0" borderId="0" xfId="0" applyFont="1" applyFill="1" applyBorder="1" applyAlignment="1" applyProtection="1">
      <alignment horizontal="center" vertical="center" wrapText="1"/>
    </xf>
    <xf numFmtId="0" fontId="4" fillId="0" borderId="14" xfId="0" applyFont="1" applyFill="1" applyBorder="1" applyAlignment="1" applyProtection="1">
      <alignment horizontal="left" vertical="center" wrapText="1"/>
    </xf>
    <xf numFmtId="0" fontId="14" fillId="0" borderId="0" xfId="0" applyFont="1" applyFill="1" applyBorder="1" applyAlignment="1" applyProtection="1">
      <alignment horizontal="left" vertical="center"/>
    </xf>
    <xf numFmtId="0" fontId="0" fillId="0" borderId="0" xfId="0" applyFill="1" applyProtection="1"/>
    <xf numFmtId="177" fontId="12" fillId="0" borderId="0" xfId="0" applyNumberFormat="1" applyFont="1" applyAlignment="1" applyProtection="1">
      <alignment horizontal="center"/>
    </xf>
    <xf numFmtId="0" fontId="0" fillId="0" borderId="20" xfId="0" applyBorder="1" applyAlignment="1" applyProtection="1">
      <alignment horizontal="center"/>
    </xf>
    <xf numFmtId="177" fontId="12"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2" fillId="0" borderId="0" xfId="0" applyNumberFormat="1" applyFont="1" applyBorder="1" applyAlignment="1" applyProtection="1">
      <alignment horizontal="center"/>
    </xf>
    <xf numFmtId="8" fontId="12"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2"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5" fillId="0" borderId="0" xfId="0" applyFont="1" applyFill="1" applyAlignment="1" applyProtection="1">
      <alignment horizontal="center"/>
    </xf>
    <xf numFmtId="0" fontId="61" fillId="0" borderId="0" xfId="0" applyFont="1" applyAlignment="1" applyProtection="1">
      <alignment horizontal="center"/>
    </xf>
    <xf numFmtId="0" fontId="61"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0" fontId="8" fillId="0" borderId="0" xfId="0" applyFont="1" applyBorder="1" applyAlignment="1" applyProtection="1">
      <alignment wrapText="1"/>
    </xf>
    <xf numFmtId="8" fontId="12" fillId="0" borderId="0" xfId="0" applyNumberFormat="1" applyFont="1" applyAlignment="1" applyProtection="1">
      <alignment horizontal="center"/>
    </xf>
    <xf numFmtId="170" fontId="8" fillId="0" borderId="14" xfId="0" applyNumberFormat="1" applyFont="1" applyBorder="1" applyAlignment="1" applyProtection="1">
      <alignment horizontal="center" vertical="center"/>
    </xf>
    <xf numFmtId="0" fontId="8" fillId="0" borderId="14" xfId="0" applyFont="1" applyBorder="1" applyAlignment="1" applyProtection="1">
      <alignment horizontal="center" vertical="center" wrapText="1"/>
    </xf>
    <xf numFmtId="8" fontId="12" fillId="0" borderId="21" xfId="0" applyNumberFormat="1" applyFont="1" applyBorder="1" applyAlignment="1" applyProtection="1">
      <alignment horizontal="center"/>
    </xf>
    <xf numFmtId="8" fontId="12" fillId="0" borderId="20"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2" fillId="0" borderId="0" xfId="0" applyNumberFormat="1" applyFont="1" applyFill="1" applyAlignment="1" applyProtection="1">
      <alignment horizontal="center"/>
    </xf>
    <xf numFmtId="0" fontId="14" fillId="4" borderId="24" xfId="0" applyFont="1" applyFill="1" applyBorder="1" applyAlignment="1" applyProtection="1">
      <alignment horizontal="center" vertical="center"/>
    </xf>
    <xf numFmtId="0" fontId="14" fillId="4" borderId="25" xfId="0" applyFont="1" applyFill="1" applyBorder="1" applyAlignment="1" applyProtection="1">
      <alignment horizontal="center" vertical="center"/>
    </xf>
    <xf numFmtId="0" fontId="4" fillId="0" borderId="0" xfId="0" applyFont="1" applyFill="1" applyBorder="1" applyAlignment="1" applyProtection="1">
      <alignment horizontal="center" vertical="top"/>
    </xf>
    <xf numFmtId="0" fontId="7" fillId="0" borderId="0" xfId="0" applyFont="1" applyFill="1" applyBorder="1" applyAlignment="1" applyProtection="1">
      <alignment vertical="top"/>
    </xf>
    <xf numFmtId="0" fontId="14" fillId="0" borderId="0" xfId="0" applyFont="1" applyFill="1" applyBorder="1" applyAlignment="1" applyProtection="1">
      <alignment vertical="center"/>
    </xf>
    <xf numFmtId="0" fontId="19" fillId="0" borderId="0" xfId="0" applyFont="1" applyAlignment="1" applyProtection="1">
      <alignment vertical="center"/>
    </xf>
    <xf numFmtId="0" fontId="4" fillId="0" borderId="0" xfId="0" applyFont="1" applyFill="1" applyBorder="1" applyAlignment="1" applyProtection="1">
      <alignment horizontal="right" vertical="top"/>
    </xf>
    <xf numFmtId="0" fontId="8" fillId="4" borderId="3" xfId="0" applyFont="1" applyFill="1" applyBorder="1" applyAlignment="1" applyProtection="1">
      <alignment horizontal="center" vertical="center" wrapText="1"/>
    </xf>
    <xf numFmtId="0" fontId="8"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1" fillId="0" borderId="0" xfId="0" applyNumberFormat="1" applyFont="1" applyAlignment="1" applyProtection="1">
      <alignment horizontal="center"/>
    </xf>
    <xf numFmtId="0" fontId="8" fillId="4" borderId="24" xfId="0" applyFont="1" applyFill="1" applyBorder="1" applyAlignment="1" applyProtection="1">
      <alignment horizontal="center" vertical="center" wrapText="1"/>
    </xf>
    <xf numFmtId="0" fontId="8" fillId="4" borderId="26"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12" fillId="0" borderId="15" xfId="0" applyFont="1" applyFill="1" applyBorder="1" applyProtection="1"/>
    <xf numFmtId="0" fontId="0" fillId="0" borderId="8" xfId="0" applyBorder="1" applyAlignment="1" applyProtection="1">
      <alignment horizontal="center"/>
    </xf>
    <xf numFmtId="0" fontId="26" fillId="0" borderId="0" xfId="0" applyFont="1" applyFill="1" applyAlignment="1" applyProtection="1"/>
    <xf numFmtId="166" fontId="0" fillId="0" borderId="0" xfId="0" applyNumberFormat="1" applyAlignment="1" applyProtection="1">
      <alignment horizontal="center"/>
    </xf>
    <xf numFmtId="0" fontId="27" fillId="0" borderId="0" xfId="0" applyFont="1" applyAlignment="1" applyProtection="1">
      <alignment vertical="center" wrapText="1"/>
    </xf>
    <xf numFmtId="8" fontId="0" fillId="0" borderId="0" xfId="0" applyNumberFormat="1" applyFill="1" applyProtection="1"/>
    <xf numFmtId="8" fontId="12" fillId="0" borderId="0" xfId="0" applyNumberFormat="1" applyFont="1" applyAlignment="1" applyProtection="1"/>
    <xf numFmtId="170" fontId="8" fillId="0" borderId="0" xfId="0" applyNumberFormat="1" applyFont="1" applyAlignment="1" applyProtection="1">
      <alignment horizontal="center"/>
    </xf>
    <xf numFmtId="170" fontId="8" fillId="0" borderId="8" xfId="0" applyNumberFormat="1" applyFont="1" applyBorder="1" applyAlignment="1" applyProtection="1">
      <alignment horizontal="center"/>
    </xf>
    <xf numFmtId="0" fontId="19" fillId="0" borderId="0" xfId="0" applyFont="1" applyAlignment="1" applyProtection="1">
      <alignment horizontal="center"/>
    </xf>
    <xf numFmtId="0" fontId="19" fillId="0" borderId="8" xfId="0" applyFont="1" applyBorder="1" applyAlignment="1" applyProtection="1">
      <alignment horizontal="center"/>
    </xf>
    <xf numFmtId="0" fontId="19" fillId="0" borderId="20" xfId="0" applyFont="1" applyBorder="1" applyAlignment="1" applyProtection="1">
      <alignment horizontal="center"/>
    </xf>
    <xf numFmtId="0" fontId="19" fillId="0" borderId="27" xfId="0" applyFont="1" applyBorder="1" applyAlignment="1" applyProtection="1">
      <alignment horizontal="center"/>
    </xf>
    <xf numFmtId="0" fontId="19" fillId="0" borderId="0" xfId="0" applyFont="1" applyFill="1" applyBorder="1" applyAlignment="1" applyProtection="1">
      <alignment horizontal="center"/>
    </xf>
    <xf numFmtId="0" fontId="19" fillId="0" borderId="21" xfId="0" applyFont="1" applyFill="1" applyBorder="1" applyAlignment="1" applyProtection="1">
      <alignment horizontal="center"/>
    </xf>
    <xf numFmtId="0" fontId="19" fillId="0" borderId="28" xfId="0" applyFont="1" applyBorder="1" applyAlignment="1" applyProtection="1">
      <alignment horizontal="center"/>
    </xf>
    <xf numFmtId="0" fontId="19" fillId="0" borderId="0" xfId="0" applyFont="1" applyFill="1" applyAlignment="1" applyProtection="1">
      <alignment horizontal="center"/>
    </xf>
    <xf numFmtId="0" fontId="19" fillId="0" borderId="20" xfId="0" applyFont="1" applyFill="1" applyBorder="1" applyAlignment="1" applyProtection="1">
      <alignment horizontal="center"/>
    </xf>
    <xf numFmtId="0" fontId="26" fillId="0" borderId="0" xfId="0" applyFont="1" applyAlignment="1" applyProtection="1"/>
    <xf numFmtId="0" fontId="61" fillId="0" borderId="0" xfId="0" applyFont="1" applyFill="1" applyAlignment="1" applyProtection="1">
      <alignment horizontal="center"/>
    </xf>
    <xf numFmtId="0" fontId="0" fillId="0" borderId="22" xfId="0" applyBorder="1" applyProtection="1"/>
    <xf numFmtId="8" fontId="0" fillId="0" borderId="0" xfId="0" applyNumberFormat="1" applyFill="1" applyAlignment="1" applyProtection="1"/>
    <xf numFmtId="0" fontId="0" fillId="0" borderId="22" xfId="0" applyFill="1" applyBorder="1" applyProtection="1"/>
    <xf numFmtId="0" fontId="8" fillId="0" borderId="0" xfId="0" applyFont="1" applyProtection="1"/>
    <xf numFmtId="0" fontId="8" fillId="0" borderId="14" xfId="0" applyFont="1" applyFill="1" applyBorder="1" applyAlignment="1" applyProtection="1">
      <alignment horizontal="center"/>
    </xf>
    <xf numFmtId="0" fontId="8" fillId="0" borderId="14" xfId="0" applyFont="1" applyBorder="1" applyAlignment="1" applyProtection="1">
      <alignment horizontal="center"/>
    </xf>
    <xf numFmtId="0" fontId="0" fillId="0" borderId="29" xfId="0" applyBorder="1" applyProtection="1"/>
    <xf numFmtId="0" fontId="12" fillId="0" borderId="30" xfId="0" applyFont="1" applyFill="1" applyBorder="1" applyProtection="1"/>
    <xf numFmtId="0" fontId="12" fillId="0" borderId="23" xfId="0" applyFont="1" applyFill="1" applyBorder="1" applyProtection="1"/>
    <xf numFmtId="0" fontId="0" fillId="0" borderId="31" xfId="0" applyBorder="1" applyProtection="1"/>
    <xf numFmtId="0" fontId="12" fillId="0" borderId="32" xfId="0" applyFont="1" applyFill="1" applyBorder="1" applyProtection="1"/>
    <xf numFmtId="0" fontId="12" fillId="0" borderId="18" xfId="0" applyFont="1" applyFill="1" applyBorder="1" applyProtection="1"/>
    <xf numFmtId="0" fontId="12" fillId="0" borderId="33" xfId="0" applyFont="1" applyFill="1" applyBorder="1" applyProtection="1"/>
    <xf numFmtId="0" fontId="0" fillId="0" borderId="34" xfId="0" applyBorder="1" applyProtection="1"/>
    <xf numFmtId="0" fontId="12" fillId="0" borderId="35" xfId="0" applyFont="1" applyFill="1" applyBorder="1" applyProtection="1"/>
    <xf numFmtId="0" fontId="12" fillId="0" borderId="19" xfId="0" applyFont="1" applyFill="1" applyBorder="1" applyProtection="1"/>
    <xf numFmtId="0" fontId="29" fillId="0" borderId="0" xfId="0" applyFont="1" applyProtection="1"/>
    <xf numFmtId="0" fontId="14" fillId="4" borderId="13" xfId="0" applyFont="1" applyFill="1" applyBorder="1" applyAlignment="1" applyProtection="1">
      <alignment horizontal="center" vertical="center"/>
    </xf>
    <xf numFmtId="9" fontId="14" fillId="4" borderId="13" xfId="0" applyNumberFormat="1" applyFont="1" applyFill="1" applyBorder="1" applyAlignment="1" applyProtection="1">
      <alignment horizontal="center" vertical="center"/>
    </xf>
    <xf numFmtId="0" fontId="14" fillId="4" borderId="3" xfId="0" applyFont="1" applyFill="1" applyBorder="1" applyAlignment="1" applyProtection="1">
      <alignment horizontal="center" vertical="top"/>
    </xf>
    <xf numFmtId="0" fontId="14" fillId="4" borderId="17" xfId="0" applyFont="1" applyFill="1" applyBorder="1" applyAlignment="1" applyProtection="1">
      <alignment horizontal="center" vertical="center"/>
    </xf>
    <xf numFmtId="0" fontId="14" fillId="4" borderId="19" xfId="0" applyFont="1" applyFill="1" applyBorder="1" applyAlignment="1" applyProtection="1">
      <alignment horizontal="center" vertical="center"/>
    </xf>
    <xf numFmtId="0" fontId="14" fillId="4" borderId="17" xfId="0" applyFont="1" applyFill="1" applyBorder="1" applyAlignment="1" applyProtection="1">
      <alignment horizontal="center" vertical="top"/>
    </xf>
    <xf numFmtId="0" fontId="14" fillId="4" borderId="19" xfId="0" applyFont="1" applyFill="1" applyBorder="1" applyAlignment="1" applyProtection="1">
      <alignment horizontal="center" vertical="top"/>
    </xf>
    <xf numFmtId="8" fontId="19" fillId="0" borderId="0" xfId="0" applyNumberFormat="1" applyFont="1" applyAlignment="1" applyProtection="1">
      <alignment horizontal="center"/>
    </xf>
    <xf numFmtId="8" fontId="19" fillId="0" borderId="0" xfId="0" applyNumberFormat="1" applyFont="1" applyFill="1" applyAlignment="1" applyProtection="1">
      <alignment horizontal="center"/>
    </xf>
    <xf numFmtId="8" fontId="19" fillId="0" borderId="21" xfId="0" applyNumberFormat="1" applyFont="1" applyBorder="1" applyAlignment="1" applyProtection="1">
      <alignment horizontal="center"/>
    </xf>
    <xf numFmtId="8" fontId="19" fillId="0" borderId="20" xfId="0" applyNumberFormat="1" applyFont="1" applyBorder="1" applyAlignment="1" applyProtection="1">
      <alignment horizontal="center"/>
    </xf>
    <xf numFmtId="8" fontId="19"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4" fillId="0" borderId="0" xfId="0" applyNumberFormat="1" applyFont="1" applyAlignment="1" applyProtection="1">
      <alignment vertical="center"/>
    </xf>
    <xf numFmtId="8" fontId="34"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2" fillId="0" borderId="0" xfId="1" applyNumberFormat="1" applyFont="1" applyFill="1" applyBorder="1" applyAlignment="1" applyProtection="1">
      <alignment horizontal="right"/>
    </xf>
    <xf numFmtId="39" fontId="12" fillId="0" borderId="15" xfId="1" applyNumberFormat="1" applyFont="1" applyFill="1" applyBorder="1" applyAlignment="1" applyProtection="1">
      <alignment horizontal="right"/>
    </xf>
    <xf numFmtId="164" fontId="12" fillId="0" borderId="17" xfId="1" applyNumberFormat="1" applyFont="1" applyFill="1" applyBorder="1" applyAlignment="1" applyProtection="1">
      <alignment horizontal="right" vertical="center"/>
    </xf>
    <xf numFmtId="164" fontId="12" fillId="0" borderId="18" xfId="1" applyNumberFormat="1" applyFont="1" applyFill="1" applyBorder="1" applyAlignment="1" applyProtection="1">
      <alignment horizontal="right" vertical="center"/>
    </xf>
    <xf numFmtId="164" fontId="12" fillId="0" borderId="3" xfId="1" applyNumberFormat="1" applyFont="1" applyFill="1" applyBorder="1" applyAlignment="1" applyProtection="1">
      <alignment horizontal="right" vertical="center"/>
    </xf>
    <xf numFmtId="164" fontId="12" fillId="0" borderId="23" xfId="1" applyNumberFormat="1" applyFont="1" applyFill="1" applyBorder="1" applyAlignment="1" applyProtection="1">
      <alignment horizontal="right" vertical="center"/>
    </xf>
    <xf numFmtId="164" fontId="12" fillId="0" borderId="19" xfId="1" applyNumberFormat="1" applyFont="1" applyFill="1" applyBorder="1" applyAlignment="1" applyProtection="1">
      <alignment horizontal="right" vertical="center"/>
    </xf>
    <xf numFmtId="0" fontId="4" fillId="0" borderId="8" xfId="0" applyFont="1" applyFill="1" applyBorder="1" applyAlignment="1" applyProtection="1">
      <alignment vertical="center" wrapText="1"/>
    </xf>
    <xf numFmtId="38" fontId="8" fillId="0" borderId="0" xfId="0" applyNumberFormat="1" applyFont="1" applyFill="1" applyAlignment="1" applyProtection="1">
      <alignment horizontal="center" vertical="center"/>
    </xf>
    <xf numFmtId="0" fontId="62" fillId="0" borderId="0" xfId="0" applyFont="1" applyFill="1" applyBorder="1" applyAlignment="1" applyProtection="1">
      <alignment horizontal="left" vertical="center"/>
    </xf>
    <xf numFmtId="0" fontId="50" fillId="0" borderId="0" xfId="0" applyFont="1" applyFill="1" applyAlignment="1" applyProtection="1">
      <alignment vertical="center"/>
    </xf>
    <xf numFmtId="0" fontId="50" fillId="0" borderId="0" xfId="0" applyFont="1" applyFill="1" applyBorder="1" applyAlignment="1" applyProtection="1">
      <alignment horizontal="left" vertical="center"/>
    </xf>
    <xf numFmtId="0" fontId="54" fillId="0" borderId="0" xfId="0" applyFont="1" applyProtection="1"/>
    <xf numFmtId="0" fontId="56" fillId="0" borderId="0" xfId="0" applyFont="1" applyAlignment="1" applyProtection="1">
      <alignment vertical="center"/>
    </xf>
    <xf numFmtId="0" fontId="56" fillId="0" borderId="0" xfId="0" applyFont="1" applyAlignment="1" applyProtection="1">
      <alignment horizontal="right" vertical="center"/>
    </xf>
    <xf numFmtId="0" fontId="56" fillId="0" borderId="0" xfId="0" applyFont="1" applyAlignment="1" applyProtection="1">
      <alignment horizontal="left" vertical="center"/>
    </xf>
    <xf numFmtId="0" fontId="56" fillId="0" borderId="0" xfId="0" applyFont="1" applyProtection="1"/>
    <xf numFmtId="0" fontId="57" fillId="0" borderId="0" xfId="0" applyFont="1" applyAlignment="1" applyProtection="1">
      <alignment vertical="center"/>
    </xf>
    <xf numFmtId="3" fontId="51" fillId="0" borderId="3" xfId="10" applyNumberFormat="1" applyFont="1" applyBorder="1" applyAlignment="1" applyProtection="1">
      <alignment horizontal="center" vertical="center"/>
    </xf>
    <xf numFmtId="0" fontId="56" fillId="0" borderId="0" xfId="0" applyFont="1" applyAlignment="1" applyProtection="1">
      <alignment horizontal="center"/>
    </xf>
    <xf numFmtId="0" fontId="51" fillId="0" borderId="0" xfId="0" applyFont="1" applyAlignment="1" applyProtection="1">
      <alignment vertical="center" wrapText="1"/>
    </xf>
    <xf numFmtId="0" fontId="51" fillId="0" borderId="0" xfId="0" applyFont="1" applyAlignment="1" applyProtection="1">
      <alignment horizontal="center"/>
    </xf>
    <xf numFmtId="0" fontId="51" fillId="0" borderId="0" xfId="0" applyFont="1" applyAlignment="1" applyProtection="1">
      <alignment horizontal="center" vertical="center"/>
    </xf>
    <xf numFmtId="3" fontId="51" fillId="0" borderId="0" xfId="10" applyNumberFormat="1" applyFont="1" applyBorder="1" applyAlignment="1" applyProtection="1">
      <alignment horizontal="center" vertical="center"/>
    </xf>
    <xf numFmtId="38" fontId="51" fillId="0" borderId="3" xfId="0" applyNumberFormat="1" applyFont="1" applyBorder="1" applyAlignment="1" applyProtection="1">
      <alignment horizontal="center" vertical="center"/>
    </xf>
    <xf numFmtId="38" fontId="58" fillId="0" borderId="0" xfId="0" applyNumberFormat="1" applyFont="1" applyBorder="1" applyAlignment="1" applyProtection="1">
      <alignment horizontal="center" vertical="center"/>
    </xf>
    <xf numFmtId="38" fontId="51" fillId="0" borderId="0" xfId="0" applyNumberFormat="1" applyFont="1" applyBorder="1" applyAlignment="1" applyProtection="1">
      <alignment horizontal="center" vertical="center"/>
    </xf>
    <xf numFmtId="0" fontId="51" fillId="0" borderId="3" xfId="0" applyFont="1" applyBorder="1" applyAlignment="1" applyProtection="1">
      <alignment horizontal="center" vertical="center"/>
    </xf>
    <xf numFmtId="0" fontId="51" fillId="0" borderId="0" xfId="0" applyFont="1" applyProtection="1"/>
    <xf numFmtId="164" fontId="51" fillId="0" borderId="3" xfId="1" applyNumberFormat="1" applyFont="1" applyBorder="1" applyAlignment="1" applyProtection="1">
      <alignment horizontal="center" vertical="center"/>
    </xf>
    <xf numFmtId="9" fontId="51" fillId="0" borderId="3" xfId="10" applyFont="1" applyBorder="1" applyAlignment="1" applyProtection="1">
      <alignment horizontal="center" vertical="center"/>
    </xf>
    <xf numFmtId="0" fontId="51" fillId="0" borderId="3" xfId="0" applyNumberFormat="1" applyFont="1" applyBorder="1" applyAlignment="1" applyProtection="1">
      <alignment horizontal="center" vertical="center"/>
    </xf>
    <xf numFmtId="0" fontId="59" fillId="0" borderId="0" xfId="0" applyFont="1" applyBorder="1" applyAlignment="1" applyProtection="1">
      <alignment vertical="center"/>
    </xf>
    <xf numFmtId="0" fontId="59" fillId="0" borderId="3" xfId="0" applyFont="1" applyBorder="1" applyAlignment="1" applyProtection="1">
      <alignment horizontal="center" vertical="top" wrapText="1"/>
    </xf>
    <xf numFmtId="9" fontId="59" fillId="0" borderId="3" xfId="0" applyNumberFormat="1" applyFont="1" applyBorder="1" applyAlignment="1" applyProtection="1">
      <alignment horizontal="center" vertical="top" wrapText="1"/>
    </xf>
    <xf numFmtId="0" fontId="59" fillId="0" borderId="0" xfId="0" applyFont="1" applyBorder="1" applyAlignment="1" applyProtection="1">
      <alignment vertical="top" wrapText="1"/>
    </xf>
    <xf numFmtId="0" fontId="50" fillId="0" borderId="0" xfId="0" applyFont="1" applyFill="1" applyAlignment="1" applyProtection="1">
      <alignment horizontal="left" vertical="center"/>
    </xf>
    <xf numFmtId="0" fontId="30" fillId="0" borderId="0" xfId="0" applyFont="1" applyFill="1" applyAlignment="1" applyProtection="1">
      <alignment vertical="center"/>
    </xf>
    <xf numFmtId="3" fontId="30" fillId="0" borderId="0" xfId="0" applyNumberFormat="1" applyFont="1" applyFill="1" applyAlignment="1" applyProtection="1">
      <alignment horizontal="center"/>
    </xf>
    <xf numFmtId="0" fontId="51" fillId="0" borderId="0" xfId="0" applyFont="1" applyAlignment="1" applyProtection="1">
      <alignment horizontal="left" vertical="center"/>
    </xf>
    <xf numFmtId="0" fontId="51" fillId="0" borderId="0" xfId="0" applyFont="1" applyFill="1" applyBorder="1" applyAlignment="1" applyProtection="1">
      <alignment horizontal="center" vertical="center"/>
    </xf>
    <xf numFmtId="0" fontId="51" fillId="0" borderId="14" xfId="0" applyFont="1" applyFill="1" applyBorder="1" applyAlignment="1" applyProtection="1">
      <alignment vertical="center"/>
    </xf>
    <xf numFmtId="0" fontId="51" fillId="0" borderId="0" xfId="0" applyFont="1" applyFill="1" applyBorder="1" applyAlignment="1" applyProtection="1">
      <alignment horizontal="right" vertical="center"/>
    </xf>
    <xf numFmtId="0" fontId="14" fillId="4" borderId="30" xfId="0" applyFont="1" applyFill="1" applyBorder="1" applyAlignment="1" applyProtection="1">
      <alignment horizontal="center" vertical="center"/>
    </xf>
    <xf numFmtId="165" fontId="14" fillId="4" borderId="13" xfId="0" applyNumberFormat="1" applyFont="1" applyFill="1" applyBorder="1" applyAlignment="1" applyProtection="1">
      <alignment horizontal="center" vertical="center"/>
    </xf>
    <xf numFmtId="0" fontId="54" fillId="0" borderId="0" xfId="0" applyFont="1" applyFill="1" applyAlignment="1" applyProtection="1">
      <alignment vertical="center"/>
    </xf>
    <xf numFmtId="0" fontId="62" fillId="0" borderId="0" xfId="0" applyFont="1" applyFill="1" applyBorder="1" applyAlignment="1" applyProtection="1">
      <alignment horizontal="center" vertical="center"/>
    </xf>
    <xf numFmtId="0" fontId="62" fillId="5" borderId="3" xfId="0" applyFont="1" applyFill="1" applyBorder="1" applyAlignment="1" applyProtection="1">
      <alignment horizontal="center" vertical="center"/>
    </xf>
    <xf numFmtId="0" fontId="62" fillId="0" borderId="0" xfId="0" applyFont="1" applyFill="1" applyAlignment="1" applyProtection="1">
      <alignment vertical="center"/>
    </xf>
    <xf numFmtId="0" fontId="62" fillId="6" borderId="3" xfId="0" applyFont="1" applyFill="1" applyBorder="1" applyAlignment="1" applyProtection="1">
      <alignment horizontal="center" vertical="center"/>
    </xf>
    <xf numFmtId="0" fontId="54" fillId="0" borderId="0" xfId="0" applyFont="1" applyFill="1" applyAlignment="1" applyProtection="1">
      <alignment horizontal="centerContinuous" vertical="center"/>
    </xf>
    <xf numFmtId="0" fontId="54" fillId="0" borderId="0" xfId="0" applyFont="1" applyFill="1" applyAlignment="1" applyProtection="1">
      <alignment horizontal="left" vertical="center"/>
    </xf>
    <xf numFmtId="0" fontId="62" fillId="0" borderId="0" xfId="0" applyFont="1" applyFill="1" applyAlignment="1" applyProtection="1">
      <alignment horizontal="left" vertical="center"/>
    </xf>
    <xf numFmtId="0" fontId="54" fillId="0" borderId="0" xfId="0" applyFont="1" applyFill="1" applyBorder="1" applyAlignment="1" applyProtection="1">
      <alignment horizontal="right" vertical="center"/>
    </xf>
    <xf numFmtId="0" fontId="54" fillId="0" borderId="0" xfId="0" applyFont="1" applyFill="1" applyBorder="1" applyAlignment="1" applyProtection="1">
      <alignment horizontal="centerContinuous" vertical="center"/>
    </xf>
    <xf numFmtId="0" fontId="54" fillId="0" borderId="0" xfId="0" applyFont="1" applyFill="1" applyBorder="1" applyProtection="1"/>
    <xf numFmtId="0" fontId="54" fillId="0" borderId="0" xfId="0" applyNumberFormat="1" applyFont="1" applyFill="1" applyBorder="1" applyAlignment="1" applyProtection="1">
      <alignment horizontal="center" vertical="center"/>
    </xf>
    <xf numFmtId="0" fontId="62" fillId="0" borderId="0" xfId="0" applyFont="1" applyFill="1" applyBorder="1" applyAlignment="1" applyProtection="1">
      <alignment vertical="center"/>
    </xf>
    <xf numFmtId="0" fontId="62" fillId="0" borderId="0" xfId="0" applyFont="1" applyFill="1" applyAlignment="1" applyProtection="1">
      <alignment horizontal="right" vertical="center"/>
    </xf>
    <xf numFmtId="0" fontId="54" fillId="0" borderId="0" xfId="0" applyFont="1" applyFill="1" applyAlignment="1" applyProtection="1">
      <alignment horizontal="right" vertical="center"/>
    </xf>
    <xf numFmtId="0" fontId="54" fillId="0" borderId="0" xfId="0" quotePrefix="1" applyFont="1" applyFill="1" applyBorder="1" applyAlignment="1" applyProtection="1">
      <alignment horizontal="center" vertical="center"/>
    </xf>
    <xf numFmtId="0" fontId="54" fillId="0" borderId="0" xfId="0" applyNumberFormat="1" applyFont="1" applyFill="1" applyBorder="1" applyAlignment="1" applyProtection="1">
      <alignment horizontal="left" vertical="center"/>
    </xf>
    <xf numFmtId="0" fontId="62" fillId="0" borderId="0" xfId="0" applyFont="1" applyFill="1" applyBorder="1" applyAlignment="1" applyProtection="1">
      <alignment horizontal="center"/>
    </xf>
    <xf numFmtId="0" fontId="54" fillId="0" borderId="0" xfId="0" applyFont="1" applyFill="1" applyBorder="1" applyAlignment="1" applyProtection="1">
      <alignment horizontal="center"/>
    </xf>
    <xf numFmtId="0" fontId="60" fillId="0" borderId="0" xfId="0" applyFont="1" applyFill="1" applyAlignment="1" applyProtection="1">
      <alignment vertical="center"/>
    </xf>
    <xf numFmtId="0" fontId="54" fillId="0" borderId="0" xfId="0" applyFont="1" applyFill="1" applyProtection="1"/>
    <xf numFmtId="1" fontId="54" fillId="0" borderId="3" xfId="1" applyNumberFormat="1" applyFont="1" applyFill="1" applyBorder="1" applyAlignment="1" applyProtection="1">
      <alignment horizontal="center" vertical="center"/>
    </xf>
    <xf numFmtId="0" fontId="54" fillId="0" borderId="0" xfId="1" applyNumberFormat="1" applyFont="1" applyFill="1" applyBorder="1" applyAlignment="1" applyProtection="1">
      <alignment horizontal="left" vertical="center"/>
    </xf>
    <xf numFmtId="0" fontId="62" fillId="0" borderId="0" xfId="0" applyFont="1" applyFill="1" applyBorder="1" applyProtection="1"/>
    <xf numFmtId="3" fontId="54" fillId="0" borderId="3" xfId="1" applyNumberFormat="1" applyFont="1" applyFill="1" applyBorder="1" applyAlignment="1" applyProtection="1">
      <alignment horizontal="center" vertical="center"/>
    </xf>
    <xf numFmtId="0" fontId="54" fillId="0" borderId="0" xfId="0" applyFont="1" applyFill="1" applyBorder="1" applyAlignment="1" applyProtection="1"/>
    <xf numFmtId="0" fontId="62" fillId="0" borderId="0" xfId="0" applyFont="1" applyFill="1" applyBorder="1" applyAlignment="1" applyProtection="1"/>
    <xf numFmtId="0" fontId="54" fillId="0" borderId="0" xfId="0" applyFont="1" applyFill="1" applyBorder="1" applyAlignment="1" applyProtection="1">
      <alignment horizontal="right"/>
    </xf>
    <xf numFmtId="165" fontId="54" fillId="0" borderId="3" xfId="1" applyNumberFormat="1" applyFont="1" applyFill="1" applyBorder="1" applyAlignment="1" applyProtection="1">
      <alignment horizontal="center" vertical="center"/>
    </xf>
    <xf numFmtId="0" fontId="62" fillId="0" borderId="0" xfId="0" applyFont="1" applyFill="1" applyProtection="1"/>
    <xf numFmtId="166" fontId="62" fillId="0" borderId="0" xfId="10" applyNumberFormat="1" applyFont="1" applyFill="1" applyBorder="1" applyAlignment="1" applyProtection="1">
      <alignment horizontal="center" vertical="center"/>
    </xf>
    <xf numFmtId="0" fontId="54" fillId="0" borderId="6" xfId="0" applyFont="1" applyFill="1" applyBorder="1" applyAlignment="1" applyProtection="1">
      <alignment horizontal="center" vertical="center"/>
    </xf>
    <xf numFmtId="0" fontId="54" fillId="0" borderId="0" xfId="0" applyFont="1" applyAlignment="1" applyProtection="1">
      <alignment wrapText="1"/>
    </xf>
    <xf numFmtId="0" fontId="54" fillId="0" borderId="0" xfId="0" applyFont="1" applyAlignment="1" applyProtection="1">
      <alignment horizontal="left" wrapText="1"/>
    </xf>
    <xf numFmtId="0" fontId="54" fillId="0" borderId="0" xfId="0" applyFont="1" applyFill="1" applyBorder="1" applyAlignment="1" applyProtection="1">
      <alignment vertical="top"/>
    </xf>
    <xf numFmtId="9" fontId="54" fillId="0" borderId="3" xfId="1" applyNumberFormat="1" applyFont="1" applyFill="1" applyBorder="1" applyAlignment="1" applyProtection="1">
      <alignment horizontal="center" vertical="center"/>
    </xf>
    <xf numFmtId="0" fontId="54" fillId="0" borderId="12" xfId="0" applyFont="1" applyFill="1" applyBorder="1" applyAlignment="1" applyProtection="1">
      <alignment horizontal="left" vertical="center"/>
    </xf>
    <xf numFmtId="0" fontId="54" fillId="0" borderId="11" xfId="0" applyFont="1" applyFill="1" applyBorder="1" applyAlignment="1" applyProtection="1">
      <alignment horizontal="center" vertical="center"/>
    </xf>
    <xf numFmtId="0" fontId="54" fillId="0" borderId="9" xfId="0" applyFont="1" applyFill="1" applyBorder="1" applyAlignment="1" applyProtection="1">
      <alignment horizontal="left" vertical="center"/>
    </xf>
    <xf numFmtId="167" fontId="54" fillId="0" borderId="0" xfId="0" applyNumberFormat="1" applyFont="1" applyFill="1" applyBorder="1" applyAlignment="1" applyProtection="1">
      <alignment horizontal="center" vertical="center"/>
    </xf>
    <xf numFmtId="0" fontId="54" fillId="0" borderId="0" xfId="0" applyFont="1" applyAlignment="1" applyProtection="1">
      <alignment horizontal="center"/>
    </xf>
    <xf numFmtId="10" fontId="62" fillId="0" borderId="3" xfId="10" applyNumberFormat="1" applyFont="1" applyFill="1" applyBorder="1" applyAlignment="1" applyProtection="1">
      <alignment horizontal="center" vertical="center"/>
    </xf>
    <xf numFmtId="0" fontId="54" fillId="0" borderId="0" xfId="0" quotePrefix="1" applyFont="1" applyFill="1" applyBorder="1" applyAlignment="1" applyProtection="1">
      <alignment horizontal="left" vertical="center"/>
    </xf>
    <xf numFmtId="0" fontId="53" fillId="0" borderId="0" xfId="0" applyFont="1" applyFill="1" applyBorder="1" applyAlignment="1" applyProtection="1">
      <alignment vertical="center"/>
    </xf>
    <xf numFmtId="0" fontId="62" fillId="0" borderId="0" xfId="0" applyFont="1" applyFill="1" applyAlignment="1" applyProtection="1"/>
    <xf numFmtId="0" fontId="62" fillId="0" borderId="0" xfId="0" quotePrefix="1" applyFont="1" applyFill="1" applyAlignment="1" applyProtection="1">
      <alignment horizontal="center" vertical="center"/>
    </xf>
    <xf numFmtId="0" fontId="62" fillId="0" borderId="0" xfId="0" applyFont="1" applyFill="1" applyAlignment="1" applyProtection="1">
      <alignment horizontal="right"/>
    </xf>
    <xf numFmtId="0" fontId="62" fillId="0" borderId="0" xfId="0" quotePrefix="1" applyFont="1" applyFill="1" applyAlignment="1" applyProtection="1"/>
    <xf numFmtId="0" fontId="54" fillId="0" borderId="0" xfId="0" applyFont="1" applyFill="1" applyAlignment="1" applyProtection="1"/>
    <xf numFmtId="0" fontId="62" fillId="0" borderId="0" xfId="0" quotePrefix="1" applyFont="1" applyFill="1" applyAlignment="1" applyProtection="1">
      <alignment horizontal="right"/>
    </xf>
    <xf numFmtId="0" fontId="62" fillId="0" borderId="0" xfId="0" quotePrefix="1" applyFont="1" applyFill="1" applyBorder="1" applyAlignment="1" applyProtection="1">
      <alignment horizontal="center" vertical="center"/>
    </xf>
    <xf numFmtId="0" fontId="54" fillId="0" borderId="15" xfId="0" applyFont="1" applyFill="1" applyBorder="1" applyAlignment="1" applyProtection="1">
      <alignment vertical="center"/>
    </xf>
    <xf numFmtId="0" fontId="62" fillId="0" borderId="0" xfId="0" applyNumberFormat="1" applyFont="1" applyFill="1" applyBorder="1" applyAlignment="1" applyProtection="1">
      <alignment horizontal="center" vertical="center"/>
    </xf>
    <xf numFmtId="0" fontId="50" fillId="0" borderId="0" xfId="0" applyFont="1" applyFill="1" applyProtection="1"/>
    <xf numFmtId="0" fontId="53" fillId="0" borderId="0" xfId="0" applyFont="1" applyFill="1" applyAlignment="1" applyProtection="1">
      <alignment vertical="center"/>
    </xf>
    <xf numFmtId="0" fontId="53" fillId="0" borderId="0" xfId="0" applyFont="1" applyFill="1" applyAlignment="1" applyProtection="1">
      <alignment horizontal="center" vertical="center"/>
    </xf>
    <xf numFmtId="0" fontId="53" fillId="0" borderId="0" xfId="0" applyFont="1" applyFill="1" applyAlignment="1" applyProtection="1"/>
    <xf numFmtId="0" fontId="53" fillId="0" borderId="0" xfId="0" applyFont="1" applyFill="1" applyAlignment="1" applyProtection="1">
      <alignment horizontal="left" vertical="center"/>
    </xf>
    <xf numFmtId="0" fontId="53" fillId="0" borderId="0" xfId="0" quotePrefix="1" applyFont="1" applyFill="1" applyAlignment="1" applyProtection="1">
      <alignment horizontal="center" vertical="center"/>
    </xf>
    <xf numFmtId="164" fontId="54" fillId="0" borderId="0" xfId="1" applyNumberFormat="1" applyFont="1" applyFill="1" applyAlignment="1" applyProtection="1">
      <alignment vertical="center"/>
    </xf>
    <xf numFmtId="0" fontId="70" fillId="0" borderId="0" xfId="0" applyFont="1" applyFill="1" applyAlignment="1" applyProtection="1">
      <alignment horizontal="right" vertical="center"/>
    </xf>
    <xf numFmtId="164" fontId="62" fillId="0" borderId="0" xfId="1" applyNumberFormat="1" applyFont="1" applyFill="1" applyAlignment="1" applyProtection="1">
      <alignment horizontal="center" vertical="center"/>
    </xf>
    <xf numFmtId="164" fontId="54" fillId="0" borderId="0" xfId="1" applyNumberFormat="1" applyFont="1" applyFill="1" applyAlignment="1" applyProtection="1">
      <alignment horizontal="center" vertical="center"/>
    </xf>
    <xf numFmtId="164" fontId="70" fillId="0" borderId="0" xfId="1" applyNumberFormat="1" applyFont="1" applyFill="1" applyBorder="1" applyAlignment="1" applyProtection="1">
      <alignment horizontal="right" vertical="center"/>
    </xf>
    <xf numFmtId="10" fontId="54" fillId="0" borderId="0" xfId="0" applyNumberFormat="1" applyFont="1" applyFill="1" applyAlignment="1" applyProtection="1">
      <alignment horizontal="center"/>
    </xf>
    <xf numFmtId="164" fontId="54" fillId="0" borderId="0" xfId="1" applyNumberFormat="1" applyFont="1" applyFill="1" applyAlignment="1" applyProtection="1">
      <alignment horizontal="center"/>
    </xf>
    <xf numFmtId="0" fontId="54" fillId="0" borderId="0" xfId="0" applyFont="1" applyFill="1" applyAlignment="1" applyProtection="1">
      <alignment horizontal="left" vertical="top"/>
    </xf>
    <xf numFmtId="0" fontId="54" fillId="0" borderId="0" xfId="0" applyFont="1" applyBorder="1" applyAlignment="1" applyProtection="1">
      <alignment horizontal="left" vertical="top"/>
    </xf>
    <xf numFmtId="0" fontId="71" fillId="0" borderId="5" xfId="0" applyFont="1" applyFill="1" applyBorder="1" applyAlignment="1" applyProtection="1">
      <alignment vertical="top"/>
    </xf>
    <xf numFmtId="0" fontId="71" fillId="0" borderId="6" xfId="0" applyFont="1" applyFill="1" applyBorder="1" applyAlignment="1" applyProtection="1">
      <alignment vertical="center"/>
    </xf>
    <xf numFmtId="4" fontId="71" fillId="0" borderId="6" xfId="1" applyNumberFormat="1" applyFont="1" applyFill="1" applyBorder="1" applyAlignment="1" applyProtection="1">
      <alignment horizontal="right" vertical="center"/>
    </xf>
    <xf numFmtId="171" fontId="71" fillId="0" borderId="7" xfId="0" applyNumberFormat="1" applyFont="1" applyFill="1" applyBorder="1" applyAlignment="1" applyProtection="1">
      <alignment horizontal="left" vertical="center"/>
    </xf>
    <xf numFmtId="0" fontId="71" fillId="0" borderId="15" xfId="0" applyFont="1" applyFill="1" applyBorder="1" applyAlignment="1" applyProtection="1">
      <alignment vertical="center"/>
    </xf>
    <xf numFmtId="164" fontId="70" fillId="0" borderId="0" xfId="1" applyNumberFormat="1" applyFont="1" applyFill="1" applyAlignment="1" applyProtection="1">
      <alignment horizontal="right" vertical="center"/>
    </xf>
    <xf numFmtId="6" fontId="54" fillId="0" borderId="0" xfId="0" applyNumberFormat="1" applyFont="1" applyFill="1" applyBorder="1" applyAlignment="1" applyProtection="1">
      <alignment horizontal="center" vertical="center"/>
    </xf>
    <xf numFmtId="0" fontId="71" fillId="0" borderId="0" xfId="0" applyFont="1" applyFill="1" applyAlignment="1" applyProtection="1">
      <alignment horizontal="right" vertical="center"/>
    </xf>
    <xf numFmtId="164" fontId="54" fillId="0" borderId="0" xfId="1" applyNumberFormat="1" applyFont="1" applyFill="1" applyBorder="1" applyProtection="1"/>
    <xf numFmtId="164" fontId="54" fillId="0" borderId="0" xfId="1" applyNumberFormat="1" applyFont="1" applyFill="1" applyProtection="1"/>
    <xf numFmtId="0" fontId="70" fillId="0" borderId="0" xfId="0" applyFont="1" applyFill="1" applyAlignment="1" applyProtection="1">
      <alignment horizontal="center" vertical="center"/>
    </xf>
    <xf numFmtId="38" fontId="62" fillId="0" borderId="0" xfId="0" applyNumberFormat="1" applyFont="1" applyFill="1" applyBorder="1" applyAlignment="1" applyProtection="1">
      <alignment horizontal="right" vertical="center"/>
    </xf>
    <xf numFmtId="164" fontId="54" fillId="0" borderId="0" xfId="1" applyNumberFormat="1" applyFont="1" applyFill="1" applyBorder="1" applyAlignment="1" applyProtection="1">
      <alignment horizontal="left" vertical="center"/>
    </xf>
    <xf numFmtId="0" fontId="72" fillId="0" borderId="0" xfId="0" applyFont="1" applyFill="1" applyBorder="1" applyAlignment="1" applyProtection="1">
      <alignment horizontal="right" vertical="center"/>
    </xf>
    <xf numFmtId="0" fontId="54" fillId="0" borderId="0" xfId="0" quotePrefix="1" applyFont="1" applyFill="1" applyAlignment="1" applyProtection="1">
      <alignment horizontal="right" vertical="center"/>
    </xf>
    <xf numFmtId="38" fontId="62" fillId="0" borderId="0" xfId="0" applyNumberFormat="1" applyFont="1" applyFill="1" applyBorder="1" applyAlignment="1" applyProtection="1">
      <alignment horizontal="center" vertical="center"/>
    </xf>
    <xf numFmtId="38" fontId="54" fillId="0" borderId="0" xfId="0" applyNumberFormat="1" applyFont="1" applyFill="1" applyBorder="1" applyAlignment="1" applyProtection="1">
      <alignment horizontal="center" vertical="center"/>
    </xf>
    <xf numFmtId="0" fontId="64" fillId="0" borderId="8" xfId="0" applyFont="1" applyFill="1" applyBorder="1" applyAlignment="1" applyProtection="1">
      <alignment horizontal="left" vertical="center"/>
    </xf>
    <xf numFmtId="0" fontId="64" fillId="0" borderId="0" xfId="0" applyFont="1" applyFill="1" applyAlignment="1" applyProtection="1">
      <alignment vertical="center"/>
    </xf>
    <xf numFmtId="0" fontId="14" fillId="4" borderId="18" xfId="0" applyFont="1" applyFill="1" applyBorder="1" applyAlignment="1" applyProtection="1">
      <alignment horizontal="center" vertical="center"/>
    </xf>
    <xf numFmtId="0" fontId="54" fillId="0" borderId="0" xfId="0" applyFont="1" applyFill="1" applyAlignment="1" applyProtection="1">
      <alignment horizontal="center"/>
    </xf>
    <xf numFmtId="10" fontId="54" fillId="0" borderId="3" xfId="0" applyNumberFormat="1" applyFont="1" applyFill="1" applyBorder="1" applyAlignment="1" applyProtection="1">
      <alignment horizontal="center" vertical="center"/>
    </xf>
    <xf numFmtId="0" fontId="54" fillId="0" borderId="0" xfId="0" applyFont="1" applyBorder="1" applyAlignment="1" applyProtection="1">
      <alignment vertical="center"/>
    </xf>
    <xf numFmtId="0" fontId="54" fillId="0" borderId="0" xfId="0" applyFont="1" applyFill="1" applyBorder="1" applyAlignment="1" applyProtection="1">
      <alignment vertical="center" wrapText="1"/>
    </xf>
    <xf numFmtId="0" fontId="54" fillId="0" borderId="0" xfId="0" applyFont="1" applyAlignment="1" applyProtection="1">
      <alignment horizontal="center" vertical="center"/>
    </xf>
    <xf numFmtId="0" fontId="64" fillId="0" borderId="0" xfId="0" applyFont="1" applyFill="1" applyAlignment="1" applyProtection="1">
      <alignment horizontal="left" vertical="center"/>
    </xf>
    <xf numFmtId="0" fontId="75" fillId="0" borderId="0" xfId="0" applyFont="1" applyFill="1" applyAlignment="1" applyProtection="1">
      <alignment horizontal="center" vertical="center"/>
    </xf>
    <xf numFmtId="0" fontId="12" fillId="0" borderId="0" xfId="0" applyFont="1" applyFill="1" applyAlignment="1" applyProtection="1">
      <alignment horizontal="centerContinuous" vertical="center"/>
    </xf>
    <xf numFmtId="0" fontId="27" fillId="0" borderId="0" xfId="0" applyFont="1" applyAlignment="1" applyProtection="1">
      <alignment horizontal="center"/>
    </xf>
    <xf numFmtId="0" fontId="14" fillId="0" borderId="0" xfId="0" quotePrefix="1" applyFont="1" applyFill="1" applyAlignment="1" applyProtection="1">
      <alignment horizontal="center" vertical="center"/>
    </xf>
    <xf numFmtId="0" fontId="7" fillId="0" borderId="0" xfId="0" applyFont="1" applyAlignment="1" applyProtection="1">
      <alignment horizontal="right" vertical="center"/>
    </xf>
    <xf numFmtId="0" fontId="7" fillId="0" borderId="0" xfId="0" applyFont="1" applyBorder="1" applyAlignment="1" applyProtection="1">
      <alignment vertical="center"/>
    </xf>
    <xf numFmtId="0" fontId="79" fillId="0" borderId="0" xfId="0" applyFont="1" applyFill="1" applyProtection="1"/>
    <xf numFmtId="0" fontId="80" fillId="0" borderId="0" xfId="0" applyFont="1" applyFill="1" applyProtection="1"/>
    <xf numFmtId="0" fontId="5" fillId="0" borderId="0" xfId="1" applyNumberFormat="1" applyFont="1" applyFill="1" applyAlignment="1" applyProtection="1">
      <alignment horizontal="center"/>
    </xf>
    <xf numFmtId="0" fontId="5" fillId="0" borderId="0" xfId="1" applyNumberFormat="1" applyFont="1" applyFill="1" applyBorder="1" applyAlignment="1" applyProtection="1">
      <alignment horizontal="center"/>
    </xf>
    <xf numFmtId="0" fontId="82" fillId="0" borderId="0" xfId="0" applyFont="1" applyFill="1" applyBorder="1" applyAlignment="1" applyProtection="1">
      <alignment horizontal="center" vertical="center"/>
    </xf>
    <xf numFmtId="0" fontId="48" fillId="0" borderId="0" xfId="0" applyFont="1" applyBorder="1" applyAlignment="1" applyProtection="1">
      <alignment vertical="center"/>
    </xf>
    <xf numFmtId="0" fontId="51" fillId="0" borderId="0" xfId="9" applyFont="1" applyProtection="1"/>
    <xf numFmtId="0" fontId="51" fillId="0" borderId="0" xfId="9" applyFont="1" applyAlignment="1" applyProtection="1">
      <alignment horizontal="left"/>
    </xf>
    <xf numFmtId="0" fontId="83" fillId="0" borderId="0" xfId="9" applyFont="1" applyAlignment="1" applyProtection="1">
      <alignment horizontal="center"/>
    </xf>
    <xf numFmtId="0" fontId="50" fillId="0" borderId="0" xfId="0" applyFont="1"/>
    <xf numFmtId="0" fontId="84" fillId="0" borderId="0" xfId="0" applyFont="1" applyAlignment="1">
      <alignment horizontal="center"/>
    </xf>
    <xf numFmtId="0" fontId="84" fillId="0" borderId="0" xfId="0" applyFont="1" applyAlignment="1" applyProtection="1">
      <alignment horizontal="center" vertical="center"/>
    </xf>
    <xf numFmtId="9" fontId="51" fillId="0" borderId="0" xfId="10" applyFont="1" applyBorder="1" applyAlignment="1" applyProtection="1">
      <alignment horizontal="center" vertical="center"/>
    </xf>
    <xf numFmtId="0" fontId="14" fillId="0" borderId="0" xfId="0" applyFont="1" applyBorder="1" applyProtection="1"/>
    <xf numFmtId="1" fontId="51" fillId="0" borderId="3" xfId="10" applyNumberFormat="1" applyFont="1" applyBorder="1" applyAlignment="1" applyProtection="1">
      <alignment horizontal="center" vertical="center"/>
    </xf>
    <xf numFmtId="9" fontId="51" fillId="0" borderId="0" xfId="10" applyFont="1" applyBorder="1" applyAlignment="1" applyProtection="1">
      <alignment horizontal="left" vertical="center"/>
    </xf>
    <xf numFmtId="0" fontId="27" fillId="0" borderId="0" xfId="0" applyFont="1" applyAlignment="1" applyProtection="1">
      <alignment horizontal="right"/>
    </xf>
    <xf numFmtId="0" fontId="27" fillId="0" borderId="0" xfId="0" applyFont="1" applyAlignment="1" applyProtection="1">
      <alignment horizontal="right" vertical="center"/>
    </xf>
    <xf numFmtId="0" fontId="0" fillId="0" borderId="0" xfId="0" applyAlignment="1" applyProtection="1">
      <alignment horizontal="right" vertical="center"/>
    </xf>
    <xf numFmtId="0" fontId="4" fillId="0" borderId="0" xfId="0" applyFont="1" applyAlignment="1" applyProtection="1">
      <alignment horizontal="right" vertical="center"/>
    </xf>
    <xf numFmtId="0" fontId="7" fillId="0" borderId="0" xfId="0" applyFont="1" applyAlignment="1" applyProtection="1">
      <alignment horizontal="right" vertical="top"/>
    </xf>
    <xf numFmtId="0" fontId="51" fillId="0" borderId="0" xfId="0" applyFont="1" applyFill="1" applyProtection="1"/>
    <xf numFmtId="3" fontId="8" fillId="4" borderId="3" xfId="0" applyNumberFormat="1" applyFont="1" applyFill="1" applyBorder="1" applyAlignment="1" applyProtection="1">
      <alignment horizontal="center" vertical="center"/>
    </xf>
    <xf numFmtId="0" fontId="4" fillId="0" borderId="0" xfId="0" quotePrefix="1" applyFont="1" applyFill="1" applyAlignment="1" applyProtection="1">
      <alignment horizontal="right" vertical="top"/>
    </xf>
    <xf numFmtId="0" fontId="4" fillId="0" borderId="0" xfId="0" applyFont="1" applyFill="1" applyAlignment="1" applyProtection="1">
      <alignment vertical="top"/>
    </xf>
    <xf numFmtId="0" fontId="0" fillId="0" borderId="0" xfId="0" applyAlignment="1" applyProtection="1">
      <alignment vertical="top"/>
    </xf>
    <xf numFmtId="0" fontId="85" fillId="0" borderId="0" xfId="0" applyFont="1" applyFill="1" applyProtection="1"/>
    <xf numFmtId="0" fontId="51" fillId="0" borderId="0" xfId="0" applyFont="1" applyFill="1" applyAlignment="1" applyProtection="1">
      <alignment horizontal="left"/>
    </xf>
    <xf numFmtId="0" fontId="54" fillId="0" borderId="41" xfId="0" applyFont="1" applyFill="1" applyBorder="1" applyAlignment="1" applyProtection="1">
      <alignment vertical="center"/>
    </xf>
    <xf numFmtId="4" fontId="13" fillId="0" borderId="0" xfId="1" applyNumberFormat="1" applyFont="1" applyFill="1" applyAlignment="1" applyProtection="1">
      <alignment horizontal="center" vertical="center"/>
    </xf>
    <xf numFmtId="0" fontId="66" fillId="0" borderId="0" xfId="0" applyFont="1" applyFill="1" applyProtection="1"/>
    <xf numFmtId="0" fontId="80" fillId="0" borderId="0" xfId="0" applyFont="1" applyFill="1" applyBorder="1" applyAlignment="1" applyProtection="1">
      <alignment horizontal="center" vertical="center"/>
    </xf>
    <xf numFmtId="0" fontId="14" fillId="4" borderId="23" xfId="0" applyFont="1" applyFill="1" applyBorder="1" applyAlignment="1" applyProtection="1">
      <alignment horizontal="center" vertical="center"/>
    </xf>
    <xf numFmtId="0" fontId="87" fillId="0" borderId="0" xfId="0" applyFont="1" applyFill="1" applyAlignment="1" applyProtection="1">
      <alignment vertical="center"/>
    </xf>
    <xf numFmtId="10" fontId="54" fillId="0" borderId="0" xfId="0" applyNumberFormat="1" applyFont="1" applyFill="1" applyBorder="1" applyAlignment="1" applyProtection="1">
      <alignment horizontal="center"/>
    </xf>
    <xf numFmtId="164" fontId="54" fillId="0" borderId="9" xfId="1" applyNumberFormat="1" applyFont="1" applyFill="1" applyBorder="1" applyAlignment="1" applyProtection="1">
      <alignment horizontal="center"/>
    </xf>
    <xf numFmtId="0" fontId="70" fillId="0" borderId="9" xfId="0" applyFont="1" applyFill="1" applyBorder="1" applyAlignment="1" applyProtection="1">
      <alignment horizontal="right" vertical="center"/>
    </xf>
    <xf numFmtId="0" fontId="62" fillId="0" borderId="14" xfId="0" applyFont="1" applyFill="1" applyBorder="1" applyAlignment="1" applyProtection="1">
      <alignment horizontal="center" vertical="center"/>
    </xf>
    <xf numFmtId="0" fontId="60" fillId="0" borderId="0" xfId="0" applyFont="1" applyAlignment="1" applyProtection="1">
      <alignment horizontal="center"/>
    </xf>
    <xf numFmtId="0" fontId="51" fillId="0" borderId="0" xfId="0" applyFont="1" applyAlignment="1">
      <alignment horizontal="center"/>
    </xf>
    <xf numFmtId="174" fontId="54" fillId="0" borderId="0" xfId="0" applyNumberFormat="1" applyFont="1" applyFill="1" applyAlignment="1" applyProtection="1">
      <alignment horizontal="center"/>
    </xf>
    <xf numFmtId="166" fontId="54" fillId="0" borderId="0" xfId="0" applyNumberFormat="1" applyFont="1" applyFill="1" applyAlignment="1" applyProtection="1">
      <alignment horizontal="center" vertical="center"/>
    </xf>
    <xf numFmtId="0" fontId="54" fillId="0" borderId="0" xfId="0" applyFont="1" applyBorder="1" applyAlignment="1" applyProtection="1">
      <alignment horizontal="center" vertical="center"/>
    </xf>
    <xf numFmtId="0" fontId="84" fillId="0" borderId="0" xfId="0" applyFont="1" applyBorder="1" applyAlignment="1" applyProtection="1">
      <alignment horizontal="center" vertical="center"/>
    </xf>
    <xf numFmtId="9" fontId="50" fillId="0" borderId="0" xfId="0" applyNumberFormat="1" applyFont="1" applyFill="1" applyBorder="1" applyAlignment="1" applyProtection="1">
      <alignment horizontal="center" vertical="center"/>
    </xf>
    <xf numFmtId="9" fontId="50" fillId="0" borderId="2" xfId="0" applyNumberFormat="1" applyFont="1" applyFill="1" applyBorder="1" applyAlignment="1" applyProtection="1">
      <alignment horizontal="center" vertical="center"/>
    </xf>
    <xf numFmtId="3" fontId="12" fillId="0" borderId="16" xfId="0" applyNumberFormat="1" applyFont="1" applyFill="1" applyBorder="1" applyAlignment="1" applyProtection="1">
      <alignment vertical="center"/>
    </xf>
    <xf numFmtId="3" fontId="12" fillId="0" borderId="16" xfId="1" applyNumberFormat="1" applyFont="1" applyFill="1" applyBorder="1" applyAlignment="1" applyProtection="1">
      <alignment vertical="center"/>
    </xf>
    <xf numFmtId="3" fontId="12" fillId="0" borderId="13" xfId="0" applyNumberFormat="1" applyFont="1" applyFill="1" applyBorder="1" applyAlignment="1" applyProtection="1">
      <alignment vertical="center"/>
    </xf>
    <xf numFmtId="0" fontId="7" fillId="0" borderId="0" xfId="0" applyFont="1" applyFill="1" applyAlignment="1" applyProtection="1"/>
    <xf numFmtId="0" fontId="4" fillId="0" borderId="0" xfId="0" applyFont="1" applyFill="1" applyAlignment="1" applyProtection="1">
      <alignment horizontal="center"/>
    </xf>
    <xf numFmtId="0" fontId="30" fillId="0" borderId="0" xfId="0" applyFont="1" applyFill="1" applyBorder="1" applyProtection="1"/>
    <xf numFmtId="0" fontId="35" fillId="0" borderId="0" xfId="0" applyFont="1" applyAlignment="1" applyProtection="1">
      <alignment horizontal="center"/>
    </xf>
    <xf numFmtId="0" fontId="28" fillId="0" borderId="0" xfId="0" applyFont="1" applyAlignment="1" applyProtection="1">
      <alignment vertical="center"/>
    </xf>
    <xf numFmtId="0" fontId="50" fillId="0" borderId="47" xfId="0" applyFont="1" applyFill="1" applyBorder="1" applyAlignment="1" applyProtection="1">
      <alignment vertical="top"/>
    </xf>
    <xf numFmtId="0" fontId="14" fillId="4" borderId="35" xfId="0" applyFont="1" applyFill="1" applyBorder="1" applyAlignment="1" applyProtection="1">
      <alignment horizontal="center" vertical="center"/>
    </xf>
    <xf numFmtId="0" fontId="14" fillId="0" borderId="0" xfId="0" applyFont="1" applyFill="1" applyProtection="1"/>
    <xf numFmtId="0" fontId="27" fillId="0" borderId="0" xfId="0" applyFont="1" applyAlignment="1" applyProtection="1">
      <alignment horizontal="center" vertical="top"/>
    </xf>
    <xf numFmtId="0" fontId="18" fillId="0" borderId="0" xfId="0" applyFont="1" applyFill="1" applyAlignment="1" applyProtection="1">
      <alignment vertical="top"/>
    </xf>
    <xf numFmtId="0" fontId="12" fillId="0" borderId="0" xfId="0" applyFont="1" applyFill="1" applyAlignment="1" applyProtection="1">
      <alignment horizontal="center" vertical="top"/>
    </xf>
    <xf numFmtId="0" fontId="12" fillId="0" borderId="0" xfId="0" applyFont="1" applyFill="1" applyBorder="1" applyAlignment="1" applyProtection="1">
      <alignment horizontal="center" vertical="top"/>
    </xf>
    <xf numFmtId="0" fontId="8" fillId="4" borderId="11" xfId="0" applyFont="1" applyFill="1" applyBorder="1" applyAlignment="1" applyProtection="1">
      <alignment horizontal="center" vertical="center"/>
    </xf>
    <xf numFmtId="0" fontId="12" fillId="0" borderId="13" xfId="0" applyFont="1" applyFill="1" applyBorder="1" applyAlignment="1" applyProtection="1">
      <alignment horizontal="center" vertical="center"/>
    </xf>
    <xf numFmtId="0" fontId="4" fillId="0" borderId="0" xfId="0" applyFont="1" applyFill="1" applyBorder="1" applyAlignment="1" applyProtection="1">
      <alignment horizontal="right"/>
    </xf>
    <xf numFmtId="0" fontId="3" fillId="0" borderId="0" xfId="0" applyFont="1" applyFill="1" applyAlignment="1" applyProtection="1">
      <alignment vertical="top"/>
    </xf>
    <xf numFmtId="0" fontId="4" fillId="0" borderId="0" xfId="0" applyFont="1" applyFill="1" applyBorder="1" applyProtection="1"/>
    <xf numFmtId="0" fontId="92" fillId="0" borderId="0" xfId="0" applyFont="1" applyBorder="1" applyProtection="1"/>
    <xf numFmtId="0" fontId="93" fillId="0" borderId="0" xfId="0" applyFont="1" applyFill="1" applyAlignment="1" applyProtection="1">
      <alignment vertical="center"/>
    </xf>
    <xf numFmtId="0" fontId="94" fillId="0" borderId="0" xfId="0" applyFont="1" applyFill="1" applyBorder="1" applyAlignment="1" applyProtection="1">
      <alignment vertical="center" wrapText="1"/>
    </xf>
    <xf numFmtId="0" fontId="94" fillId="0" borderId="0" xfId="0" applyFont="1" applyFill="1" applyAlignment="1" applyProtection="1">
      <alignment vertical="center"/>
    </xf>
    <xf numFmtId="0" fontId="95" fillId="0" borderId="0" xfId="0" applyFont="1" applyFill="1" applyAlignment="1" applyProtection="1">
      <alignment horizontal="center" vertical="center"/>
    </xf>
    <xf numFmtId="0" fontId="93" fillId="0" borderId="0" xfId="0" applyFont="1" applyFill="1" applyProtection="1"/>
    <xf numFmtId="3" fontId="96" fillId="0" borderId="0" xfId="0" applyNumberFormat="1" applyFont="1" applyFill="1" applyBorder="1" applyAlignment="1" applyProtection="1">
      <alignment horizontal="center" vertical="center"/>
    </xf>
    <xf numFmtId="3" fontId="48" fillId="0" borderId="8" xfId="0" applyNumberFormat="1" applyFont="1" applyFill="1" applyBorder="1" applyAlignment="1" applyProtection="1">
      <alignment horizontal="center" vertical="center"/>
    </xf>
    <xf numFmtId="10" fontId="48" fillId="0" borderId="0" xfId="0" applyNumberFormat="1" applyFont="1" applyFill="1" applyBorder="1" applyAlignment="1" applyProtection="1">
      <alignment horizontal="center" vertical="center"/>
    </xf>
    <xf numFmtId="0" fontId="35" fillId="0" borderId="0" xfId="0" applyFont="1" applyFill="1" applyBorder="1" applyAlignment="1" applyProtection="1">
      <alignment horizontal="center" vertical="center"/>
    </xf>
    <xf numFmtId="0" fontId="28" fillId="0" borderId="0" xfId="0" applyFont="1" applyFill="1" applyBorder="1" applyAlignment="1" applyProtection="1">
      <alignment vertical="center"/>
    </xf>
    <xf numFmtId="3" fontId="30" fillId="0" borderId="0" xfId="0" applyNumberFormat="1" applyFont="1" applyFill="1" applyBorder="1" applyAlignment="1" applyProtection="1">
      <alignment horizontal="center"/>
    </xf>
    <xf numFmtId="0" fontId="3" fillId="0" borderId="8" xfId="0" applyFont="1" applyFill="1" applyBorder="1" applyProtection="1"/>
    <xf numFmtId="0" fontId="99" fillId="0" borderId="0" xfId="0" applyFont="1" applyFill="1" applyAlignment="1" applyProtection="1">
      <alignment horizontal="center" vertical="center"/>
    </xf>
    <xf numFmtId="0" fontId="102" fillId="0" borderId="0" xfId="0" applyFont="1" applyFill="1" applyAlignment="1" applyProtection="1">
      <alignment vertical="top"/>
    </xf>
    <xf numFmtId="0" fontId="102" fillId="0" borderId="0" xfId="0" applyFont="1" applyFill="1" applyAlignment="1" applyProtection="1">
      <alignment vertical="center"/>
    </xf>
    <xf numFmtId="0" fontId="102" fillId="0" borderId="0" xfId="0" applyFont="1" applyFill="1" applyBorder="1" applyAlignment="1" applyProtection="1">
      <alignment horizontal="left" vertical="top"/>
    </xf>
    <xf numFmtId="0" fontId="10" fillId="0" borderId="0" xfId="0" applyFont="1" applyFill="1" applyAlignment="1" applyProtection="1">
      <alignment horizontal="right"/>
    </xf>
    <xf numFmtId="0" fontId="18" fillId="0" borderId="0" xfId="0" applyFont="1" applyFill="1" applyAlignment="1" applyProtection="1"/>
    <xf numFmtId="0" fontId="7" fillId="0" borderId="0" xfId="0" applyFont="1" applyFill="1" applyBorder="1" applyAlignment="1" applyProtection="1"/>
    <xf numFmtId="0" fontId="0" fillId="0" borderId="0" xfId="0" applyAlignment="1" applyProtection="1"/>
    <xf numFmtId="10" fontId="14" fillId="0" borderId="3" xfId="0" applyNumberFormat="1" applyFont="1" applyFill="1" applyBorder="1" applyAlignment="1" applyProtection="1">
      <alignment horizontal="center"/>
    </xf>
    <xf numFmtId="0" fontId="4" fillId="0" borderId="0" xfId="0" applyFont="1" applyAlignment="1" applyProtection="1">
      <alignment horizontal="right"/>
    </xf>
    <xf numFmtId="0" fontId="4" fillId="0" borderId="0" xfId="0" applyFont="1" applyFill="1" applyAlignment="1" applyProtection="1">
      <alignment horizontal="left"/>
    </xf>
    <xf numFmtId="0" fontId="27" fillId="0" borderId="0" xfId="0" applyFont="1" applyAlignment="1" applyProtection="1">
      <alignment horizontal="center" vertical="center"/>
    </xf>
    <xf numFmtId="0" fontId="3" fillId="0" borderId="0" xfId="0" applyFont="1" applyFill="1" applyBorder="1" applyAlignment="1" applyProtection="1">
      <alignment horizontal="center" vertical="center"/>
    </xf>
    <xf numFmtId="0" fontId="4" fillId="0" borderId="0" xfId="0" applyFont="1" applyProtection="1"/>
    <xf numFmtId="0" fontId="16" fillId="0" borderId="0" xfId="0" applyFont="1" applyProtection="1"/>
    <xf numFmtId="0" fontId="4" fillId="0" borderId="0" xfId="0" applyFont="1" applyAlignment="1" applyProtection="1">
      <alignment horizontal="left" vertical="center"/>
    </xf>
    <xf numFmtId="174" fontId="87" fillId="0" borderId="3" xfId="0" applyNumberFormat="1" applyFont="1" applyFill="1" applyBorder="1" applyAlignment="1" applyProtection="1">
      <alignment horizontal="center" vertical="center"/>
    </xf>
    <xf numFmtId="0" fontId="4" fillId="0" borderId="14" xfId="0" applyFont="1" applyFill="1" applyBorder="1" applyAlignment="1" applyProtection="1">
      <alignment vertical="center"/>
    </xf>
    <xf numFmtId="0" fontId="0" fillId="0" borderId="14" xfId="0" applyBorder="1" applyProtection="1"/>
    <xf numFmtId="0" fontId="4" fillId="0" borderId="15" xfId="0" applyFont="1" applyFill="1" applyBorder="1" applyProtection="1"/>
    <xf numFmtId="0" fontId="4" fillId="0" borderId="0" xfId="0" applyFont="1" applyAlignment="1" applyProtection="1">
      <alignment horizontal="center"/>
    </xf>
    <xf numFmtId="3" fontId="4" fillId="16" borderId="3" xfId="0" applyNumberFormat="1" applyFont="1" applyFill="1" applyBorder="1" applyAlignment="1" applyProtection="1">
      <alignment horizontal="center" vertical="center"/>
    </xf>
    <xf numFmtId="3" fontId="4" fillId="16" borderId="16" xfId="0" applyNumberFormat="1" applyFont="1" applyFill="1" applyBorder="1" applyAlignment="1" applyProtection="1">
      <alignment horizontal="center" vertical="center"/>
    </xf>
    <xf numFmtId="0" fontId="104" fillId="0" borderId="0" xfId="0" applyFont="1" applyFill="1" applyBorder="1" applyAlignment="1" applyProtection="1">
      <alignment horizontal="center" vertical="center"/>
    </xf>
    <xf numFmtId="3" fontId="4" fillId="0" borderId="0" xfId="0" applyNumberFormat="1" applyFont="1" applyFill="1" applyBorder="1" applyAlignment="1" applyProtection="1">
      <alignment horizontal="center" vertical="center"/>
    </xf>
    <xf numFmtId="3" fontId="4" fillId="16" borderId="11" xfId="0" applyNumberFormat="1" applyFont="1" applyFill="1" applyBorder="1" applyAlignment="1" applyProtection="1">
      <alignment horizontal="center" vertical="center"/>
    </xf>
    <xf numFmtId="0" fontId="3" fillId="0" borderId="3" xfId="0" applyFont="1" applyFill="1" applyBorder="1" applyAlignment="1" applyProtection="1">
      <alignment horizontal="center" vertical="center"/>
    </xf>
    <xf numFmtId="0" fontId="4" fillId="0" borderId="0" xfId="0" applyFont="1" applyFill="1" applyAlignment="1" applyProtection="1">
      <alignment horizontal="center" vertical="top"/>
    </xf>
    <xf numFmtId="0" fontId="8" fillId="4" borderId="3" xfId="0" applyFont="1" applyFill="1" applyBorder="1" applyAlignment="1" applyProtection="1">
      <alignment horizontal="center" vertical="top"/>
    </xf>
    <xf numFmtId="0" fontId="4" fillId="0" borderId="0" xfId="0" applyFont="1" applyAlignment="1" applyProtection="1">
      <alignment horizontal="center" vertical="top"/>
    </xf>
    <xf numFmtId="0" fontId="13" fillId="0" borderId="0" xfId="0" applyFont="1" applyFill="1" applyAlignment="1" applyProtection="1">
      <alignment horizontal="center" vertical="top"/>
    </xf>
    <xf numFmtId="0" fontId="4" fillId="0" borderId="0" xfId="0" quotePrefix="1" applyFont="1" applyFill="1" applyAlignment="1" applyProtection="1">
      <alignment horizontal="center" vertical="center"/>
    </xf>
    <xf numFmtId="0" fontId="7" fillId="0" borderId="0" xfId="0" applyFont="1" applyAlignment="1" applyProtection="1">
      <alignment vertical="top"/>
    </xf>
    <xf numFmtId="0" fontId="27" fillId="0" borderId="0" xfId="0" applyFont="1" applyAlignment="1" applyProtection="1">
      <alignment horizontal="right" vertical="top"/>
    </xf>
    <xf numFmtId="0" fontId="14" fillId="4" borderId="18" xfId="0" applyFont="1" applyFill="1" applyBorder="1" applyAlignment="1" applyProtection="1">
      <alignment horizontal="center" vertical="top"/>
    </xf>
    <xf numFmtId="0" fontId="105" fillId="0" borderId="0" xfId="0" applyFont="1" applyAlignment="1" applyProtection="1">
      <alignment horizontal="left"/>
    </xf>
    <xf numFmtId="0" fontId="4" fillId="0" borderId="0" xfId="0" applyFont="1" applyBorder="1" applyProtection="1"/>
    <xf numFmtId="0" fontId="14" fillId="0" borderId="0" xfId="0" applyFont="1" applyProtection="1"/>
    <xf numFmtId="0" fontId="14" fillId="0" borderId="0" xfId="0" quotePrefix="1" applyFont="1" applyFill="1" applyAlignment="1" applyProtection="1">
      <alignment horizontal="center" vertical="top"/>
    </xf>
    <xf numFmtId="0" fontId="14" fillId="0" borderId="0" xfId="0" applyFont="1" applyAlignment="1" applyProtection="1">
      <alignment vertical="center"/>
    </xf>
    <xf numFmtId="0" fontId="20" fillId="0" borderId="0" xfId="0" quotePrefix="1" applyFont="1" applyFill="1" applyAlignment="1" applyProtection="1"/>
    <xf numFmtId="38" fontId="26" fillId="0" borderId="0" xfId="0" applyNumberFormat="1" applyFont="1" applyFill="1" applyBorder="1" applyAlignment="1" applyProtection="1">
      <alignment horizontal="center" vertical="center"/>
    </xf>
    <xf numFmtId="0" fontId="4" fillId="0" borderId="0" xfId="0" applyFont="1" applyFill="1" applyBorder="1" applyAlignment="1" applyProtection="1">
      <alignment vertical="top" wrapText="1"/>
    </xf>
    <xf numFmtId="0" fontId="4" fillId="0" borderId="0" xfId="0" applyFont="1" applyFill="1" applyAlignment="1" applyProtection="1">
      <alignment horizontal="right"/>
    </xf>
    <xf numFmtId="0" fontId="4" fillId="0" borderId="0" xfId="0" applyFont="1" applyFill="1" applyAlignment="1" applyProtection="1"/>
    <xf numFmtId="0" fontId="14" fillId="0" borderId="0" xfId="0" applyFont="1" applyAlignment="1" applyProtection="1">
      <alignment horizontal="center"/>
    </xf>
    <xf numFmtId="0" fontId="51" fillId="0" borderId="0" xfId="0" applyFont="1" applyFill="1" applyAlignment="1" applyProtection="1">
      <alignment horizontal="right" vertical="center"/>
    </xf>
    <xf numFmtId="37" fontId="51" fillId="0" borderId="0" xfId="1" applyNumberFormat="1" applyFont="1" applyAlignment="1" applyProtection="1">
      <alignment horizontal="center"/>
    </xf>
    <xf numFmtId="10" fontId="51" fillId="0" borderId="3" xfId="0" applyNumberFormat="1" applyFont="1" applyBorder="1" applyAlignment="1" applyProtection="1">
      <alignment vertical="center"/>
    </xf>
    <xf numFmtId="0" fontId="49" fillId="0" borderId="8" xfId="0" applyFont="1" applyFill="1" applyBorder="1" applyAlignment="1" applyProtection="1">
      <alignment vertical="center"/>
    </xf>
    <xf numFmtId="0" fontId="49" fillId="0" borderId="0" xfId="0" applyFont="1" applyFill="1" applyAlignment="1" applyProtection="1">
      <alignment vertical="center"/>
    </xf>
    <xf numFmtId="0" fontId="37" fillId="0" borderId="0" xfId="0" applyFont="1" applyFill="1" applyAlignment="1" applyProtection="1">
      <alignment vertical="center"/>
    </xf>
    <xf numFmtId="0" fontId="99" fillId="0" borderId="0" xfId="0" applyFont="1" applyFill="1" applyBorder="1" applyProtection="1"/>
    <xf numFmtId="0" fontId="8" fillId="4" borderId="17" xfId="0" applyFont="1" applyFill="1" applyBorder="1" applyAlignment="1" applyProtection="1">
      <alignment horizontal="center" vertical="top"/>
    </xf>
    <xf numFmtId="0" fontId="8" fillId="4" borderId="18" xfId="0" applyFont="1" applyFill="1" applyBorder="1" applyAlignment="1" applyProtection="1">
      <alignment horizontal="center" vertical="top"/>
    </xf>
    <xf numFmtId="0" fontId="8" fillId="4" borderId="19" xfId="0" applyFont="1" applyFill="1" applyBorder="1" applyAlignment="1" applyProtection="1">
      <alignment horizontal="center" vertical="top"/>
    </xf>
    <xf numFmtId="0" fontId="8" fillId="4" borderId="17" xfId="0" applyFont="1" applyFill="1" applyBorder="1" applyAlignment="1" applyProtection="1">
      <alignment horizontal="center" vertical="center"/>
    </xf>
    <xf numFmtId="0" fontId="8" fillId="4" borderId="19" xfId="0" applyFont="1" applyFill="1" applyBorder="1" applyAlignment="1" applyProtection="1">
      <alignment horizontal="center" vertical="center"/>
    </xf>
    <xf numFmtId="0" fontId="108" fillId="0" borderId="0" xfId="0" applyFont="1" applyFill="1" applyBorder="1" applyProtection="1"/>
    <xf numFmtId="0" fontId="107" fillId="0" borderId="0" xfId="0" applyFont="1" applyFill="1" applyProtection="1"/>
    <xf numFmtId="0" fontId="109" fillId="0" borderId="0" xfId="0" applyFont="1" applyFill="1" applyAlignment="1" applyProtection="1">
      <alignment horizontal="center" vertical="center"/>
    </xf>
    <xf numFmtId="0" fontId="110" fillId="0" borderId="0" xfId="0" applyFont="1" applyProtection="1"/>
    <xf numFmtId="0" fontId="110" fillId="0" borderId="0" xfId="0" applyFont="1" applyAlignment="1" applyProtection="1">
      <alignment horizontal="left"/>
    </xf>
    <xf numFmtId="0" fontId="107" fillId="0" borderId="0" xfId="0" applyFont="1" applyFill="1" applyAlignment="1" applyProtection="1">
      <alignment vertical="center"/>
    </xf>
    <xf numFmtId="0" fontId="107" fillId="0" borderId="0" xfId="0" applyFont="1" applyFill="1" applyAlignment="1" applyProtection="1">
      <alignment horizontal="center" vertical="center"/>
    </xf>
    <xf numFmtId="0" fontId="96" fillId="0" borderId="0" xfId="0" applyFont="1" applyFill="1" applyAlignment="1" applyProtection="1">
      <alignment vertical="center"/>
    </xf>
    <xf numFmtId="0" fontId="111" fillId="0" borderId="0" xfId="0" applyFont="1" applyFill="1" applyProtection="1"/>
    <xf numFmtId="0" fontId="111" fillId="0" borderId="0" xfId="0" applyFont="1" applyFill="1" applyAlignment="1" applyProtection="1">
      <alignment horizontal="center"/>
    </xf>
    <xf numFmtId="0" fontId="111" fillId="0" borderId="0" xfId="0" applyFont="1" applyFill="1" applyAlignment="1" applyProtection="1">
      <alignment vertical="center"/>
    </xf>
    <xf numFmtId="0" fontId="111" fillId="0" borderId="0" xfId="0" applyFont="1" applyFill="1" applyAlignment="1" applyProtection="1">
      <alignment horizontal="center" vertical="center"/>
    </xf>
    <xf numFmtId="0" fontId="107" fillId="0" borderId="0" xfId="0" applyFont="1" applyFill="1" applyAlignment="1" applyProtection="1">
      <alignment horizontal="center"/>
    </xf>
    <xf numFmtId="3" fontId="107" fillId="0" borderId="0" xfId="0" applyNumberFormat="1" applyFont="1" applyFill="1" applyAlignment="1" applyProtection="1">
      <alignment horizontal="center"/>
    </xf>
    <xf numFmtId="0" fontId="96" fillId="0" borderId="0" xfId="0" applyFont="1" applyFill="1" applyAlignment="1" applyProtection="1">
      <alignment horizontal="center"/>
    </xf>
    <xf numFmtId="3" fontId="96" fillId="0" borderId="0" xfId="0" applyNumberFormat="1" applyFont="1" applyFill="1" applyAlignment="1" applyProtection="1">
      <alignment horizontal="center"/>
    </xf>
    <xf numFmtId="0" fontId="107" fillId="0" borderId="0" xfId="0" applyFont="1" applyFill="1" applyBorder="1" applyProtection="1"/>
    <xf numFmtId="0" fontId="96" fillId="0" borderId="0" xfId="0" applyFont="1" applyFill="1" applyProtection="1"/>
    <xf numFmtId="0" fontId="112" fillId="0" borderId="0" xfId="0" applyFont="1" applyFill="1" applyBorder="1" applyAlignment="1" applyProtection="1">
      <alignment horizontal="right"/>
    </xf>
    <xf numFmtId="0" fontId="107" fillId="0" borderId="0" xfId="0" applyFont="1" applyFill="1" applyBorder="1" applyAlignment="1" applyProtection="1">
      <alignment vertical="center"/>
    </xf>
    <xf numFmtId="0" fontId="108" fillId="0" borderId="0" xfId="0" applyFont="1" applyFill="1" applyBorder="1" applyAlignment="1" applyProtection="1">
      <alignment vertical="center"/>
    </xf>
    <xf numFmtId="164" fontId="107" fillId="0" borderId="0" xfId="1" applyNumberFormat="1" applyFont="1" applyFill="1" applyBorder="1" applyAlignment="1" applyProtection="1">
      <alignment vertical="center"/>
    </xf>
    <xf numFmtId="0" fontId="96" fillId="0" borderId="0" xfId="0" applyFont="1" applyFill="1" applyBorder="1" applyAlignment="1" applyProtection="1">
      <alignment vertical="center"/>
    </xf>
    <xf numFmtId="0" fontId="111" fillId="0" borderId="0" xfId="0" applyFont="1" applyFill="1" applyBorder="1" applyAlignment="1" applyProtection="1">
      <alignment vertical="center"/>
    </xf>
    <xf numFmtId="0" fontId="108" fillId="0" borderId="0" xfId="0" applyFont="1" applyFill="1" applyAlignment="1" applyProtection="1">
      <alignment vertical="center"/>
    </xf>
    <xf numFmtId="166" fontId="54" fillId="0" borderId="82" xfId="0" applyNumberFormat="1" applyFont="1" applyFill="1" applyBorder="1" applyAlignment="1" applyProtection="1">
      <alignment horizontal="center" vertical="center"/>
    </xf>
    <xf numFmtId="2" fontId="54" fillId="0" borderId="86" xfId="0" applyNumberFormat="1" applyFont="1" applyFill="1" applyBorder="1" applyAlignment="1" applyProtection="1">
      <alignment horizontal="center" vertical="center"/>
    </xf>
    <xf numFmtId="3" fontId="54" fillId="0" borderId="0" xfId="0" applyNumberFormat="1" applyFont="1" applyFill="1" applyAlignment="1" applyProtection="1">
      <alignment horizontal="center" vertical="center"/>
    </xf>
    <xf numFmtId="38" fontId="10" fillId="0" borderId="0" xfId="0" applyNumberFormat="1" applyFont="1" applyFill="1" applyAlignment="1" applyProtection="1">
      <alignment horizontal="center" vertical="center"/>
    </xf>
    <xf numFmtId="0" fontId="13" fillId="0" borderId="39" xfId="0" applyFont="1" applyFill="1" applyBorder="1" applyAlignment="1" applyProtection="1">
      <alignment horizontal="center" vertical="center"/>
    </xf>
    <xf numFmtId="0" fontId="24" fillId="0" borderId="3" xfId="0" applyFont="1" applyFill="1" applyBorder="1" applyAlignment="1" applyProtection="1">
      <alignment horizontal="center"/>
    </xf>
    <xf numFmtId="0" fontId="4" fillId="0" borderId="0" xfId="0" applyFont="1" applyFill="1" applyAlignment="1" applyProtection="1">
      <alignment horizontal="right" vertical="center"/>
    </xf>
    <xf numFmtId="0" fontId="113" fillId="0" borderId="8" xfId="0" applyFont="1" applyFill="1" applyBorder="1" applyAlignment="1" applyProtection="1">
      <alignment vertical="center"/>
    </xf>
    <xf numFmtId="0" fontId="36" fillId="0" borderId="0" xfId="0" applyFont="1" applyFill="1" applyBorder="1" applyAlignment="1" applyProtection="1">
      <alignment vertical="center"/>
    </xf>
    <xf numFmtId="0" fontId="21" fillId="0" borderId="0" xfId="0" applyFont="1" applyFill="1" applyBorder="1" applyAlignment="1" applyProtection="1">
      <alignment vertical="top"/>
    </xf>
    <xf numFmtId="0" fontId="3" fillId="0" borderId="0" xfId="0" applyFont="1" applyFill="1" applyBorder="1" applyProtection="1"/>
    <xf numFmtId="0" fontId="3" fillId="0" borderId="0" xfId="0" applyFont="1" applyFill="1" applyBorder="1" applyAlignment="1" applyProtection="1">
      <alignment vertical="top"/>
    </xf>
    <xf numFmtId="0" fontId="3" fillId="0" borderId="0" xfId="0" applyFont="1" applyFill="1" applyBorder="1" applyAlignment="1" applyProtection="1">
      <alignment vertical="center"/>
    </xf>
    <xf numFmtId="0" fontId="3" fillId="0" borderId="0" xfId="0" applyFont="1" applyBorder="1" applyProtection="1"/>
    <xf numFmtId="10" fontId="12" fillId="0" borderId="3" xfId="0" applyNumberFormat="1" applyFont="1" applyFill="1" applyBorder="1" applyProtection="1"/>
    <xf numFmtId="0" fontId="49" fillId="0" borderId="0" xfId="0" applyFont="1" applyFill="1" applyAlignment="1" applyProtection="1">
      <alignment vertical="center" wrapText="1"/>
    </xf>
    <xf numFmtId="0" fontId="107" fillId="0" borderId="0" xfId="0" applyFont="1" applyFill="1" applyBorder="1" applyAlignment="1" applyProtection="1">
      <alignment vertical="center" wrapText="1"/>
    </xf>
    <xf numFmtId="0" fontId="96" fillId="0" borderId="0" xfId="0" applyFont="1" applyFill="1" applyBorder="1" applyAlignment="1" applyProtection="1">
      <alignment vertical="center" wrapText="1"/>
    </xf>
    <xf numFmtId="0" fontId="96" fillId="0" borderId="0" xfId="0" applyFont="1" applyFill="1" applyBorder="1" applyAlignment="1" applyProtection="1">
      <alignment horizontal="center" vertical="center" wrapText="1"/>
    </xf>
    <xf numFmtId="3" fontId="48" fillId="0" borderId="0" xfId="0" applyNumberFormat="1" applyFont="1" applyFill="1" applyBorder="1" applyAlignment="1" applyProtection="1">
      <alignment horizontal="center" vertical="center"/>
    </xf>
    <xf numFmtId="38" fontId="50" fillId="0" borderId="0" xfId="0" applyNumberFormat="1" applyFont="1" applyFill="1" applyBorder="1" applyAlignment="1" applyProtection="1">
      <alignment vertical="center"/>
    </xf>
    <xf numFmtId="0" fontId="4" fillId="0" borderId="0" xfId="0" applyFont="1" applyFill="1" applyBorder="1" applyAlignment="1" applyProtection="1">
      <alignment horizontal="center" vertical="center"/>
    </xf>
    <xf numFmtId="0" fontId="4" fillId="0" borderId="0" xfId="0" applyFont="1" applyAlignment="1" applyProtection="1">
      <alignment horizontal="left"/>
    </xf>
    <xf numFmtId="0" fontId="8" fillId="4" borderId="90" xfId="0" applyFont="1" applyFill="1" applyBorder="1" applyAlignment="1" applyProtection="1">
      <alignment horizontal="center" vertical="center"/>
    </xf>
    <xf numFmtId="0" fontId="51" fillId="0" borderId="0" xfId="0" applyFont="1" applyFill="1" applyBorder="1" applyAlignment="1" applyProtection="1">
      <alignment horizontal="left" vertical="center"/>
    </xf>
    <xf numFmtId="0" fontId="58" fillId="0" borderId="0" xfId="0" applyFont="1" applyFill="1" applyAlignment="1" applyProtection="1">
      <alignment horizontal="left" vertical="center"/>
    </xf>
    <xf numFmtId="0" fontId="8" fillId="0" borderId="0" xfId="0" applyFont="1" applyFill="1" applyBorder="1" applyAlignment="1" applyProtection="1">
      <alignment horizontal="center" vertical="center"/>
    </xf>
    <xf numFmtId="3" fontId="4" fillId="0" borderId="89" xfId="0" applyNumberFormat="1" applyFont="1" applyFill="1" applyBorder="1" applyAlignment="1" applyProtection="1">
      <alignment horizontal="center"/>
    </xf>
    <xf numFmtId="0" fontId="4" fillId="0" borderId="0" xfId="0" applyFont="1" applyFill="1" applyAlignment="1" applyProtection="1">
      <alignment horizontal="left" vertical="top"/>
    </xf>
    <xf numFmtId="3" fontId="51" fillId="0" borderId="89" xfId="0" applyNumberFormat="1" applyFont="1" applyFill="1" applyBorder="1" applyAlignment="1" applyProtection="1">
      <alignment horizontal="center"/>
    </xf>
    <xf numFmtId="3" fontId="51" fillId="0" borderId="0" xfId="0" applyNumberFormat="1" applyFont="1" applyFill="1" applyAlignment="1" applyProtection="1">
      <alignment horizontal="center"/>
    </xf>
    <xf numFmtId="0" fontId="14" fillId="4" borderId="90" xfId="0" applyFont="1" applyFill="1" applyBorder="1" applyAlignment="1" applyProtection="1">
      <alignment horizontal="center" vertical="center"/>
    </xf>
    <xf numFmtId="0" fontId="4" fillId="0" borderId="0" xfId="0" applyFont="1" applyAlignment="1" applyProtection="1">
      <alignment horizontal="right" vertical="top"/>
    </xf>
    <xf numFmtId="0" fontId="4" fillId="0" borderId="0" xfId="0" quotePrefix="1" applyFont="1" applyFill="1" applyAlignment="1" applyProtection="1">
      <alignment horizontal="center" vertical="top"/>
    </xf>
    <xf numFmtId="0" fontId="4" fillId="0" borderId="0" xfId="0" quotePrefix="1" applyFont="1" applyAlignment="1" applyProtection="1">
      <alignment horizontal="right"/>
    </xf>
    <xf numFmtId="0" fontId="4" fillId="0" borderId="0" xfId="0" applyFont="1" applyBorder="1" applyAlignment="1" applyProtection="1">
      <alignment vertical="top"/>
    </xf>
    <xf numFmtId="0" fontId="3" fillId="0" borderId="0" xfId="0" applyFont="1" applyFill="1" applyAlignment="1" applyProtection="1"/>
    <xf numFmtId="0" fontId="23" fillId="0" borderId="0" xfId="0" applyFont="1" applyFill="1" applyBorder="1" applyAlignment="1" applyProtection="1">
      <alignment horizontal="center" vertical="center"/>
    </xf>
    <xf numFmtId="0" fontId="4" fillId="0" borderId="0" xfId="0" applyFont="1" applyFill="1" applyAlignment="1" applyProtection="1">
      <alignment vertical="top" wrapText="1"/>
    </xf>
    <xf numFmtId="0" fontId="62" fillId="0" borderId="0" xfId="0" applyFont="1" applyFill="1" applyAlignment="1" applyProtection="1">
      <alignment horizontal="center" vertical="center"/>
    </xf>
    <xf numFmtId="171" fontId="71" fillId="0" borderId="89" xfId="0" applyNumberFormat="1" applyFont="1" applyFill="1" applyBorder="1" applyAlignment="1" applyProtection="1">
      <alignment horizontal="left" vertical="center"/>
    </xf>
    <xf numFmtId="0" fontId="71" fillId="0" borderId="14" xfId="0" applyFont="1" applyFill="1" applyBorder="1" applyAlignment="1" applyProtection="1">
      <alignment vertical="center"/>
    </xf>
    <xf numFmtId="0" fontId="54" fillId="0" borderId="89" xfId="0" applyFont="1" applyFill="1" applyBorder="1" applyAlignment="1" applyProtection="1">
      <alignment vertical="center"/>
    </xf>
    <xf numFmtId="0" fontId="3" fillId="0" borderId="0" xfId="0" applyFont="1" applyFill="1" applyAlignment="1" applyProtection="1">
      <alignment horizontal="center"/>
    </xf>
    <xf numFmtId="0" fontId="105" fillId="0" borderId="0" xfId="0" applyFont="1" applyFill="1" applyAlignment="1" applyProtection="1">
      <alignment horizontal="left" vertical="center"/>
    </xf>
    <xf numFmtId="0" fontId="3" fillId="0" borderId="90" xfId="0" applyFont="1" applyFill="1" applyBorder="1" applyProtection="1"/>
    <xf numFmtId="0" fontId="54" fillId="0" borderId="0" xfId="0" quotePrefix="1" applyFont="1" applyFill="1" applyAlignment="1" applyProtection="1">
      <alignment vertical="center"/>
    </xf>
    <xf numFmtId="0" fontId="107" fillId="0" borderId="0" xfId="0" applyFont="1" applyProtection="1"/>
    <xf numFmtId="0" fontId="123"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3" fillId="0" borderId="0" xfId="0" applyFont="1" applyProtection="1"/>
    <xf numFmtId="0" fontId="124" fillId="0" borderId="0" xfId="0" applyFont="1" applyProtection="1"/>
    <xf numFmtId="0" fontId="110" fillId="0" borderId="0" xfId="0" applyFont="1" applyBorder="1" applyAlignment="1" applyProtection="1">
      <alignment horizontal="center" vertical="top" wrapText="1"/>
    </xf>
    <xf numFmtId="0" fontId="124" fillId="0" borderId="0" xfId="0" applyFont="1" applyAlignment="1" applyProtection="1">
      <alignment vertical="top"/>
    </xf>
    <xf numFmtId="0" fontId="110" fillId="0" borderId="0" xfId="0" applyFont="1" applyBorder="1" applyAlignment="1" applyProtection="1">
      <alignment horizontal="left" vertical="top" wrapText="1"/>
    </xf>
    <xf numFmtId="0" fontId="110" fillId="0" borderId="0" xfId="0" applyFont="1" applyBorder="1" applyAlignment="1" applyProtection="1">
      <alignment vertical="top" wrapText="1"/>
    </xf>
    <xf numFmtId="0" fontId="107" fillId="0" borderId="0" xfId="0" applyFont="1" applyBorder="1" applyAlignment="1" applyProtection="1">
      <alignment vertical="top" wrapText="1"/>
    </xf>
    <xf numFmtId="0" fontId="107" fillId="0" borderId="0" xfId="0" applyFont="1" applyBorder="1" applyProtection="1"/>
    <xf numFmtId="0" fontId="110" fillId="0" borderId="0" xfId="0" applyFont="1" applyFill="1" applyBorder="1" applyAlignment="1" applyProtection="1">
      <alignment vertical="top" wrapText="1"/>
    </xf>
    <xf numFmtId="0" fontId="108" fillId="0" borderId="0" xfId="0" applyFont="1" applyProtection="1"/>
    <xf numFmtId="0" fontId="108" fillId="0" borderId="0" xfId="0" applyFont="1" applyFill="1" applyProtection="1"/>
    <xf numFmtId="0" fontId="108" fillId="0" borderId="0" xfId="0" applyFont="1" applyAlignment="1" applyProtection="1">
      <alignment horizontal="left"/>
    </xf>
    <xf numFmtId="0" fontId="108" fillId="0" borderId="0" xfId="0" applyNumberFormat="1" applyFont="1" applyFill="1" applyProtection="1"/>
    <xf numFmtId="0" fontId="108" fillId="0" borderId="0" xfId="0" applyFont="1" applyFill="1" applyAlignment="1" applyProtection="1">
      <alignment horizontal="left"/>
    </xf>
    <xf numFmtId="0" fontId="108" fillId="0" borderId="0" xfId="0" applyFont="1" applyFill="1" applyAlignment="1" applyProtection="1">
      <alignment horizontal="left" vertical="center"/>
    </xf>
    <xf numFmtId="0" fontId="108" fillId="0" borderId="0" xfId="0" applyNumberFormat="1" applyFont="1" applyAlignment="1" applyProtection="1">
      <alignment horizontal="left" vertical="center"/>
    </xf>
    <xf numFmtId="0" fontId="125" fillId="0" borderId="0" xfId="0" applyFont="1" applyFill="1" applyProtection="1"/>
    <xf numFmtId="0" fontId="125" fillId="0" borderId="0" xfId="0" applyFont="1" applyProtection="1"/>
    <xf numFmtId="0" fontId="126" fillId="0" borderId="0" xfId="0" applyFont="1" applyFill="1" applyProtection="1"/>
    <xf numFmtId="0" fontId="51" fillId="0" borderId="0" xfId="0" applyFont="1" applyFill="1" applyAlignment="1" applyProtection="1">
      <alignment horizontal="center"/>
    </xf>
    <xf numFmtId="0" fontId="122" fillId="0" borderId="0" xfId="0" applyFont="1" applyFill="1" applyBorder="1" applyAlignment="1" applyProtection="1">
      <alignment vertical="top"/>
    </xf>
    <xf numFmtId="10" fontId="62" fillId="0" borderId="14" xfId="0" applyNumberFormat="1" applyFont="1" applyFill="1" applyBorder="1" applyAlignment="1" applyProtection="1">
      <alignment horizontal="center" vertical="center"/>
    </xf>
    <xf numFmtId="0" fontId="100" fillId="0" borderId="0" xfId="0" applyFont="1" applyFill="1" applyAlignment="1" applyProtection="1"/>
    <xf numFmtId="0" fontId="127" fillId="0" borderId="0" xfId="0" applyFont="1" applyFill="1" applyProtection="1"/>
    <xf numFmtId="0" fontId="128" fillId="0" borderId="0" xfId="0" applyFont="1" applyAlignment="1" applyProtection="1">
      <alignment horizontal="left" wrapText="1"/>
    </xf>
    <xf numFmtId="0" fontId="128" fillId="0" borderId="0" xfId="0" applyFont="1" applyAlignment="1" applyProtection="1">
      <alignment horizontal="center" wrapText="1"/>
    </xf>
    <xf numFmtId="0" fontId="129" fillId="0" borderId="0" xfId="0" applyFont="1" applyAlignment="1" applyProtection="1">
      <alignment horizontal="left" wrapText="1"/>
    </xf>
    <xf numFmtId="0" fontId="110" fillId="0" borderId="0" xfId="0" applyFont="1" applyAlignment="1" applyProtection="1">
      <alignment vertical="center"/>
    </xf>
    <xf numFmtId="0" fontId="110" fillId="0" borderId="0" xfId="0" applyFont="1" applyFill="1" applyProtection="1"/>
    <xf numFmtId="0" fontId="128" fillId="0" borderId="0" xfId="0" applyFont="1" applyFill="1" applyBorder="1" applyAlignment="1" applyProtection="1">
      <alignment horizontal="left"/>
    </xf>
    <xf numFmtId="0" fontId="128" fillId="0" borderId="0" xfId="0" applyFont="1" applyFill="1" applyBorder="1" applyAlignment="1" applyProtection="1">
      <alignment horizontal="left" wrapText="1"/>
    </xf>
    <xf numFmtId="0" fontId="110" fillId="0" borderId="0" xfId="9" applyFont="1" applyAlignment="1" applyProtection="1">
      <alignment horizontal="left"/>
    </xf>
    <xf numFmtId="0" fontId="110" fillId="0" borderId="0" xfId="0" quotePrefix="1" applyNumberFormat="1" applyFont="1" applyProtection="1"/>
    <xf numFmtId="0" fontId="110" fillId="0" borderId="0" xfId="0" applyNumberFormat="1" applyFont="1" applyAlignment="1" applyProtection="1">
      <alignment horizontal="center"/>
    </xf>
    <xf numFmtId="0" fontId="127" fillId="0" borderId="0" xfId="9" applyFont="1" applyAlignment="1" applyProtection="1">
      <alignment horizontal="left"/>
    </xf>
    <xf numFmtId="0" fontId="110" fillId="0" borderId="0" xfId="0" applyFont="1" applyBorder="1" applyAlignment="1" applyProtection="1">
      <alignment horizontal="left" vertical="center"/>
    </xf>
    <xf numFmtId="0" fontId="110" fillId="0" borderId="0" xfId="0" applyFont="1" applyAlignment="1" applyProtection="1">
      <alignment horizontal="left" vertical="center"/>
    </xf>
    <xf numFmtId="0" fontId="110" fillId="0" borderId="0" xfId="0" applyFont="1" applyFill="1" applyBorder="1" applyAlignment="1" applyProtection="1">
      <alignment horizontal="left"/>
    </xf>
    <xf numFmtId="0" fontId="110" fillId="0" borderId="0" xfId="9" applyFont="1" applyProtection="1"/>
    <xf numFmtId="0" fontId="127" fillId="0" borderId="0" xfId="9" applyFont="1" applyProtection="1"/>
    <xf numFmtId="0" fontId="130" fillId="0" borderId="0" xfId="0" applyFont="1" applyFill="1" applyAlignment="1" applyProtection="1"/>
    <xf numFmtId="0" fontId="110" fillId="0" borderId="4" xfId="0" applyFont="1" applyFill="1" applyBorder="1" applyAlignment="1" applyProtection="1">
      <alignment wrapText="1"/>
    </xf>
    <xf numFmtId="0" fontId="110" fillId="0" borderId="0" xfId="0" applyFont="1" applyFill="1" applyBorder="1" applyAlignment="1" applyProtection="1">
      <alignment wrapText="1"/>
    </xf>
    <xf numFmtId="0" fontId="124" fillId="0" borderId="0" xfId="0" applyFont="1" applyFill="1" applyBorder="1" applyAlignment="1" applyProtection="1">
      <alignment horizontal="left"/>
    </xf>
    <xf numFmtId="0" fontId="124" fillId="0" borderId="0" xfId="0" applyFont="1" applyAlignment="1" applyProtection="1">
      <alignment horizontal="left" vertical="center"/>
    </xf>
    <xf numFmtId="0" fontId="127" fillId="0" borderId="0" xfId="0" applyFont="1" applyAlignment="1" applyProtection="1">
      <alignment vertical="center"/>
    </xf>
    <xf numFmtId="0" fontId="110" fillId="5" borderId="3" xfId="0" applyFont="1" applyFill="1" applyBorder="1" applyAlignment="1" applyProtection="1">
      <alignment horizontal="center"/>
    </xf>
    <xf numFmtId="0" fontId="13" fillId="0" borderId="0" xfId="0" applyFont="1" applyFill="1" applyAlignment="1" applyProtection="1">
      <alignment horizontal="left"/>
    </xf>
    <xf numFmtId="0" fontId="56" fillId="0" borderId="0" xfId="9" applyFont="1" applyAlignment="1" applyProtection="1">
      <alignment horizontal="left"/>
    </xf>
    <xf numFmtId="38" fontId="54" fillId="0" borderId="0" xfId="0" applyNumberFormat="1" applyFont="1" applyFill="1" applyBorder="1" applyAlignment="1" applyProtection="1">
      <alignment horizontal="left" vertical="center"/>
    </xf>
    <xf numFmtId="0" fontId="4" fillId="0" borderId="14" xfId="0" applyFont="1" applyFill="1" applyBorder="1" applyAlignment="1" applyProtection="1">
      <alignment vertical="top" wrapText="1"/>
    </xf>
    <xf numFmtId="0" fontId="8" fillId="0" borderId="89" xfId="0" applyFont="1" applyFill="1" applyBorder="1" applyAlignment="1" applyProtection="1"/>
    <xf numFmtId="0" fontId="139" fillId="0" borderId="0" xfId="0" applyFont="1" applyFill="1" applyAlignment="1" applyProtection="1">
      <alignment vertical="center"/>
    </xf>
    <xf numFmtId="0" fontId="121" fillId="0" borderId="0" xfId="0" applyFont="1" applyFill="1" applyBorder="1" applyAlignment="1" applyProtection="1">
      <alignment horizontal="left" vertical="center"/>
    </xf>
    <xf numFmtId="3" fontId="54" fillId="0" borderId="0" xfId="0" applyNumberFormat="1" applyFont="1" applyFill="1" applyAlignment="1" applyProtection="1">
      <alignment vertical="center"/>
    </xf>
    <xf numFmtId="3" fontId="54" fillId="0" borderId="0" xfId="0" applyNumberFormat="1" applyFont="1" applyFill="1" applyProtection="1"/>
    <xf numFmtId="0" fontId="4" fillId="0" borderId="0" xfId="0" applyFont="1" applyBorder="1" applyAlignment="1" applyProtection="1">
      <alignment vertical="center"/>
    </xf>
    <xf numFmtId="0" fontId="13" fillId="4" borderId="17" xfId="0" applyFont="1" applyFill="1" applyBorder="1" applyAlignment="1" applyProtection="1">
      <alignment horizontal="center" vertical="center"/>
    </xf>
    <xf numFmtId="0" fontId="13" fillId="4" borderId="18" xfId="0" applyFont="1" applyFill="1" applyBorder="1" applyAlignment="1" applyProtection="1">
      <alignment horizontal="center" vertical="center"/>
    </xf>
    <xf numFmtId="0" fontId="13" fillId="4" borderId="19" xfId="0" applyFont="1" applyFill="1" applyBorder="1" applyAlignment="1" applyProtection="1">
      <alignment horizontal="center" vertical="center"/>
    </xf>
    <xf numFmtId="0" fontId="51" fillId="0" borderId="41" xfId="0" applyFont="1" applyFill="1" applyBorder="1" applyAlignment="1" applyProtection="1">
      <alignment vertical="center"/>
    </xf>
    <xf numFmtId="0" fontId="51" fillId="0" borderId="0" xfId="0" applyFont="1" applyFill="1" applyBorder="1" applyAlignment="1" applyProtection="1">
      <alignment vertical="center"/>
    </xf>
    <xf numFmtId="164" fontId="51" fillId="0" borderId="0" xfId="1" applyNumberFormat="1" applyFont="1" applyFill="1" applyBorder="1" applyAlignment="1" applyProtection="1">
      <alignment horizontal="center" vertical="center"/>
    </xf>
    <xf numFmtId="0" fontId="141" fillId="0" borderId="0" xfId="6" applyFont="1" applyFill="1" applyBorder="1" applyAlignment="1" applyProtection="1">
      <alignment vertical="center"/>
    </xf>
    <xf numFmtId="0" fontId="76" fillId="0" borderId="0" xfId="0" applyFont="1" applyFill="1" applyBorder="1" applyAlignment="1" applyProtection="1">
      <alignment vertical="top"/>
    </xf>
    <xf numFmtId="0" fontId="54" fillId="0" borderId="0" xfId="0" applyFont="1" applyFill="1" applyAlignment="1" applyProtection="1">
      <alignment vertical="top"/>
    </xf>
    <xf numFmtId="0" fontId="54" fillId="0" borderId="14" xfId="0" applyFont="1" applyFill="1" applyBorder="1" applyAlignment="1" applyProtection="1">
      <alignment vertical="top"/>
    </xf>
    <xf numFmtId="0" fontId="71" fillId="0" borderId="86" xfId="0" applyFont="1" applyFill="1" applyBorder="1" applyAlignment="1" applyProtection="1">
      <alignment vertical="center"/>
    </xf>
    <xf numFmtId="0" fontId="71" fillId="0" borderId="86" xfId="0" applyFont="1" applyFill="1" applyBorder="1" applyAlignment="1" applyProtection="1">
      <alignment horizontal="center" vertical="center"/>
    </xf>
    <xf numFmtId="0" fontId="70" fillId="0" borderId="82" xfId="0" applyFont="1" applyFill="1" applyBorder="1" applyAlignment="1" applyProtection="1">
      <alignment horizontal="left" vertical="center"/>
    </xf>
    <xf numFmtId="0" fontId="54" fillId="0" borderId="0" xfId="0" applyNumberFormat="1" applyFont="1" applyFill="1" applyAlignment="1" applyProtection="1">
      <alignment horizontal="center" vertical="center"/>
    </xf>
    <xf numFmtId="0" fontId="13" fillId="0" borderId="0" xfId="1" applyNumberFormat="1" applyFont="1" applyFill="1" applyAlignment="1" applyProtection="1">
      <alignment horizontal="center" vertical="center"/>
    </xf>
    <xf numFmtId="0" fontId="51" fillId="0" borderId="0" xfId="0" applyFont="1" applyFill="1" applyBorder="1" applyAlignment="1" applyProtection="1">
      <alignment horizontal="left"/>
    </xf>
    <xf numFmtId="0" fontId="99" fillId="0" borderId="0" xfId="0" applyFont="1" applyFill="1" applyBorder="1" applyAlignment="1" applyProtection="1">
      <alignment vertical="center"/>
    </xf>
    <xf numFmtId="0" fontId="143" fillId="0" borderId="0" xfId="0" applyFont="1" applyFill="1" applyBorder="1" applyAlignment="1" applyProtection="1">
      <alignment horizontal="left" vertical="center"/>
    </xf>
    <xf numFmtId="10" fontId="24" fillId="0" borderId="3" xfId="0" applyNumberFormat="1" applyFont="1" applyFill="1" applyBorder="1" applyAlignment="1" applyProtection="1">
      <alignment horizontal="center"/>
    </xf>
    <xf numFmtId="164" fontId="132" fillId="19" borderId="18" xfId="14" applyNumberFormat="1" applyBorder="1" applyAlignment="1" applyProtection="1">
      <alignment horizontal="center" vertical="center"/>
    </xf>
    <xf numFmtId="0" fontId="50" fillId="0" borderId="0" xfId="0" applyFont="1" applyFill="1" applyBorder="1" applyAlignment="1" applyProtection="1">
      <alignment vertical="center"/>
    </xf>
    <xf numFmtId="0" fontId="49" fillId="0" borderId="0" xfId="0" applyFont="1" applyFill="1" applyAlignment="1" applyProtection="1">
      <alignment horizontal="center" vertical="center" wrapText="1"/>
    </xf>
    <xf numFmtId="0" fontId="54" fillId="0" borderId="0" xfId="0" applyFont="1" applyFill="1" applyAlignment="1" applyProtection="1">
      <alignment horizontal="center" vertical="center"/>
    </xf>
    <xf numFmtId="0" fontId="54" fillId="0" borderId="9" xfId="0" applyFont="1" applyFill="1" applyBorder="1" applyAlignment="1" applyProtection="1">
      <alignment horizontal="center" vertical="center"/>
    </xf>
    <xf numFmtId="0" fontId="54" fillId="0" borderId="0" xfId="0" applyFont="1" applyFill="1" applyBorder="1" applyAlignment="1" applyProtection="1">
      <alignment horizontal="left"/>
    </xf>
    <xf numFmtId="0" fontId="54" fillId="0" borderId="0" xfId="0" applyFont="1" applyFill="1" applyBorder="1" applyAlignment="1" applyProtection="1">
      <alignment horizontal="left" vertical="center"/>
    </xf>
    <xf numFmtId="0" fontId="54" fillId="0" borderId="14" xfId="0" applyFont="1" applyFill="1" applyBorder="1" applyAlignment="1" applyProtection="1">
      <alignment horizontal="center" vertical="center"/>
    </xf>
    <xf numFmtId="0" fontId="62" fillId="0" borderId="0" xfId="0" applyFont="1" applyFill="1" applyBorder="1" applyAlignment="1" applyProtection="1">
      <alignment horizontal="left"/>
    </xf>
    <xf numFmtId="0" fontId="8" fillId="0" borderId="0" xfId="0" applyFont="1" applyFill="1" applyAlignment="1" applyProtection="1">
      <alignment horizontal="left"/>
    </xf>
    <xf numFmtId="0" fontId="54" fillId="0" borderId="8" xfId="0" applyFont="1" applyFill="1" applyBorder="1" applyAlignment="1" applyProtection="1">
      <alignment vertical="center"/>
    </xf>
    <xf numFmtId="0" fontId="54" fillId="0" borderId="0" xfId="0" applyFont="1" applyFill="1" applyBorder="1" applyAlignment="1" applyProtection="1">
      <alignment vertical="center"/>
    </xf>
    <xf numFmtId="0" fontId="54" fillId="0" borderId="5" xfId="0" applyFont="1" applyFill="1" applyBorder="1" applyAlignment="1" applyProtection="1">
      <alignment vertical="center"/>
    </xf>
    <xf numFmtId="0" fontId="54" fillId="0" borderId="6" xfId="0" applyFont="1" applyFill="1" applyBorder="1" applyAlignment="1" applyProtection="1">
      <alignment vertical="center"/>
    </xf>
    <xf numFmtId="0" fontId="54" fillId="0" borderId="0" xfId="0" applyFont="1" applyFill="1" applyBorder="1" applyAlignment="1" applyProtection="1">
      <alignment horizontal="center" vertical="center"/>
    </xf>
    <xf numFmtId="0" fontId="54" fillId="0" borderId="10" xfId="0" applyFont="1" applyFill="1" applyBorder="1" applyAlignment="1" applyProtection="1">
      <alignment vertical="center"/>
    </xf>
    <xf numFmtId="0" fontId="54" fillId="0" borderId="14" xfId="0" applyFont="1" applyFill="1" applyBorder="1" applyAlignment="1" applyProtection="1">
      <alignment vertical="center"/>
    </xf>
    <xf numFmtId="0" fontId="54" fillId="0" borderId="9" xfId="0" applyFont="1" applyFill="1" applyBorder="1" applyAlignment="1" applyProtection="1">
      <alignment vertical="center"/>
    </xf>
    <xf numFmtId="0" fontId="54" fillId="0" borderId="14" xfId="0" applyFont="1" applyFill="1" applyBorder="1" applyAlignment="1" applyProtection="1">
      <alignment horizontal="left" vertical="center"/>
    </xf>
    <xf numFmtId="0" fontId="54" fillId="0" borderId="7" xfId="0" applyFont="1" applyFill="1" applyBorder="1" applyAlignment="1" applyProtection="1">
      <alignment vertical="center"/>
    </xf>
    <xf numFmtId="0" fontId="54" fillId="0" borderId="86" xfId="0" applyFont="1" applyFill="1" applyBorder="1" applyAlignment="1" applyProtection="1">
      <alignment horizontal="center" vertical="center"/>
    </xf>
    <xf numFmtId="164" fontId="54" fillId="0" borderId="0" xfId="1" applyNumberFormat="1" applyFont="1" applyFill="1" applyBorder="1" applyAlignment="1" applyProtection="1">
      <alignment horizontal="center" vertical="center"/>
    </xf>
    <xf numFmtId="0" fontId="54" fillId="0" borderId="2" xfId="0" applyFont="1" applyFill="1" applyBorder="1" applyAlignment="1" applyProtection="1">
      <alignment horizontal="center" vertical="center"/>
    </xf>
    <xf numFmtId="171" fontId="62" fillId="0" borderId="0" xfId="0" applyNumberFormat="1" applyFont="1" applyFill="1" applyBorder="1" applyAlignment="1" applyProtection="1">
      <alignment horizontal="center" vertical="center"/>
    </xf>
    <xf numFmtId="4" fontId="71" fillId="0" borderId="14" xfId="1" applyNumberFormat="1" applyFont="1" applyFill="1" applyBorder="1" applyAlignment="1" applyProtection="1">
      <alignment horizontal="right" vertical="center"/>
    </xf>
    <xf numFmtId="0" fontId="8" fillId="0" borderId="0" xfId="0" applyFont="1" applyAlignment="1" applyProtection="1">
      <alignment horizontal="center"/>
    </xf>
    <xf numFmtId="0" fontId="10" fillId="0" borderId="0" xfId="0" applyFont="1" applyFill="1" applyAlignment="1" applyProtection="1">
      <alignment horizontal="center" vertical="center"/>
    </xf>
    <xf numFmtId="0" fontId="97"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88" fillId="0" borderId="0" xfId="0" applyNumberFormat="1" applyFont="1" applyAlignment="1" applyProtection="1">
      <alignment horizontal="center" vertical="center" wrapText="1"/>
    </xf>
    <xf numFmtId="0" fontId="30" fillId="0" borderId="0" xfId="0" applyNumberFormat="1" applyFont="1" applyAlignment="1" applyProtection="1">
      <alignment horizontal="center" vertical="center" wrapText="1"/>
    </xf>
    <xf numFmtId="0" fontId="4" fillId="0" borderId="0" xfId="0" applyFont="1" applyFill="1" applyBorder="1" applyAlignment="1" applyProtection="1">
      <alignment horizontal="left" vertical="center" wrapText="1"/>
    </xf>
    <xf numFmtId="0" fontId="8" fillId="0" borderId="0" xfId="0" applyFont="1" applyFill="1" applyAlignment="1" applyProtection="1">
      <alignment horizontal="center"/>
    </xf>
    <xf numFmtId="0" fontId="4" fillId="0" borderId="0" xfId="0" applyFont="1" applyFill="1" applyBorder="1" applyAlignment="1" applyProtection="1">
      <alignment horizontal="left" vertical="top" wrapText="1"/>
    </xf>
    <xf numFmtId="0" fontId="4" fillId="0" borderId="0" xfId="0" applyFont="1" applyFill="1" applyAlignment="1" applyProtection="1">
      <alignment horizontal="left" vertical="top" wrapText="1"/>
    </xf>
    <xf numFmtId="0" fontId="8" fillId="0" borderId="0" xfId="0" applyFont="1" applyFill="1" applyAlignment="1" applyProtection="1">
      <alignment horizontal="left" vertical="center"/>
    </xf>
    <xf numFmtId="0" fontId="14" fillId="0" borderId="0" xfId="0" applyFont="1" applyFill="1" applyBorder="1" applyAlignment="1" applyProtection="1">
      <alignment horizontal="left" vertical="top" wrapText="1"/>
    </xf>
    <xf numFmtId="0" fontId="4" fillId="0" borderId="0" xfId="0" applyFont="1" applyFill="1" applyAlignment="1" applyProtection="1">
      <alignment horizontal="left" vertical="center"/>
    </xf>
    <xf numFmtId="0" fontId="0" fillId="0" borderId="0" xfId="0" applyAlignment="1" applyProtection="1">
      <alignment vertical="center" wrapText="1"/>
    </xf>
    <xf numFmtId="0" fontId="16" fillId="0" borderId="0" xfId="0" applyFont="1" applyAlignment="1" applyProtection="1">
      <alignment horizontal="center"/>
    </xf>
    <xf numFmtId="0" fontId="14" fillId="0" borderId="14" xfId="0" applyFont="1" applyFill="1" applyBorder="1" applyAlignment="1" applyProtection="1">
      <alignment horizontal="left" vertical="center"/>
    </xf>
    <xf numFmtId="0" fontId="49" fillId="0" borderId="0" xfId="0" applyFont="1" applyFill="1" applyAlignment="1" applyProtection="1">
      <alignment horizontal="center" vertical="center" wrapText="1"/>
    </xf>
    <xf numFmtId="0" fontId="141" fillId="0" borderId="0" xfId="6" applyFont="1" applyFill="1" applyBorder="1" applyAlignment="1" applyProtection="1">
      <alignment horizontal="left" vertical="center"/>
    </xf>
    <xf numFmtId="0" fontId="142" fillId="0" borderId="0" xfId="6" applyFont="1" applyFill="1" applyBorder="1" applyAlignment="1" applyProtection="1">
      <alignment horizontal="left" vertical="center"/>
    </xf>
    <xf numFmtId="0" fontId="54" fillId="0" borderId="0" xfId="0" applyFont="1" applyFill="1" applyBorder="1" applyAlignment="1" applyProtection="1">
      <alignment horizontal="left" vertical="center"/>
    </xf>
    <xf numFmtId="0" fontId="110" fillId="5" borderId="37" xfId="0" applyFont="1" applyFill="1" applyBorder="1" applyAlignment="1" applyProtection="1">
      <alignment horizontal="left"/>
    </xf>
    <xf numFmtId="0" fontId="110" fillId="5" borderId="2" xfId="0" applyFont="1" applyFill="1" applyBorder="1" applyAlignment="1" applyProtection="1">
      <alignment horizontal="left"/>
    </xf>
    <xf numFmtId="0" fontId="110" fillId="5" borderId="38" xfId="0" applyFont="1" applyFill="1" applyBorder="1" applyAlignment="1" applyProtection="1">
      <alignment horizontal="left"/>
    </xf>
    <xf numFmtId="0" fontId="54" fillId="0" borderId="0" xfId="0" applyFont="1" applyBorder="1" applyAlignment="1" applyProtection="1">
      <alignment horizontal="left"/>
    </xf>
    <xf numFmtId="0" fontId="62" fillId="0" borderId="0" xfId="0" applyFont="1" applyFill="1" applyBorder="1" applyAlignment="1" applyProtection="1">
      <alignment horizontal="left"/>
    </xf>
    <xf numFmtId="0" fontId="63" fillId="8" borderId="55" xfId="0" applyFont="1" applyFill="1" applyBorder="1" applyAlignment="1" applyProtection="1">
      <alignment horizontal="center" vertical="center"/>
    </xf>
    <xf numFmtId="0" fontId="63" fillId="8" borderId="56" xfId="0" applyFont="1" applyFill="1" applyBorder="1" applyAlignment="1" applyProtection="1">
      <alignment horizontal="center" vertical="center"/>
    </xf>
    <xf numFmtId="0" fontId="63" fillId="8" borderId="57" xfId="0" applyFont="1" applyFill="1" applyBorder="1" applyAlignment="1" applyProtection="1">
      <alignment horizontal="center" vertical="center"/>
    </xf>
    <xf numFmtId="0" fontId="54" fillId="0" borderId="14" xfId="0" applyFont="1" applyFill="1" applyBorder="1" applyAlignment="1" applyProtection="1">
      <alignment horizontal="center" vertical="center"/>
    </xf>
    <xf numFmtId="0" fontId="54" fillId="0" borderId="14" xfId="0" applyFont="1" applyFill="1" applyBorder="1" applyAlignment="1" applyProtection="1">
      <alignment horizontal="center"/>
    </xf>
    <xf numFmtId="42" fontId="54" fillId="0" borderId="37" xfId="2" applyNumberFormat="1" applyFont="1" applyFill="1" applyBorder="1" applyAlignment="1" applyProtection="1">
      <alignment horizontal="center" vertical="center"/>
    </xf>
    <xf numFmtId="42" fontId="54" fillId="0" borderId="38" xfId="2" applyNumberFormat="1" applyFont="1" applyFill="1" applyBorder="1" applyAlignment="1" applyProtection="1">
      <alignment horizontal="center" vertical="center"/>
    </xf>
    <xf numFmtId="42" fontId="12" fillId="0" borderId="37" xfId="2" applyNumberFormat="1" applyFont="1" applyFill="1" applyBorder="1" applyAlignment="1" applyProtection="1">
      <alignment horizontal="center" vertical="center"/>
    </xf>
    <xf numFmtId="42" fontId="12" fillId="0" borderId="38" xfId="2" applyNumberFormat="1" applyFont="1" applyFill="1" applyBorder="1" applyAlignment="1" applyProtection="1">
      <alignment horizontal="center" vertical="center"/>
    </xf>
    <xf numFmtId="0" fontId="62" fillId="0" borderId="87" xfId="0" applyFont="1" applyFill="1" applyBorder="1" applyAlignment="1" applyProtection="1">
      <alignment horizontal="center" vertical="center"/>
    </xf>
    <xf numFmtId="0" fontId="54" fillId="0" borderId="8" xfId="0" applyFont="1" applyFill="1" applyBorder="1" applyAlignment="1" applyProtection="1">
      <alignment horizontal="center" vertical="center"/>
    </xf>
    <xf numFmtId="0" fontId="54" fillId="0" borderId="0" xfId="0" applyFont="1" applyFill="1" applyAlignment="1" applyProtection="1">
      <alignment horizontal="center" vertical="center"/>
    </xf>
    <xf numFmtId="0" fontId="54" fillId="0" borderId="9" xfId="0" applyFont="1" applyFill="1" applyBorder="1" applyAlignment="1" applyProtection="1">
      <alignment horizontal="center" vertical="center"/>
    </xf>
    <xf numFmtId="0" fontId="54" fillId="0" borderId="8" xfId="0" applyFont="1" applyBorder="1" applyAlignment="1" applyProtection="1">
      <alignment horizontal="center"/>
    </xf>
    <xf numFmtId="0" fontId="54" fillId="0" borderId="9" xfId="0" applyFont="1" applyBorder="1" applyAlignment="1" applyProtection="1">
      <alignment horizontal="center"/>
    </xf>
    <xf numFmtId="0" fontId="54" fillId="0" borderId="0" xfId="0" applyFont="1" applyFill="1" applyBorder="1" applyAlignment="1" applyProtection="1">
      <alignment horizontal="center" wrapText="1"/>
    </xf>
    <xf numFmtId="0" fontId="54" fillId="0" borderId="14" xfId="0" applyFont="1" applyBorder="1" applyAlignment="1" applyProtection="1">
      <alignment wrapText="1"/>
    </xf>
    <xf numFmtId="0" fontId="62" fillId="0" borderId="0" xfId="0" applyFont="1" applyFill="1" applyBorder="1" applyAlignment="1" applyProtection="1">
      <alignment horizontal="left" wrapText="1"/>
    </xf>
    <xf numFmtId="0" fontId="54" fillId="0" borderId="0" xfId="0" applyFont="1" applyFill="1" applyBorder="1" applyAlignment="1" applyProtection="1">
      <alignment horizontal="left"/>
    </xf>
    <xf numFmtId="0" fontId="63" fillId="8" borderId="37" xfId="0" applyFont="1" applyFill="1" applyBorder="1" applyAlignment="1" applyProtection="1">
      <alignment horizontal="center" vertical="center"/>
    </xf>
    <xf numFmtId="0" fontId="63" fillId="8" borderId="2" xfId="0" applyFont="1" applyFill="1" applyBorder="1" applyAlignment="1" applyProtection="1">
      <alignment horizontal="center" vertical="center"/>
    </xf>
    <xf numFmtId="0" fontId="63" fillId="8" borderId="38" xfId="0" applyFont="1" applyFill="1" applyBorder="1" applyAlignment="1" applyProtection="1">
      <alignment horizontal="center" vertical="center"/>
    </xf>
    <xf numFmtId="0" fontId="54" fillId="0" borderId="5" xfId="0" applyFont="1" applyFill="1" applyBorder="1" applyAlignment="1" applyProtection="1">
      <alignment horizontal="center" vertical="center" wrapText="1"/>
    </xf>
    <xf numFmtId="0" fontId="53" fillId="0" borderId="11" xfId="0" applyFont="1" applyFill="1" applyBorder="1" applyAlignment="1" applyProtection="1">
      <alignment horizontal="center" vertical="top" wrapText="1"/>
    </xf>
    <xf numFmtId="0" fontId="50" fillId="0" borderId="12" xfId="0" applyFont="1" applyFill="1" applyBorder="1" applyAlignment="1" applyProtection="1">
      <alignment horizontal="center" vertical="top" wrapText="1"/>
    </xf>
    <xf numFmtId="0" fontId="50" fillId="0" borderId="13" xfId="0" applyFont="1" applyFill="1" applyBorder="1" applyAlignment="1" applyProtection="1">
      <alignment horizontal="center" vertical="top" wrapText="1"/>
    </xf>
    <xf numFmtId="0" fontId="62" fillId="0" borderId="11" xfId="0" applyFont="1" applyFill="1" applyBorder="1" applyAlignment="1" applyProtection="1">
      <alignment horizontal="center" vertical="top" wrapText="1"/>
    </xf>
    <xf numFmtId="0" fontId="62" fillId="0" borderId="12" xfId="0" applyFont="1" applyFill="1" applyBorder="1" applyAlignment="1" applyProtection="1">
      <alignment horizontal="center" vertical="top" wrapText="1"/>
    </xf>
    <xf numFmtId="0" fontId="54" fillId="0" borderId="12" xfId="0" applyFont="1" applyFill="1" applyBorder="1" applyAlignment="1" applyProtection="1">
      <alignment horizontal="center" vertical="top" wrapText="1"/>
    </xf>
    <xf numFmtId="0" fontId="54" fillId="0" borderId="13" xfId="0" applyFont="1" applyFill="1" applyBorder="1" applyAlignment="1" applyProtection="1">
      <alignment horizontal="center" vertical="top" wrapText="1"/>
    </xf>
    <xf numFmtId="0" fontId="62" fillId="0" borderId="5" xfId="0" applyFont="1" applyFill="1" applyBorder="1" applyAlignment="1" applyProtection="1">
      <alignment horizontal="center" vertical="top" wrapText="1"/>
    </xf>
    <xf numFmtId="0" fontId="62" fillId="0" borderId="6" xfId="0" applyFont="1" applyFill="1" applyBorder="1" applyAlignment="1" applyProtection="1">
      <alignment horizontal="center" vertical="top" wrapText="1"/>
    </xf>
    <xf numFmtId="0" fontId="62" fillId="0" borderId="7" xfId="0" applyFont="1" applyFill="1" applyBorder="1" applyAlignment="1" applyProtection="1">
      <alignment horizontal="center" vertical="top" wrapText="1"/>
    </xf>
    <xf numFmtId="0" fontId="62" fillId="0" borderId="8" xfId="0" applyFont="1" applyFill="1" applyBorder="1" applyAlignment="1" applyProtection="1">
      <alignment horizontal="center" vertical="top" wrapText="1"/>
    </xf>
    <xf numFmtId="0" fontId="62" fillId="0" borderId="0" xfId="0" applyFont="1" applyFill="1" applyBorder="1" applyAlignment="1" applyProtection="1">
      <alignment horizontal="center" vertical="top" wrapText="1"/>
    </xf>
    <xf numFmtId="0" fontId="62" fillId="0" borderId="9" xfId="0" applyFont="1" applyFill="1" applyBorder="1" applyAlignment="1" applyProtection="1">
      <alignment horizontal="center" vertical="top" wrapText="1"/>
    </xf>
    <xf numFmtId="0" fontId="62" fillId="0" borderId="10" xfId="0" applyFont="1" applyFill="1" applyBorder="1" applyAlignment="1" applyProtection="1">
      <alignment horizontal="center" vertical="top" wrapText="1"/>
    </xf>
    <xf numFmtId="0" fontId="62" fillId="0" borderId="14" xfId="0" applyFont="1" applyFill="1" applyBorder="1" applyAlignment="1" applyProtection="1">
      <alignment horizontal="center" vertical="top" wrapText="1"/>
    </xf>
    <xf numFmtId="0" fontId="62" fillId="0" borderId="15" xfId="0" applyFont="1" applyFill="1" applyBorder="1" applyAlignment="1" applyProtection="1">
      <alignment horizontal="center" vertical="top" wrapText="1"/>
    </xf>
    <xf numFmtId="0" fontId="54" fillId="0" borderId="7" xfId="0" applyFont="1" applyFill="1" applyBorder="1" applyAlignment="1" applyProtection="1">
      <alignment horizontal="center" vertical="top" wrapText="1"/>
    </xf>
    <xf numFmtId="0" fontId="54" fillId="0" borderId="8" xfId="0" applyFont="1" applyFill="1" applyBorder="1" applyAlignment="1" applyProtection="1">
      <alignment horizontal="center" vertical="top" wrapText="1"/>
    </xf>
    <xf numFmtId="0" fontId="54" fillId="0" borderId="9" xfId="0" applyFont="1" applyFill="1" applyBorder="1" applyAlignment="1" applyProtection="1">
      <alignment horizontal="center" vertical="top" wrapText="1"/>
    </xf>
    <xf numFmtId="0" fontId="54" fillId="0" borderId="10" xfId="0" applyFont="1" applyFill="1" applyBorder="1" applyAlignment="1" applyProtection="1">
      <alignment horizontal="center" vertical="top" wrapText="1"/>
    </xf>
    <xf numFmtId="0" fontId="54" fillId="0" borderId="15" xfId="0" applyFont="1" applyFill="1" applyBorder="1" applyAlignment="1" applyProtection="1">
      <alignment horizontal="center" vertical="top" wrapText="1"/>
    </xf>
    <xf numFmtId="0" fontId="54" fillId="0" borderId="7" xfId="0" applyFont="1" applyFill="1" applyBorder="1" applyAlignment="1" applyProtection="1">
      <alignment vertical="top"/>
    </xf>
    <xf numFmtId="0" fontId="54" fillId="0" borderId="9" xfId="0" applyFont="1" applyFill="1" applyBorder="1" applyAlignment="1" applyProtection="1">
      <alignment vertical="top"/>
    </xf>
    <xf numFmtId="0" fontId="54" fillId="0" borderId="8" xfId="0" applyFont="1" applyFill="1" applyBorder="1" applyAlignment="1" applyProtection="1">
      <alignment vertical="top"/>
    </xf>
    <xf numFmtId="0" fontId="54" fillId="0" borderId="10" xfId="0" applyFont="1" applyFill="1" applyBorder="1" applyAlignment="1" applyProtection="1">
      <alignment vertical="top"/>
    </xf>
    <xf numFmtId="0" fontId="54" fillId="0" borderId="15" xfId="0" applyFont="1" applyFill="1" applyBorder="1" applyAlignment="1" applyProtection="1">
      <alignment vertical="top"/>
    </xf>
    <xf numFmtId="0" fontId="54" fillId="0" borderId="7" xfId="0" applyFont="1" applyBorder="1" applyAlignment="1" applyProtection="1">
      <alignment vertical="top"/>
    </xf>
    <xf numFmtId="0" fontId="54" fillId="0" borderId="9" xfId="0" applyFont="1" applyBorder="1" applyAlignment="1" applyProtection="1">
      <alignment vertical="top"/>
    </xf>
    <xf numFmtId="0" fontId="54" fillId="0" borderId="8" xfId="0" applyFont="1" applyBorder="1" applyAlignment="1" applyProtection="1">
      <alignment vertical="top"/>
    </xf>
    <xf numFmtId="0" fontId="54" fillId="0" borderId="10" xfId="0" applyFont="1" applyBorder="1" applyAlignment="1" applyProtection="1">
      <alignment vertical="top"/>
    </xf>
    <xf numFmtId="0" fontId="54" fillId="0" borderId="15" xfId="0" applyFont="1" applyBorder="1" applyAlignment="1" applyProtection="1">
      <alignment vertical="top"/>
    </xf>
    <xf numFmtId="174" fontId="62" fillId="0" borderId="34" xfId="10" applyNumberFormat="1" applyFont="1" applyFill="1" applyBorder="1" applyAlignment="1" applyProtection="1">
      <alignment horizontal="right" vertical="center"/>
    </xf>
    <xf numFmtId="174" fontId="62" fillId="0" borderId="35" xfId="0" applyNumberFormat="1" applyFont="1" applyFill="1" applyBorder="1" applyAlignment="1" applyProtection="1">
      <alignment horizontal="right"/>
    </xf>
    <xf numFmtId="38" fontId="62" fillId="0" borderId="37" xfId="2" applyNumberFormat="1" applyFont="1" applyFill="1" applyBorder="1" applyAlignment="1" applyProtection="1">
      <alignment horizontal="center" vertical="center"/>
    </xf>
    <xf numFmtId="38" fontId="62" fillId="0" borderId="38" xfId="2" applyNumberFormat="1" applyFont="1" applyFill="1" applyBorder="1" applyAlignment="1" applyProtection="1">
      <alignment horizontal="center" vertical="center"/>
    </xf>
    <xf numFmtId="38" fontId="62" fillId="0" borderId="10" xfId="2" applyNumberFormat="1" applyFont="1" applyFill="1" applyBorder="1" applyAlignment="1" applyProtection="1">
      <alignment horizontal="center" vertical="center"/>
    </xf>
    <xf numFmtId="38" fontId="62" fillId="0" borderId="15" xfId="2" applyNumberFormat="1" applyFont="1" applyFill="1" applyBorder="1" applyAlignment="1" applyProtection="1">
      <alignment horizontal="center" vertical="center"/>
    </xf>
    <xf numFmtId="0" fontId="54" fillId="0" borderId="86" xfId="0" applyFont="1" applyFill="1" applyBorder="1" applyAlignment="1" applyProtection="1">
      <alignment horizontal="center" vertical="center"/>
    </xf>
    <xf numFmtId="0" fontId="54" fillId="0" borderId="8" xfId="0" applyFont="1" applyFill="1" applyBorder="1" applyAlignment="1" applyProtection="1">
      <alignment vertical="center"/>
    </xf>
    <xf numFmtId="0" fontId="54" fillId="0" borderId="0" xfId="0" applyFont="1" applyFill="1" applyBorder="1" applyAlignment="1" applyProtection="1">
      <alignment vertical="center"/>
    </xf>
    <xf numFmtId="0" fontId="54" fillId="0" borderId="5" xfId="0" applyFont="1" applyFill="1" applyBorder="1" applyAlignment="1" applyProtection="1">
      <alignment vertical="center"/>
    </xf>
    <xf numFmtId="0" fontId="54" fillId="0" borderId="6" xfId="0" applyFont="1" applyFill="1" applyBorder="1" applyAlignment="1" applyProtection="1">
      <alignment vertical="center"/>
    </xf>
    <xf numFmtId="38" fontId="54" fillId="0" borderId="86" xfId="2" applyNumberFormat="1" applyFont="1" applyFill="1" applyBorder="1" applyAlignment="1" applyProtection="1">
      <alignment horizontal="center" vertical="center"/>
    </xf>
    <xf numFmtId="0" fontId="54" fillId="0" borderId="7" xfId="0" applyFont="1" applyFill="1" applyBorder="1" applyAlignment="1" applyProtection="1">
      <alignment vertical="center"/>
    </xf>
    <xf numFmtId="0" fontId="54" fillId="0" borderId="9" xfId="0" applyFont="1" applyFill="1" applyBorder="1" applyAlignment="1" applyProtection="1">
      <alignment vertical="center"/>
    </xf>
    <xf numFmtId="0" fontId="54" fillId="0" borderId="14" xfId="0" applyFont="1" applyFill="1" applyBorder="1" applyAlignment="1" applyProtection="1">
      <alignment horizontal="left" vertical="center"/>
    </xf>
    <xf numFmtId="38" fontId="62" fillId="0" borderId="58" xfId="0" applyNumberFormat="1" applyFont="1" applyFill="1" applyBorder="1" applyAlignment="1" applyProtection="1">
      <alignment horizontal="center" vertical="center"/>
    </xf>
    <xf numFmtId="38" fontId="62" fillId="0" borderId="36" xfId="0" applyNumberFormat="1" applyFont="1" applyFill="1" applyBorder="1" applyAlignment="1" applyProtection="1">
      <alignment horizontal="center" vertical="center"/>
    </xf>
    <xf numFmtId="0" fontId="54" fillId="0" borderId="8" xfId="0" applyFont="1" applyFill="1" applyBorder="1" applyAlignment="1" applyProtection="1">
      <alignment horizontal="left" wrapText="1"/>
    </xf>
    <xf numFmtId="0" fontId="54" fillId="0" borderId="0" xfId="0" applyFont="1" applyFill="1" applyAlignment="1" applyProtection="1">
      <alignment horizontal="left" wrapText="1"/>
    </xf>
    <xf numFmtId="0" fontId="54" fillId="0" borderId="0" xfId="0" applyFont="1" applyFill="1" applyBorder="1" applyAlignment="1" applyProtection="1">
      <alignment horizontal="center" vertical="center"/>
    </xf>
    <xf numFmtId="166" fontId="54" fillId="0" borderId="8" xfId="10" applyNumberFormat="1" applyFont="1" applyFill="1" applyBorder="1" applyAlignment="1" applyProtection="1">
      <alignment vertical="center"/>
    </xf>
    <xf numFmtId="166" fontId="54" fillId="0" borderId="0" xfId="10" applyNumberFormat="1" applyFont="1" applyFill="1" applyBorder="1" applyAlignment="1" applyProtection="1">
      <alignment vertical="center"/>
    </xf>
    <xf numFmtId="38" fontId="62" fillId="0" borderId="37" xfId="2" applyNumberFormat="1" applyFont="1" applyFill="1" applyBorder="1" applyAlignment="1" applyProtection="1">
      <alignment horizontal="right" vertical="center"/>
    </xf>
    <xf numFmtId="38" fontId="62" fillId="0" borderId="38" xfId="2" applyNumberFormat="1" applyFont="1" applyFill="1" applyBorder="1" applyAlignment="1" applyProtection="1">
      <alignment horizontal="right" vertical="center"/>
    </xf>
    <xf numFmtId="38" fontId="62" fillId="0" borderId="37" xfId="0" applyNumberFormat="1" applyFont="1" applyFill="1" applyBorder="1" applyAlignment="1" applyProtection="1">
      <alignment horizontal="right" vertical="center"/>
    </xf>
    <xf numFmtId="38" fontId="62" fillId="0" borderId="38" xfId="0" applyNumberFormat="1" applyFont="1" applyFill="1" applyBorder="1" applyAlignment="1" applyProtection="1">
      <alignment horizontal="right" vertical="center"/>
    </xf>
    <xf numFmtId="0" fontId="8" fillId="0" borderId="0" xfId="0" applyFont="1" applyFill="1" applyAlignment="1" applyProtection="1">
      <alignment horizontal="left"/>
    </xf>
    <xf numFmtId="0" fontId="54" fillId="0" borderId="0" xfId="0" applyFont="1" applyFill="1" applyAlignment="1" applyProtection="1">
      <alignment horizontal="center" vertical="center" wrapText="1"/>
    </xf>
    <xf numFmtId="0" fontId="54" fillId="0" borderId="14" xfId="0" applyFont="1" applyFill="1" applyBorder="1" applyAlignment="1" applyProtection="1">
      <alignment horizontal="center" vertical="center" wrapText="1"/>
    </xf>
    <xf numFmtId="4" fontId="50" fillId="0" borderId="0" xfId="0" applyNumberFormat="1" applyFont="1" applyFill="1" applyBorder="1" applyAlignment="1" applyProtection="1">
      <alignment horizontal="center" vertical="center"/>
    </xf>
    <xf numFmtId="0" fontId="73" fillId="0" borderId="0" xfId="0" quotePrefix="1" applyFont="1" applyFill="1" applyBorder="1" applyAlignment="1" applyProtection="1">
      <alignment horizontal="center" vertical="center"/>
    </xf>
    <xf numFmtId="0" fontId="84" fillId="0" borderId="8" xfId="0" applyFont="1" applyFill="1" applyBorder="1" applyAlignment="1" applyProtection="1">
      <alignment horizontal="center" vertical="center"/>
    </xf>
    <xf numFmtId="0" fontId="84" fillId="0" borderId="0" xfId="0" applyFont="1" applyFill="1" applyBorder="1" applyAlignment="1" applyProtection="1">
      <alignment horizontal="center" vertical="center"/>
    </xf>
    <xf numFmtId="3" fontId="50" fillId="0" borderId="8" xfId="0" applyNumberFormat="1" applyFont="1" applyFill="1" applyBorder="1" applyAlignment="1" applyProtection="1">
      <alignment horizontal="center" vertical="center"/>
    </xf>
    <xf numFmtId="3" fontId="50" fillId="0" borderId="0" xfId="0" applyNumberFormat="1" applyFont="1" applyFill="1" applyBorder="1" applyAlignment="1" applyProtection="1">
      <alignment horizontal="center" vertical="center"/>
    </xf>
    <xf numFmtId="0" fontId="49" fillId="0" borderId="0" xfId="0" applyFont="1" applyFill="1" applyAlignment="1" applyProtection="1">
      <alignment horizontal="left" vertical="center" wrapText="1"/>
    </xf>
    <xf numFmtId="0" fontId="101" fillId="12" borderId="0" xfId="0" applyFont="1" applyFill="1" applyAlignment="1" applyProtection="1">
      <alignment horizontal="center" vertical="center"/>
    </xf>
    <xf numFmtId="0" fontId="54" fillId="0" borderId="10" xfId="0" applyFont="1" applyFill="1" applyBorder="1" applyAlignment="1" applyProtection="1">
      <alignment vertical="center"/>
    </xf>
    <xf numFmtId="0" fontId="54" fillId="0" borderId="14" xfId="0" applyFont="1" applyFill="1" applyBorder="1" applyAlignment="1" applyProtection="1">
      <alignment vertical="center"/>
    </xf>
    <xf numFmtId="0" fontId="30" fillId="8" borderId="37" xfId="0" applyFont="1" applyFill="1" applyBorder="1" applyAlignment="1" applyProtection="1">
      <alignment horizontal="center" vertical="center"/>
    </xf>
    <xf numFmtId="0" fontId="30" fillId="8" borderId="2" xfId="0" applyFont="1" applyFill="1" applyBorder="1" applyAlignment="1" applyProtection="1">
      <alignment horizontal="center" vertical="center"/>
    </xf>
    <xf numFmtId="0" fontId="30" fillId="8" borderId="38" xfId="0" applyFont="1" applyFill="1" applyBorder="1" applyAlignment="1" applyProtection="1">
      <alignment horizontal="center" vertical="center"/>
    </xf>
    <xf numFmtId="8" fontId="12" fillId="0" borderId="0" xfId="0" applyNumberFormat="1" applyFont="1" applyBorder="1" applyAlignment="1" applyProtection="1">
      <alignment horizontal="center"/>
    </xf>
    <xf numFmtId="8" fontId="12" fillId="0" borderId="21" xfId="0" applyNumberFormat="1" applyFont="1" applyBorder="1" applyAlignment="1" applyProtection="1">
      <alignment horizontal="center"/>
    </xf>
    <xf numFmtId="8" fontId="12" fillId="0" borderId="20" xfId="0" applyNumberFormat="1" applyFont="1" applyBorder="1" applyAlignment="1" applyProtection="1">
      <alignment horizontal="center"/>
    </xf>
    <xf numFmtId="0" fontId="8" fillId="0" borderId="14" xfId="0" applyFont="1" applyBorder="1" applyAlignment="1" applyProtection="1">
      <alignment horizontal="center" vertical="center" wrapText="1"/>
    </xf>
    <xf numFmtId="0" fontId="19" fillId="0" borderId="0" xfId="0" applyFont="1" applyAlignment="1" applyProtection="1">
      <alignment horizontal="center" vertical="center"/>
    </xf>
    <xf numFmtId="0" fontId="26" fillId="0" borderId="0" xfId="0" applyFont="1" applyAlignment="1" applyProtection="1">
      <alignment horizontal="center"/>
    </xf>
    <xf numFmtId="0" fontId="26" fillId="0" borderId="0" xfId="0" applyFont="1" applyFill="1" applyAlignment="1" applyProtection="1">
      <alignment horizontal="center"/>
    </xf>
    <xf numFmtId="0" fontId="26" fillId="0" borderId="0" xfId="0" applyFont="1" applyFill="1" applyAlignment="1" applyProtection="1">
      <alignment horizontal="center" vertical="top" wrapText="1"/>
    </xf>
    <xf numFmtId="8" fontId="12" fillId="0" borderId="6" xfId="0" applyNumberFormat="1" applyFont="1" applyBorder="1" applyAlignment="1" applyProtection="1">
      <alignment horizontal="center"/>
    </xf>
    <xf numFmtId="0" fontId="27" fillId="0" borderId="0" xfId="0" applyFont="1" applyAlignment="1" applyProtection="1">
      <alignment horizontal="justify" vertical="top" wrapText="1"/>
    </xf>
    <xf numFmtId="0" fontId="0" fillId="0" borderId="0" xfId="0" applyAlignment="1" applyProtection="1">
      <alignment horizontal="justify" vertical="top" wrapText="1"/>
    </xf>
    <xf numFmtId="0" fontId="8" fillId="0" borderId="0" xfId="0" applyFont="1" applyAlignment="1" applyProtection="1">
      <alignment horizontal="center" wrapText="1"/>
    </xf>
    <xf numFmtId="0" fontId="0" fillId="0" borderId="0" xfId="0" applyAlignment="1" applyProtection="1">
      <alignment horizontal="center" wrapText="1"/>
    </xf>
    <xf numFmtId="164" fontId="54" fillId="0" borderId="62" xfId="1" applyNumberFormat="1" applyFont="1" applyFill="1" applyBorder="1" applyAlignment="1" applyProtection="1">
      <alignment horizontal="right" vertical="center"/>
    </xf>
    <xf numFmtId="0" fontId="54" fillId="0" borderId="63" xfId="0" applyFont="1" applyBorder="1" applyProtection="1"/>
    <xf numFmtId="164" fontId="54" fillId="0" borderId="69" xfId="1" applyNumberFormat="1" applyFont="1" applyFill="1" applyBorder="1" applyAlignment="1" applyProtection="1">
      <alignment horizontal="right" vertical="center"/>
    </xf>
    <xf numFmtId="0" fontId="62" fillId="0" borderId="0" xfId="0" applyFont="1" applyFill="1" applyAlignment="1" applyProtection="1">
      <alignment horizontal="left"/>
    </xf>
    <xf numFmtId="164" fontId="54" fillId="0" borderId="63" xfId="1" applyNumberFormat="1" applyFont="1" applyFill="1" applyBorder="1" applyAlignment="1" applyProtection="1">
      <alignment horizontal="right" vertical="center"/>
    </xf>
    <xf numFmtId="164" fontId="54" fillId="0" borderId="0" xfId="1" applyNumberFormat="1" applyFont="1" applyFill="1" applyBorder="1" applyAlignment="1" applyProtection="1">
      <alignment horizontal="center" vertical="center"/>
    </xf>
    <xf numFmtId="0" fontId="62" fillId="0" borderId="64" xfId="0" applyFont="1" applyFill="1" applyBorder="1" applyAlignment="1" applyProtection="1">
      <alignment horizontal="center" vertical="center" wrapText="1"/>
    </xf>
    <xf numFmtId="0" fontId="62" fillId="0" borderId="65" xfId="0" applyFont="1" applyFill="1" applyBorder="1" applyAlignment="1" applyProtection="1">
      <alignment horizontal="center" vertical="center" wrapText="1"/>
    </xf>
    <xf numFmtId="0" fontId="62" fillId="0" borderId="47" xfId="0" applyFont="1" applyFill="1" applyBorder="1" applyAlignment="1" applyProtection="1">
      <alignment horizontal="center" vertical="center" wrapText="1"/>
    </xf>
    <xf numFmtId="0" fontId="62" fillId="0" borderId="66" xfId="0" applyFont="1" applyFill="1" applyBorder="1" applyAlignment="1" applyProtection="1">
      <alignment horizontal="center" vertical="center" wrapText="1"/>
    </xf>
    <xf numFmtId="164" fontId="62" fillId="0" borderId="58" xfId="1" applyNumberFormat="1" applyFont="1" applyFill="1" applyBorder="1" applyAlignment="1" applyProtection="1">
      <alignment horizontal="center" vertical="center"/>
    </xf>
    <xf numFmtId="164" fontId="62" fillId="0" borderId="36" xfId="1" applyNumberFormat="1" applyFont="1" applyFill="1" applyBorder="1" applyAlignment="1" applyProtection="1">
      <alignment horizontal="center" vertical="center"/>
    </xf>
    <xf numFmtId="38" fontId="54" fillId="0" borderId="37" xfId="0" applyNumberFormat="1" applyFont="1" applyFill="1" applyBorder="1" applyAlignment="1" applyProtection="1">
      <alignment horizontal="center" vertical="center"/>
    </xf>
    <xf numFmtId="38" fontId="54" fillId="0" borderId="38" xfId="0" applyNumberFormat="1" applyFont="1" applyFill="1" applyBorder="1" applyAlignment="1" applyProtection="1">
      <alignment horizontal="center" vertical="center"/>
    </xf>
    <xf numFmtId="10" fontId="62" fillId="0" borderId="37" xfId="0" applyNumberFormat="1" applyFont="1" applyFill="1" applyBorder="1" applyAlignment="1" applyProtection="1">
      <alignment horizontal="center" vertical="center"/>
    </xf>
    <xf numFmtId="10" fontId="62" fillId="0" borderId="38" xfId="0" applyNumberFormat="1" applyFont="1" applyFill="1" applyBorder="1" applyAlignment="1" applyProtection="1">
      <alignment horizontal="center" vertical="center"/>
    </xf>
    <xf numFmtId="38" fontId="54" fillId="0" borderId="2" xfId="0" applyNumberFormat="1" applyFont="1" applyFill="1" applyBorder="1" applyAlignment="1" applyProtection="1">
      <alignment horizontal="center" vertical="center"/>
    </xf>
    <xf numFmtId="4" fontId="54" fillId="0" borderId="86" xfId="1" applyNumberFormat="1" applyFont="1" applyFill="1" applyBorder="1" applyAlignment="1" applyProtection="1">
      <alignment vertical="center"/>
    </xf>
    <xf numFmtId="4" fontId="54" fillId="0" borderId="83" xfId="1" applyNumberFormat="1" applyFont="1" applyFill="1" applyBorder="1" applyAlignment="1" applyProtection="1">
      <alignment vertical="center"/>
    </xf>
    <xf numFmtId="0" fontId="62" fillId="0" borderId="58" xfId="0" applyFont="1" applyFill="1" applyBorder="1" applyAlignment="1" applyProtection="1">
      <alignment horizontal="center" vertical="center"/>
    </xf>
    <xf numFmtId="0" fontId="62" fillId="0" borderId="36" xfId="0" applyFont="1" applyFill="1" applyBorder="1" applyAlignment="1" applyProtection="1">
      <alignment horizontal="center" vertical="center"/>
    </xf>
    <xf numFmtId="4" fontId="71" fillId="0" borderId="10" xfId="0" applyNumberFormat="1" applyFont="1" applyFill="1" applyBorder="1" applyAlignment="1" applyProtection="1">
      <alignment horizontal="left" vertical="center"/>
    </xf>
    <xf numFmtId="4" fontId="71" fillId="0" borderId="14" xfId="0" applyNumberFormat="1" applyFont="1" applyFill="1" applyBorder="1" applyAlignment="1" applyProtection="1">
      <alignment horizontal="left" vertical="center"/>
    </xf>
    <xf numFmtId="164" fontId="71" fillId="0" borderId="0" xfId="1" applyNumberFormat="1" applyFont="1" applyFill="1" applyAlignment="1" applyProtection="1">
      <alignment horizontal="center" vertical="center"/>
    </xf>
    <xf numFmtId="164" fontId="71" fillId="0" borderId="9" xfId="1" applyNumberFormat="1" applyFont="1" applyFill="1" applyBorder="1" applyAlignment="1" applyProtection="1">
      <alignment horizontal="center" vertical="center"/>
    </xf>
    <xf numFmtId="164" fontId="62" fillId="0" borderId="64" xfId="1" applyNumberFormat="1" applyFont="1" applyFill="1" applyBorder="1" applyAlignment="1" applyProtection="1">
      <alignment horizontal="center" vertical="center" wrapText="1"/>
    </xf>
    <xf numFmtId="164" fontId="62" fillId="0" borderId="65" xfId="1" applyNumberFormat="1" applyFont="1" applyFill="1" applyBorder="1" applyAlignment="1" applyProtection="1">
      <alignment horizontal="center" vertical="center" wrapText="1"/>
    </xf>
    <xf numFmtId="164" fontId="62" fillId="0" borderId="47" xfId="1" applyNumberFormat="1" applyFont="1" applyFill="1" applyBorder="1" applyAlignment="1" applyProtection="1">
      <alignment horizontal="center" vertical="center" wrapText="1"/>
    </xf>
    <xf numFmtId="164" fontId="62" fillId="0" borderId="66" xfId="1" applyNumberFormat="1" applyFont="1" applyFill="1" applyBorder="1" applyAlignment="1" applyProtection="1">
      <alignment horizontal="center" vertical="center" wrapText="1"/>
    </xf>
    <xf numFmtId="4" fontId="71" fillId="0" borderId="89" xfId="1" applyNumberFormat="1" applyFont="1" applyFill="1" applyBorder="1" applyAlignment="1" applyProtection="1">
      <alignment horizontal="right" vertical="center"/>
    </xf>
    <xf numFmtId="0" fontId="100" fillId="14" borderId="0" xfId="0" applyFont="1" applyFill="1" applyAlignment="1" applyProtection="1">
      <alignment horizontal="center" vertical="center"/>
    </xf>
    <xf numFmtId="0" fontId="63" fillId="8" borderId="8" xfId="0" applyFont="1" applyFill="1" applyBorder="1" applyAlignment="1" applyProtection="1">
      <alignment horizontal="center" vertical="center"/>
    </xf>
    <xf numFmtId="0" fontId="63" fillId="8" borderId="0" xfId="0" applyFont="1" applyFill="1" applyBorder="1" applyAlignment="1" applyProtection="1">
      <alignment horizontal="center" vertical="center"/>
    </xf>
    <xf numFmtId="4" fontId="71" fillId="0" borderId="14" xfId="1" applyNumberFormat="1" applyFont="1" applyFill="1" applyBorder="1" applyAlignment="1" applyProtection="1">
      <alignment horizontal="right" vertical="center"/>
    </xf>
    <xf numFmtId="0" fontId="54" fillId="0" borderId="84" xfId="0" applyFont="1" applyFill="1" applyBorder="1" applyAlignment="1" applyProtection="1">
      <alignment horizontal="center" vertical="center" wrapText="1"/>
    </xf>
    <xf numFmtId="0" fontId="54" fillId="0" borderId="10" xfId="0" applyFont="1" applyFill="1" applyBorder="1" applyAlignment="1" applyProtection="1">
      <alignment horizontal="center" vertical="center" wrapText="1"/>
    </xf>
    <xf numFmtId="38" fontId="62" fillId="0" borderId="37" xfId="0" applyNumberFormat="1" applyFont="1" applyFill="1" applyBorder="1" applyAlignment="1" applyProtection="1">
      <alignment horizontal="center" vertical="center"/>
    </xf>
    <xf numFmtId="38" fontId="62" fillId="0" borderId="2" xfId="0" applyNumberFormat="1" applyFont="1" applyFill="1" applyBorder="1" applyAlignment="1" applyProtection="1">
      <alignment horizontal="center" vertical="center"/>
    </xf>
    <xf numFmtId="38" fontId="62" fillId="0" borderId="38" xfId="0" applyNumberFormat="1" applyFont="1" applyFill="1" applyBorder="1" applyAlignment="1" applyProtection="1">
      <alignment horizontal="center" vertical="center"/>
    </xf>
    <xf numFmtId="0" fontId="74" fillId="0" borderId="64" xfId="0" applyFont="1" applyFill="1" applyBorder="1" applyAlignment="1" applyProtection="1">
      <alignment horizontal="justify" vertical="top" wrapText="1"/>
    </xf>
    <xf numFmtId="0" fontId="74" fillId="0" borderId="74" xfId="0" applyFont="1" applyFill="1" applyBorder="1" applyAlignment="1" applyProtection="1">
      <alignment horizontal="justify" vertical="top" wrapText="1"/>
    </xf>
    <xf numFmtId="0" fontId="74" fillId="0" borderId="65" xfId="0" applyFont="1" applyFill="1" applyBorder="1" applyAlignment="1" applyProtection="1">
      <alignment horizontal="justify" vertical="top" wrapText="1"/>
    </xf>
    <xf numFmtId="0" fontId="74" fillId="0" borderId="46" xfId="0" applyFont="1" applyFill="1" applyBorder="1" applyAlignment="1" applyProtection="1">
      <alignment horizontal="justify" vertical="top" wrapText="1"/>
    </xf>
    <xf numFmtId="0" fontId="74" fillId="0" borderId="0" xfId="0" applyFont="1" applyFill="1" applyBorder="1" applyAlignment="1" applyProtection="1">
      <alignment horizontal="justify" vertical="top" wrapText="1"/>
    </xf>
    <xf numFmtId="0" fontId="74" fillId="0" borderId="49" xfId="0" applyFont="1" applyFill="1" applyBorder="1" applyAlignment="1" applyProtection="1">
      <alignment horizontal="justify" vertical="top" wrapText="1"/>
    </xf>
    <xf numFmtId="0" fontId="74" fillId="0" borderId="64" xfId="0" applyFont="1" applyFill="1" applyBorder="1" applyAlignment="1" applyProtection="1">
      <alignment horizontal="center" vertical="center" wrapText="1"/>
    </xf>
    <xf numFmtId="0" fontId="74" fillId="0" borderId="65" xfId="0" applyFont="1" applyFill="1" applyBorder="1" applyAlignment="1" applyProtection="1">
      <alignment horizontal="center" vertical="center" wrapText="1"/>
    </xf>
    <xf numFmtId="0" fontId="74" fillId="0" borderId="46" xfId="0" applyFont="1" applyFill="1" applyBorder="1" applyAlignment="1" applyProtection="1">
      <alignment horizontal="center" vertical="center" wrapText="1"/>
    </xf>
    <xf numFmtId="0" fontId="74" fillId="0" borderId="49" xfId="0" applyFont="1" applyFill="1" applyBorder="1" applyAlignment="1" applyProtection="1">
      <alignment horizontal="center" vertical="center" wrapText="1"/>
    </xf>
    <xf numFmtId="0" fontId="90" fillId="0" borderId="0" xfId="0" applyFont="1" applyFill="1" applyBorder="1" applyAlignment="1" applyProtection="1">
      <alignment horizontal="center" vertical="center"/>
    </xf>
    <xf numFmtId="0" fontId="90" fillId="0" borderId="9" xfId="0" applyFont="1" applyFill="1" applyBorder="1" applyAlignment="1" applyProtection="1">
      <alignment horizontal="center" vertical="center"/>
    </xf>
    <xf numFmtId="3" fontId="54" fillId="0" borderId="82" xfId="1" applyNumberFormat="1" applyFont="1" applyFill="1" applyBorder="1" applyAlignment="1" applyProtection="1">
      <alignment horizontal="center" vertical="center"/>
    </xf>
    <xf numFmtId="3" fontId="54" fillId="0" borderId="86" xfId="1" applyNumberFormat="1" applyFont="1" applyFill="1" applyBorder="1" applyAlignment="1" applyProtection="1">
      <alignment horizontal="center" vertical="center"/>
    </xf>
    <xf numFmtId="3" fontId="54" fillId="0" borderId="83" xfId="1" applyNumberFormat="1" applyFont="1" applyFill="1" applyBorder="1" applyAlignment="1" applyProtection="1">
      <alignment horizontal="center" vertical="center"/>
    </xf>
    <xf numFmtId="38" fontId="62" fillId="0" borderId="1" xfId="0" applyNumberFormat="1" applyFont="1" applyFill="1" applyBorder="1" applyAlignment="1" applyProtection="1">
      <alignment horizontal="center" vertical="center"/>
    </xf>
    <xf numFmtId="38" fontId="54" fillId="0" borderId="86" xfId="0" applyNumberFormat="1" applyFont="1" applyFill="1" applyBorder="1" applyAlignment="1" applyProtection="1">
      <alignment horizontal="center" vertical="center"/>
    </xf>
    <xf numFmtId="38" fontId="50" fillId="0" borderId="91" xfId="0" applyNumberFormat="1" applyFont="1" applyFill="1" applyBorder="1" applyAlignment="1" applyProtection="1">
      <alignment horizontal="center" vertical="center"/>
    </xf>
    <xf numFmtId="38" fontId="50" fillId="0" borderId="48" xfId="0" applyNumberFormat="1" applyFont="1" applyFill="1" applyBorder="1" applyAlignment="1" applyProtection="1">
      <alignment horizontal="center" vertical="center"/>
    </xf>
    <xf numFmtId="168" fontId="54" fillId="0" borderId="75" xfId="0" applyNumberFormat="1" applyFont="1" applyFill="1" applyBorder="1" applyAlignment="1" applyProtection="1">
      <alignment horizontal="center" vertical="center"/>
    </xf>
    <xf numFmtId="168" fontId="54" fillId="0" borderId="76" xfId="0" applyNumberFormat="1" applyFont="1" applyFill="1" applyBorder="1" applyAlignment="1" applyProtection="1">
      <alignment horizontal="center" vertical="center"/>
    </xf>
    <xf numFmtId="168" fontId="54" fillId="0" borderId="77" xfId="0" applyNumberFormat="1" applyFont="1" applyFill="1" applyBorder="1" applyAlignment="1" applyProtection="1">
      <alignment horizontal="center" vertical="center"/>
    </xf>
    <xf numFmtId="171" fontId="62" fillId="0" borderId="0" xfId="0" applyNumberFormat="1" applyFont="1" applyFill="1" applyBorder="1" applyAlignment="1" applyProtection="1">
      <alignment horizontal="center" vertical="center"/>
    </xf>
    <xf numFmtId="38" fontId="54" fillId="0" borderId="5" xfId="0" applyNumberFormat="1" applyFont="1" applyFill="1" applyBorder="1" applyAlignment="1" applyProtection="1">
      <alignment horizontal="center" vertical="center"/>
    </xf>
    <xf numFmtId="38" fontId="54" fillId="0" borderId="7" xfId="0" applyNumberFormat="1" applyFont="1" applyFill="1" applyBorder="1" applyAlignment="1" applyProtection="1">
      <alignment horizontal="center" vertical="center"/>
    </xf>
    <xf numFmtId="10" fontId="54" fillId="0" borderId="2" xfId="0" applyNumberFormat="1" applyFont="1" applyFill="1" applyBorder="1" applyAlignment="1" applyProtection="1">
      <alignment horizontal="center" vertical="center"/>
    </xf>
    <xf numFmtId="38" fontId="54" fillId="0" borderId="72" xfId="0" applyNumberFormat="1" applyFont="1" applyFill="1" applyBorder="1" applyAlignment="1" applyProtection="1">
      <alignment horizontal="center" vertical="center"/>
    </xf>
    <xf numFmtId="38" fontId="54" fillId="0" borderId="73" xfId="0" applyNumberFormat="1" applyFont="1" applyFill="1" applyBorder="1" applyAlignment="1" applyProtection="1">
      <alignment horizontal="center" vertical="center"/>
    </xf>
    <xf numFmtId="38" fontId="54" fillId="0" borderId="70" xfId="0" applyNumberFormat="1" applyFont="1" applyFill="1" applyBorder="1" applyAlignment="1" applyProtection="1">
      <alignment horizontal="center" vertical="center"/>
    </xf>
    <xf numFmtId="38" fontId="54" fillId="0" borderId="71" xfId="0" applyNumberFormat="1" applyFont="1" applyFill="1" applyBorder="1" applyAlignment="1" applyProtection="1">
      <alignment horizontal="center" vertical="center"/>
    </xf>
    <xf numFmtId="0" fontId="54" fillId="0" borderId="2" xfId="0" applyFont="1" applyFill="1" applyBorder="1" applyAlignment="1" applyProtection="1">
      <alignment horizontal="center" vertical="center"/>
    </xf>
    <xf numFmtId="0" fontId="50" fillId="0" borderId="92" xfId="0" applyFont="1" applyFill="1" applyBorder="1" applyAlignment="1" applyProtection="1">
      <alignment horizontal="center" vertical="center"/>
    </xf>
    <xf numFmtId="0" fontId="50" fillId="0" borderId="93" xfId="0" applyFont="1" applyFill="1" applyBorder="1" applyAlignment="1" applyProtection="1">
      <alignment horizontal="center" vertical="center"/>
    </xf>
    <xf numFmtId="0" fontId="30" fillId="8" borderId="8" xfId="0" applyFont="1" applyFill="1" applyBorder="1" applyAlignment="1" applyProtection="1">
      <alignment horizontal="center" vertical="center"/>
    </xf>
    <xf numFmtId="0" fontId="30" fillId="8" borderId="0" xfId="0" applyFont="1" applyFill="1" applyBorder="1" applyAlignment="1" applyProtection="1">
      <alignment horizontal="center" vertical="center"/>
    </xf>
    <xf numFmtId="0" fontId="8" fillId="0" borderId="0" xfId="0" applyFont="1" applyBorder="1" applyAlignment="1" applyProtection="1">
      <alignment horizontal="center"/>
    </xf>
    <xf numFmtId="0" fontId="8" fillId="0" borderId="0" xfId="0" applyFont="1" applyAlignment="1" applyProtection="1">
      <alignment horizontal="center"/>
    </xf>
    <xf numFmtId="0" fontId="111" fillId="0" borderId="0" xfId="0" applyFont="1" applyFill="1" applyAlignment="1" applyProtection="1">
      <alignment horizontal="center" wrapText="1"/>
    </xf>
    <xf numFmtId="0" fontId="107" fillId="0" borderId="0" xfId="0" applyFont="1" applyFill="1" applyAlignment="1" applyProtection="1">
      <alignment horizontal="center" wrapText="1"/>
    </xf>
    <xf numFmtId="0" fontId="12" fillId="0" borderId="0" xfId="0" applyFont="1" applyFill="1" applyAlignment="1" applyProtection="1">
      <alignment horizontal="left" vertical="center" wrapText="1"/>
    </xf>
    <xf numFmtId="0" fontId="12" fillId="0" borderId="0" xfId="0" applyFont="1" applyAlignment="1" applyProtection="1">
      <alignment horizontal="left" vertical="center" wrapText="1"/>
    </xf>
    <xf numFmtId="38" fontId="12" fillId="0" borderId="10" xfId="1" applyNumberFormat="1" applyFont="1" applyFill="1" applyBorder="1" applyAlignment="1" applyProtection="1">
      <alignment horizontal="right" vertical="center"/>
    </xf>
    <xf numFmtId="38" fontId="12" fillId="0" borderId="15" xfId="1" applyNumberFormat="1" applyFont="1" applyFill="1" applyBorder="1" applyAlignment="1" applyProtection="1">
      <alignment horizontal="right" vertical="center"/>
    </xf>
    <xf numFmtId="3" fontId="12" fillId="0" borderId="62" xfId="0" applyNumberFormat="1" applyFont="1" applyFill="1" applyBorder="1" applyAlignment="1" applyProtection="1">
      <alignment horizontal="right" vertical="center"/>
    </xf>
    <xf numFmtId="3" fontId="12" fillId="0" borderId="63" xfId="0" applyNumberFormat="1" applyFont="1" applyFill="1" applyBorder="1" applyAlignment="1" applyProtection="1">
      <alignment horizontal="right" vertical="center"/>
    </xf>
    <xf numFmtId="38" fontId="12" fillId="0" borderId="62" xfId="1" applyNumberFormat="1" applyFont="1" applyFill="1" applyBorder="1" applyAlignment="1" applyProtection="1">
      <alignment horizontal="right" vertical="center"/>
    </xf>
    <xf numFmtId="38" fontId="12" fillId="0" borderId="63" xfId="1" applyNumberFormat="1" applyFont="1" applyFill="1" applyBorder="1" applyAlignment="1" applyProtection="1">
      <alignment horizontal="right" vertical="center"/>
    </xf>
    <xf numFmtId="0" fontId="13" fillId="0" borderId="0" xfId="0" applyFont="1" applyFill="1" applyBorder="1" applyAlignment="1" applyProtection="1">
      <alignment horizontal="left" vertical="top" wrapText="1"/>
    </xf>
    <xf numFmtId="0" fontId="90" fillId="0" borderId="0" xfId="0" applyFont="1" applyFill="1" applyAlignment="1" applyProtection="1">
      <alignment horizontal="left" vertical="center" wrapText="1"/>
    </xf>
    <xf numFmtId="0" fontId="27" fillId="0" borderId="0" xfId="0" applyFont="1" applyFill="1" applyAlignment="1" applyProtection="1">
      <alignment horizontal="left" vertical="center" wrapText="1"/>
    </xf>
    <xf numFmtId="0" fontId="88" fillId="0" borderId="0" xfId="0" applyNumberFormat="1" applyFont="1" applyAlignment="1" applyProtection="1">
      <alignment horizontal="center" vertical="center" wrapText="1"/>
    </xf>
    <xf numFmtId="0" fontId="30" fillId="0" borderId="0" xfId="0" applyNumberFormat="1" applyFont="1" applyAlignment="1" applyProtection="1">
      <alignment horizontal="center" vertical="center" wrapText="1"/>
    </xf>
    <xf numFmtId="0" fontId="4" fillId="0" borderId="8" xfId="0" applyFont="1" applyFill="1" applyBorder="1" applyAlignment="1" applyProtection="1">
      <alignment horizontal="left" vertical="center" wrapText="1"/>
    </xf>
    <xf numFmtId="0" fontId="4" fillId="0" borderId="0" xfId="0" applyFont="1" applyFill="1" applyBorder="1" applyAlignment="1" applyProtection="1">
      <alignment horizontal="left" vertical="center" wrapText="1"/>
    </xf>
    <xf numFmtId="0" fontId="10" fillId="0" borderId="0" xfId="0" applyFont="1" applyFill="1" applyAlignment="1" applyProtection="1">
      <alignment horizontal="center" vertical="center"/>
    </xf>
    <xf numFmtId="0" fontId="36" fillId="0" borderId="0" xfId="0" applyFont="1" applyFill="1" applyAlignment="1" applyProtection="1">
      <alignment horizontal="center" textRotation="90"/>
    </xf>
    <xf numFmtId="3" fontId="114" fillId="0" borderId="0" xfId="0" applyNumberFormat="1" applyFont="1" applyFill="1" applyBorder="1" applyAlignment="1" applyProtection="1">
      <alignment horizontal="left" vertical="center"/>
    </xf>
    <xf numFmtId="0" fontId="97"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138" fillId="0" borderId="0" xfId="0" applyFont="1" applyFill="1" applyAlignment="1" applyProtection="1">
      <alignment horizontal="left"/>
    </xf>
    <xf numFmtId="164" fontId="12" fillId="0" borderId="82" xfId="0" applyNumberFormat="1" applyFont="1" applyFill="1" applyBorder="1" applyAlignment="1" applyProtection="1">
      <alignment horizontal="center"/>
    </xf>
    <xf numFmtId="164" fontId="12" fillId="0" borderId="83" xfId="0" applyNumberFormat="1" applyFont="1" applyFill="1" applyBorder="1" applyAlignment="1" applyProtection="1">
      <alignment horizontal="center"/>
    </xf>
    <xf numFmtId="0" fontId="96" fillId="15" borderId="0" xfId="0" applyFont="1" applyFill="1" applyAlignment="1" applyProtection="1">
      <alignment horizontal="center" vertical="center"/>
    </xf>
    <xf numFmtId="0" fontId="14" fillId="0" borderId="0" xfId="0" applyFont="1" applyFill="1" applyAlignment="1" applyProtection="1">
      <alignment horizontal="left"/>
    </xf>
    <xf numFmtId="0" fontId="96" fillId="12" borderId="0" xfId="0" applyFont="1" applyFill="1" applyBorder="1" applyAlignment="1" applyProtection="1">
      <alignment horizontal="center" vertical="center"/>
    </xf>
    <xf numFmtId="0" fontId="8" fillId="0" borderId="0" xfId="0" applyFont="1" applyFill="1" applyAlignment="1" applyProtection="1">
      <alignment horizontal="center"/>
    </xf>
    <xf numFmtId="0" fontId="30" fillId="9" borderId="82" xfId="0" applyFont="1" applyFill="1" applyBorder="1" applyAlignment="1" applyProtection="1">
      <alignment horizontal="center" vertical="center"/>
    </xf>
    <xf numFmtId="0" fontId="117" fillId="0" borderId="0" xfId="0" applyFont="1" applyFill="1" applyAlignment="1" applyProtection="1">
      <alignment horizontal="center" vertical="center" wrapText="1"/>
    </xf>
    <xf numFmtId="0" fontId="4" fillId="0" borderId="0" xfId="0" applyFont="1" applyFill="1" applyAlignment="1" applyProtection="1">
      <alignment horizontal="justify" vertical="top" wrapText="1"/>
    </xf>
    <xf numFmtId="0" fontId="14" fillId="4" borderId="37" xfId="0" applyFont="1" applyFill="1" applyBorder="1" applyAlignment="1" applyProtection="1">
      <alignment horizontal="center" vertical="top"/>
    </xf>
    <xf numFmtId="0" fontId="14" fillId="4" borderId="38" xfId="0" applyFont="1" applyFill="1" applyBorder="1" applyAlignment="1" applyProtection="1">
      <alignment horizontal="center" vertical="top"/>
    </xf>
    <xf numFmtId="0" fontId="4" fillId="0" borderId="0" xfId="0" applyFont="1" applyFill="1" applyBorder="1" applyAlignment="1" applyProtection="1">
      <alignment horizontal="left" vertical="top" wrapText="1"/>
    </xf>
    <xf numFmtId="0" fontId="51" fillId="0" borderId="89" xfId="0" applyFont="1" applyFill="1" applyBorder="1" applyAlignment="1" applyProtection="1">
      <alignment horizontal="center" wrapText="1"/>
    </xf>
    <xf numFmtId="0" fontId="51" fillId="0" borderId="0" xfId="0" applyFont="1" applyFill="1" applyAlignment="1" applyProtection="1">
      <alignment horizontal="center" wrapText="1"/>
    </xf>
    <xf numFmtId="0" fontId="4" fillId="4" borderId="37" xfId="0" applyFont="1" applyFill="1" applyBorder="1" applyAlignment="1" applyProtection="1">
      <alignment horizontal="left" vertical="top" wrapText="1"/>
    </xf>
    <xf numFmtId="0" fontId="4" fillId="4" borderId="2" xfId="0" applyFont="1" applyFill="1" applyBorder="1" applyAlignment="1" applyProtection="1">
      <alignment horizontal="left" vertical="top" wrapText="1"/>
    </xf>
    <xf numFmtId="0" fontId="4" fillId="4" borderId="38" xfId="0" applyFont="1" applyFill="1" applyBorder="1" applyAlignment="1" applyProtection="1">
      <alignment horizontal="left" vertical="top" wrapText="1"/>
    </xf>
    <xf numFmtId="0" fontId="10" fillId="4" borderId="37" xfId="0" applyFont="1" applyFill="1" applyBorder="1" applyAlignment="1" applyProtection="1">
      <alignment horizontal="center" vertical="center"/>
    </xf>
    <xf numFmtId="0" fontId="10" fillId="4" borderId="7" xfId="0" applyFont="1" applyFill="1" applyBorder="1" applyAlignment="1" applyProtection="1">
      <alignment horizontal="center" vertical="center"/>
    </xf>
    <xf numFmtId="0" fontId="4" fillId="0" borderId="0" xfId="0" applyFont="1" applyFill="1" applyBorder="1" applyAlignment="1" applyProtection="1">
      <alignment horizontal="justify" vertical="top" wrapText="1"/>
    </xf>
    <xf numFmtId="0" fontId="10" fillId="4" borderId="38" xfId="0" applyFont="1" applyFill="1" applyBorder="1" applyAlignment="1" applyProtection="1">
      <alignment horizontal="center" vertical="center"/>
    </xf>
    <xf numFmtId="0" fontId="14" fillId="0" borderId="0" xfId="0" applyFont="1" applyFill="1" applyBorder="1" applyAlignment="1" applyProtection="1">
      <alignment horizontal="left" vertical="top" wrapText="1"/>
    </xf>
    <xf numFmtId="0" fontId="4" fillId="0" borderId="0" xfId="0" applyFont="1" applyAlignment="1" applyProtection="1">
      <alignment horizontal="justify" vertical="top" wrapText="1"/>
    </xf>
    <xf numFmtId="0" fontId="4" fillId="0" borderId="8" xfId="0" applyFont="1" applyBorder="1" applyAlignment="1" applyProtection="1">
      <alignment horizontal="center" vertical="center"/>
    </xf>
    <xf numFmtId="0" fontId="4" fillId="0" borderId="0" xfId="0" applyFont="1" applyAlignment="1" applyProtection="1">
      <alignment horizontal="center" vertical="center"/>
    </xf>
    <xf numFmtId="0" fontId="4" fillId="0" borderId="9" xfId="0" applyFont="1" applyBorder="1" applyAlignment="1" applyProtection="1">
      <alignment horizontal="center" vertical="center"/>
    </xf>
    <xf numFmtId="0" fontId="14" fillId="0" borderId="0" xfId="0" applyFont="1" applyFill="1" applyBorder="1" applyAlignment="1" applyProtection="1">
      <alignment horizontal="left" vertical="center"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9" fillId="4" borderId="37" xfId="0" applyFont="1" applyFill="1" applyBorder="1" applyAlignment="1" applyProtection="1">
      <alignment horizontal="left"/>
    </xf>
    <xf numFmtId="0" fontId="19" fillId="4" borderId="2" xfId="0" applyFont="1" applyFill="1" applyBorder="1" applyAlignment="1" applyProtection="1">
      <alignment horizontal="left"/>
    </xf>
    <xf numFmtId="0" fontId="19" fillId="4" borderId="38" xfId="0" applyFont="1" applyFill="1" applyBorder="1" applyAlignment="1" applyProtection="1">
      <alignment horizontal="left"/>
    </xf>
    <xf numFmtId="175" fontId="14" fillId="4" borderId="37" xfId="0" applyNumberFormat="1" applyFont="1" applyFill="1" applyBorder="1" applyAlignment="1" applyProtection="1">
      <alignment horizontal="left" vertical="center"/>
    </xf>
    <xf numFmtId="175" fontId="14" fillId="4" borderId="38" xfId="0" applyNumberFormat="1" applyFont="1" applyFill="1" applyBorder="1" applyAlignment="1" applyProtection="1">
      <alignment horizontal="left" vertical="center"/>
    </xf>
    <xf numFmtId="0" fontId="10" fillId="4" borderId="10" xfId="0" applyFont="1" applyFill="1" applyBorder="1" applyAlignment="1" applyProtection="1">
      <alignment horizontal="center" vertical="center"/>
    </xf>
    <xf numFmtId="0" fontId="10" fillId="4" borderId="15" xfId="0" applyFont="1" applyFill="1" applyBorder="1" applyAlignment="1" applyProtection="1">
      <alignment horizontal="center" vertical="center"/>
    </xf>
    <xf numFmtId="0" fontId="4" fillId="4" borderId="82" xfId="0" applyFont="1" applyFill="1" applyBorder="1" applyAlignment="1" applyProtection="1">
      <alignment horizontal="left" vertical="top" wrapText="1"/>
    </xf>
    <xf numFmtId="0" fontId="4" fillId="4" borderId="86" xfId="0" applyFont="1" applyFill="1" applyBorder="1" applyAlignment="1" applyProtection="1">
      <alignment horizontal="left" vertical="top" wrapText="1"/>
    </xf>
    <xf numFmtId="0" fontId="4" fillId="4" borderId="83" xfId="0" applyFont="1" applyFill="1" applyBorder="1" applyAlignment="1" applyProtection="1">
      <alignment horizontal="left" vertical="top" wrapText="1"/>
    </xf>
    <xf numFmtId="0" fontId="8" fillId="0" borderId="0" xfId="0" applyFont="1" applyFill="1" applyAlignment="1" applyProtection="1">
      <alignment horizontal="left" vertical="center"/>
    </xf>
    <xf numFmtId="0" fontId="49" fillId="0" borderId="8" xfId="0" applyFont="1" applyFill="1" applyBorder="1" applyAlignment="1" applyProtection="1">
      <alignment horizontal="center" vertical="center" wrapText="1"/>
    </xf>
    <xf numFmtId="0" fontId="14" fillId="4" borderId="37" xfId="0" applyFont="1" applyFill="1" applyBorder="1" applyAlignment="1" applyProtection="1">
      <alignment horizontal="left"/>
    </xf>
    <xf numFmtId="0" fontId="14" fillId="4" borderId="38" xfId="0" applyFont="1" applyFill="1" applyBorder="1" applyAlignment="1" applyProtection="1">
      <alignment horizontal="left"/>
    </xf>
    <xf numFmtId="0" fontId="14" fillId="4" borderId="37" xfId="0" applyFont="1" applyFill="1" applyBorder="1" applyAlignment="1" applyProtection="1">
      <alignment horizontal="left" vertical="center"/>
    </xf>
    <xf numFmtId="0" fontId="14" fillId="4" borderId="38" xfId="0" applyFont="1" applyFill="1" applyBorder="1" applyAlignment="1" applyProtection="1">
      <alignment horizontal="left" vertical="center"/>
    </xf>
    <xf numFmtId="0" fontId="4" fillId="4" borderId="34" xfId="0" applyFont="1" applyFill="1" applyBorder="1" applyAlignment="1" applyProtection="1">
      <alignment horizontal="left" vertical="top" wrapText="1"/>
    </xf>
    <xf numFmtId="0" fontId="4" fillId="4" borderId="60" xfId="0" applyFont="1" applyFill="1" applyBorder="1" applyAlignment="1" applyProtection="1">
      <alignment horizontal="left" vertical="top" wrapText="1"/>
    </xf>
    <xf numFmtId="0" fontId="4" fillId="4" borderId="35" xfId="0" applyFont="1" applyFill="1" applyBorder="1" applyAlignment="1" applyProtection="1">
      <alignment horizontal="left" vertical="top" wrapText="1"/>
    </xf>
    <xf numFmtId="0" fontId="4" fillId="4" borderId="29" xfId="0" applyFont="1" applyFill="1" applyBorder="1" applyAlignment="1" applyProtection="1">
      <alignment horizontal="left" vertical="top" wrapText="1"/>
    </xf>
    <xf numFmtId="0" fontId="4" fillId="4" borderId="59" xfId="0" applyFont="1" applyFill="1" applyBorder="1" applyAlignment="1" applyProtection="1">
      <alignment horizontal="left" vertical="top" wrapText="1"/>
    </xf>
    <xf numFmtId="0" fontId="4" fillId="4" borderId="30" xfId="0" applyFont="1" applyFill="1" applyBorder="1" applyAlignment="1" applyProtection="1">
      <alignment horizontal="left" vertical="top" wrapText="1"/>
    </xf>
    <xf numFmtId="0" fontId="51" fillId="4" borderId="31" xfId="0" applyFont="1" applyFill="1" applyBorder="1" applyAlignment="1" applyProtection="1">
      <alignment horizontal="justify" vertical="top" wrapText="1"/>
    </xf>
    <xf numFmtId="0" fontId="51" fillId="4" borderId="22" xfId="0" applyFont="1" applyFill="1" applyBorder="1" applyAlignment="1" applyProtection="1">
      <alignment horizontal="justify" vertical="top" wrapText="1"/>
    </xf>
    <xf numFmtId="0" fontId="51" fillId="4" borderId="32" xfId="0" applyFont="1" applyFill="1" applyBorder="1" applyAlignment="1" applyProtection="1">
      <alignment horizontal="justify" vertical="top" wrapText="1"/>
    </xf>
    <xf numFmtId="0" fontId="51" fillId="4" borderId="34" xfId="0" applyFont="1" applyFill="1" applyBorder="1" applyAlignment="1" applyProtection="1">
      <alignment horizontal="justify" vertical="top" wrapText="1"/>
    </xf>
    <xf numFmtId="0" fontId="51" fillId="4" borderId="60" xfId="0" applyFont="1" applyFill="1" applyBorder="1" applyAlignment="1" applyProtection="1">
      <alignment horizontal="justify" vertical="top" wrapText="1"/>
    </xf>
    <xf numFmtId="0" fontId="51" fillId="4" borderId="35" xfId="0" applyFont="1" applyFill="1" applyBorder="1" applyAlignment="1" applyProtection="1">
      <alignment horizontal="justify" vertical="top" wrapText="1"/>
    </xf>
    <xf numFmtId="0" fontId="4" fillId="0" borderId="0" xfId="0" applyFont="1" applyFill="1" applyAlignment="1" applyProtection="1">
      <alignment horizontal="left" vertical="top" wrapText="1"/>
    </xf>
    <xf numFmtId="0" fontId="7" fillId="0" borderId="0" xfId="0" applyFont="1" applyFill="1" applyAlignment="1" applyProtection="1">
      <alignment horizontal="left" vertical="top" wrapText="1"/>
    </xf>
    <xf numFmtId="0" fontId="4" fillId="0" borderId="20" xfId="0" applyFont="1" applyFill="1" applyBorder="1" applyAlignment="1" applyProtection="1">
      <alignment horizontal="center" wrapText="1"/>
    </xf>
    <xf numFmtId="0" fontId="4" fillId="0" borderId="14" xfId="0" applyFont="1" applyFill="1" applyBorder="1" applyAlignment="1" applyProtection="1">
      <alignment horizontal="center" wrapText="1"/>
    </xf>
    <xf numFmtId="0" fontId="4" fillId="4" borderId="31" xfId="0" applyFont="1" applyFill="1" applyBorder="1" applyAlignment="1" applyProtection="1">
      <alignment horizontal="left" vertical="top" wrapText="1"/>
    </xf>
    <xf numFmtId="0" fontId="4" fillId="4" borderId="22" xfId="0" applyFont="1" applyFill="1" applyBorder="1" applyAlignment="1" applyProtection="1">
      <alignment horizontal="left" vertical="top" wrapText="1"/>
    </xf>
    <xf numFmtId="0" fontId="4" fillId="4" borderId="32" xfId="0" applyFont="1" applyFill="1" applyBorder="1" applyAlignment="1" applyProtection="1">
      <alignment horizontal="left" vertical="top" wrapText="1"/>
    </xf>
    <xf numFmtId="3" fontId="10" fillId="0" borderId="82" xfId="0" applyNumberFormat="1" applyFont="1" applyFill="1" applyBorder="1" applyAlignment="1" applyProtection="1">
      <alignment horizontal="center" vertical="top" wrapText="1"/>
    </xf>
    <xf numFmtId="3" fontId="10" fillId="0" borderId="83" xfId="0" applyNumberFormat="1" applyFont="1" applyFill="1" applyBorder="1" applyAlignment="1" applyProtection="1">
      <alignment horizontal="center" vertical="top" wrapText="1"/>
    </xf>
    <xf numFmtId="0" fontId="106" fillId="0" borderId="0" xfId="0" applyFont="1" applyFill="1" applyBorder="1" applyAlignment="1" applyProtection="1">
      <alignment horizontal="center" vertical="center" wrapText="1"/>
    </xf>
    <xf numFmtId="0" fontId="106" fillId="0" borderId="14" xfId="0" applyFont="1" applyFill="1" applyBorder="1" applyAlignment="1" applyProtection="1">
      <alignment horizontal="center" vertical="center" wrapText="1"/>
    </xf>
    <xf numFmtId="0" fontId="14" fillId="0" borderId="43" xfId="0" applyFont="1" applyFill="1" applyBorder="1" applyAlignment="1" applyProtection="1">
      <alignment horizontal="center"/>
    </xf>
    <xf numFmtId="0" fontId="14" fillId="0" borderId="21" xfId="0" applyFont="1" applyFill="1" applyBorder="1" applyAlignment="1" applyProtection="1">
      <alignment horizontal="center"/>
    </xf>
    <xf numFmtId="0" fontId="14" fillId="0" borderId="61" xfId="0" applyFont="1" applyFill="1" applyBorder="1" applyAlignment="1" applyProtection="1">
      <alignment horizontal="center"/>
    </xf>
    <xf numFmtId="0" fontId="23" fillId="0" borderId="0" xfId="0" applyFont="1" applyFill="1" applyAlignment="1" applyProtection="1">
      <alignment horizontal="left" vertical="center"/>
    </xf>
    <xf numFmtId="0" fontId="115" fillId="4" borderId="37" xfId="0" applyFont="1" applyFill="1" applyBorder="1" applyAlignment="1" applyProtection="1">
      <alignment horizontal="center" vertical="center"/>
    </xf>
    <xf numFmtId="0" fontId="115" fillId="4" borderId="38" xfId="0" applyFont="1" applyFill="1" applyBorder="1" applyAlignment="1" applyProtection="1">
      <alignment horizontal="center" vertical="center"/>
    </xf>
    <xf numFmtId="0" fontId="51" fillId="4" borderId="29" xfId="0" applyFont="1" applyFill="1" applyBorder="1" applyAlignment="1" applyProtection="1">
      <alignment horizontal="justify" vertical="top" wrapText="1"/>
    </xf>
    <xf numFmtId="0" fontId="51" fillId="4" borderId="59" xfId="0" applyFont="1" applyFill="1" applyBorder="1" applyAlignment="1" applyProtection="1">
      <alignment horizontal="justify" vertical="top" wrapText="1"/>
    </xf>
    <xf numFmtId="0" fontId="51" fillId="4" borderId="30" xfId="0" applyFont="1" applyFill="1" applyBorder="1" applyAlignment="1" applyProtection="1">
      <alignment horizontal="justify" vertical="top" wrapText="1"/>
    </xf>
    <xf numFmtId="0" fontId="47" fillId="0" borderId="0" xfId="0" applyFont="1" applyFill="1" applyAlignment="1" applyProtection="1">
      <alignment horizontal="center" vertical="center"/>
    </xf>
    <xf numFmtId="0" fontId="47" fillId="0" borderId="9" xfId="0" applyFont="1" applyFill="1" applyBorder="1" applyAlignment="1" applyProtection="1">
      <alignment horizontal="center" vertical="center"/>
    </xf>
    <xf numFmtId="0" fontId="8" fillId="5" borderId="37" xfId="0" applyFont="1" applyFill="1" applyBorder="1" applyAlignment="1" applyProtection="1">
      <alignment horizontal="center" vertical="center" wrapText="1"/>
    </xf>
    <xf numFmtId="0" fontId="8" fillId="5" borderId="38" xfId="0" applyFont="1" applyFill="1" applyBorder="1" applyAlignment="1" applyProtection="1">
      <alignment horizontal="center" vertical="center" wrapText="1"/>
    </xf>
    <xf numFmtId="0" fontId="4" fillId="0" borderId="0" xfId="0" applyFont="1" applyFill="1" applyBorder="1" applyAlignment="1" applyProtection="1">
      <alignment horizontal="justify" vertical="center" wrapText="1"/>
    </xf>
    <xf numFmtId="0" fontId="7" fillId="0" borderId="0" xfId="0" applyFont="1" applyFill="1" applyAlignment="1" applyProtection="1">
      <alignment horizontal="center"/>
    </xf>
    <xf numFmtId="0" fontId="4" fillId="0" borderId="0" xfId="0" applyFont="1" applyBorder="1" applyAlignment="1" applyProtection="1">
      <alignment horizontal="justify" vertical="top" wrapText="1"/>
    </xf>
    <xf numFmtId="174" fontId="14" fillId="0" borderId="82" xfId="0" applyNumberFormat="1" applyFont="1" applyBorder="1" applyAlignment="1" applyProtection="1">
      <alignment horizontal="center" vertical="center"/>
    </xf>
    <xf numFmtId="174" fontId="14" fillId="0" borderId="83" xfId="0" applyNumberFormat="1" applyFont="1" applyBorder="1" applyAlignment="1" applyProtection="1">
      <alignment horizontal="center" vertical="center"/>
    </xf>
    <xf numFmtId="0" fontId="4" fillId="0" borderId="0" xfId="0" applyFont="1" applyFill="1" applyAlignment="1" applyProtection="1">
      <alignment horizontal="justify" wrapText="1"/>
    </xf>
    <xf numFmtId="0" fontId="7" fillId="0" borderId="0" xfId="0" applyFont="1" applyFill="1" applyBorder="1" applyAlignment="1" applyProtection="1">
      <alignment horizontal="left" vertical="center" wrapText="1"/>
    </xf>
    <xf numFmtId="0" fontId="51" fillId="4" borderId="37" xfId="0" applyFont="1" applyFill="1" applyBorder="1" applyAlignment="1" applyProtection="1">
      <alignment horizontal="left" vertical="top" wrapText="1"/>
    </xf>
    <xf numFmtId="0" fontId="51" fillId="4" borderId="2" xfId="0" applyFont="1" applyFill="1" applyBorder="1" applyAlignment="1" applyProtection="1">
      <alignment horizontal="left" vertical="top" wrapText="1"/>
    </xf>
    <xf numFmtId="0" fontId="51" fillId="4" borderId="38" xfId="0" applyFont="1" applyFill="1" applyBorder="1" applyAlignment="1" applyProtection="1">
      <alignment horizontal="left" vertical="top" wrapText="1"/>
    </xf>
    <xf numFmtId="0" fontId="4" fillId="0" borderId="0" xfId="0" applyFont="1" applyAlignment="1" applyProtection="1">
      <alignment horizontal="left" vertical="top" wrapText="1"/>
    </xf>
    <xf numFmtId="0" fontId="78" fillId="0" borderId="0" xfId="0" applyFont="1" applyAlignment="1" applyProtection="1">
      <alignment horizontal="center"/>
    </xf>
    <xf numFmtId="0" fontId="51" fillId="4" borderId="52" xfId="0" applyFont="1" applyFill="1" applyBorder="1" applyAlignment="1" applyProtection="1">
      <alignment horizontal="left" vertical="top" wrapText="1"/>
    </xf>
    <xf numFmtId="0" fontId="51" fillId="4" borderId="39" xfId="0" applyFont="1" applyFill="1" applyBorder="1" applyAlignment="1" applyProtection="1">
      <alignment horizontal="left" vertical="top" wrapText="1"/>
    </xf>
    <xf numFmtId="0" fontId="58" fillId="0" borderId="6" xfId="0" applyFont="1" applyBorder="1" applyAlignment="1" applyProtection="1">
      <alignment horizontal="center" wrapText="1"/>
    </xf>
    <xf numFmtId="0" fontId="58" fillId="0" borderId="0" xfId="0" applyFont="1" applyAlignment="1" applyProtection="1">
      <alignment horizontal="center" wrapText="1"/>
    </xf>
    <xf numFmtId="0" fontId="4" fillId="0" borderId="0" xfId="0" applyFont="1" applyBorder="1" applyAlignment="1" applyProtection="1">
      <alignment horizontal="left" vertical="top" wrapText="1"/>
    </xf>
    <xf numFmtId="0" fontId="51" fillId="4" borderId="31" xfId="0" applyFont="1" applyFill="1" applyBorder="1" applyAlignment="1" applyProtection="1">
      <alignment horizontal="left" vertical="top" wrapText="1"/>
    </xf>
    <xf numFmtId="0" fontId="0" fillId="0" borderId="22" xfId="0" applyBorder="1" applyProtection="1"/>
    <xf numFmtId="0" fontId="0" fillId="0" borderId="78" xfId="0" applyBorder="1" applyProtection="1"/>
    <xf numFmtId="0" fontId="51" fillId="4" borderId="53" xfId="0" applyFont="1" applyFill="1" applyBorder="1" applyAlignment="1" applyProtection="1">
      <alignment horizontal="left" vertical="top" wrapText="1"/>
    </xf>
    <xf numFmtId="0" fontId="51" fillId="4" borderId="54" xfId="0" applyFont="1" applyFill="1" applyBorder="1" applyAlignment="1" applyProtection="1">
      <alignment horizontal="left" vertical="top" wrapText="1"/>
    </xf>
    <xf numFmtId="0" fontId="51" fillId="4" borderId="29" xfId="0" applyFont="1" applyFill="1" applyBorder="1" applyAlignment="1" applyProtection="1">
      <alignment horizontal="left" vertical="top" wrapText="1"/>
    </xf>
    <xf numFmtId="0" fontId="0" fillId="0" borderId="59" xfId="0" applyBorder="1" applyProtection="1"/>
    <xf numFmtId="0" fontId="0" fillId="0" borderId="79" xfId="0" applyBorder="1" applyProtection="1"/>
    <xf numFmtId="0" fontId="14" fillId="0" borderId="14" xfId="0" applyFont="1" applyFill="1" applyBorder="1" applyAlignment="1" applyProtection="1">
      <alignment horizontal="left" vertical="center"/>
    </xf>
    <xf numFmtId="0" fontId="14" fillId="0" borderId="10" xfId="0" applyFont="1" applyFill="1" applyBorder="1" applyAlignment="1" applyProtection="1">
      <alignment horizontal="left" vertical="center"/>
    </xf>
    <xf numFmtId="0" fontId="51" fillId="4" borderId="50" xfId="0" applyFont="1" applyFill="1" applyBorder="1" applyAlignment="1" applyProtection="1">
      <alignment horizontal="left" vertical="top" wrapText="1"/>
    </xf>
    <xf numFmtId="0" fontId="51" fillId="4" borderId="51" xfId="0" applyFont="1" applyFill="1" applyBorder="1" applyAlignment="1" applyProtection="1">
      <alignment horizontal="left" vertical="top" wrapText="1"/>
    </xf>
    <xf numFmtId="0" fontId="51" fillId="4" borderId="34" xfId="0" applyFont="1" applyFill="1" applyBorder="1" applyAlignment="1" applyProtection="1">
      <alignment horizontal="left" vertical="top" wrapText="1"/>
    </xf>
    <xf numFmtId="0" fontId="0" fillId="0" borderId="60" xfId="0" applyBorder="1" applyProtection="1"/>
    <xf numFmtId="0" fontId="0" fillId="0" borderId="80" xfId="0" applyBorder="1" applyProtection="1"/>
    <xf numFmtId="0" fontId="51" fillId="0" borderId="0" xfId="0" applyFont="1" applyFill="1" applyAlignment="1" applyProtection="1">
      <alignment horizontal="center" vertical="center" wrapText="1"/>
    </xf>
    <xf numFmtId="3" fontId="4" fillId="0" borderId="82" xfId="0" applyNumberFormat="1" applyFont="1" applyFill="1" applyBorder="1" applyAlignment="1" applyProtection="1">
      <alignment horizontal="center" vertical="center"/>
    </xf>
    <xf numFmtId="3" fontId="4" fillId="0" borderId="83" xfId="0" applyNumberFormat="1" applyFont="1" applyFill="1" applyBorder="1" applyAlignment="1" applyProtection="1">
      <alignment horizontal="center" vertical="center"/>
    </xf>
    <xf numFmtId="0" fontId="4" fillId="0" borderId="0" xfId="0" applyFont="1" applyFill="1" applyAlignment="1" applyProtection="1">
      <alignment horizontal="left" vertical="center"/>
    </xf>
    <xf numFmtId="0" fontId="4" fillId="0" borderId="9" xfId="0" applyFont="1" applyFill="1" applyBorder="1" applyAlignment="1" applyProtection="1">
      <alignment horizontal="left" vertical="center"/>
    </xf>
    <xf numFmtId="0" fontId="4" fillId="0" borderId="0" xfId="0" applyFont="1" applyFill="1" applyAlignment="1" applyProtection="1">
      <alignment horizontal="left" wrapText="1"/>
    </xf>
    <xf numFmtId="174" fontId="87" fillId="0" borderId="37" xfId="0" applyNumberFormat="1" applyFont="1" applyFill="1" applyBorder="1" applyAlignment="1" applyProtection="1">
      <alignment horizontal="center" vertical="center"/>
    </xf>
    <xf numFmtId="174" fontId="87" fillId="0" borderId="38" xfId="0" applyNumberFormat="1" applyFont="1" applyFill="1" applyBorder="1" applyAlignment="1" applyProtection="1">
      <alignment horizontal="center" vertical="center"/>
    </xf>
    <xf numFmtId="0" fontId="4" fillId="0" borderId="0" xfId="0" applyFont="1" applyFill="1" applyAlignment="1" applyProtection="1">
      <alignment vertical="center" wrapText="1"/>
    </xf>
    <xf numFmtId="0" fontId="0" fillId="0" borderId="0" xfId="0" applyAlignment="1" applyProtection="1">
      <alignment vertical="center" wrapText="1"/>
    </xf>
    <xf numFmtId="0" fontId="106" fillId="17" borderId="0" xfId="0" applyFont="1" applyFill="1" applyAlignment="1" applyProtection="1">
      <alignment horizontal="center" vertical="center"/>
    </xf>
    <xf numFmtId="174" fontId="87" fillId="0" borderId="82" xfId="0" applyNumberFormat="1" applyFont="1" applyFill="1" applyBorder="1" applyAlignment="1" applyProtection="1">
      <alignment horizontal="center" vertical="center"/>
    </xf>
    <xf numFmtId="174" fontId="87" fillId="0" borderId="83" xfId="0" applyNumberFormat="1" applyFont="1" applyFill="1" applyBorder="1" applyAlignment="1" applyProtection="1">
      <alignment horizontal="center" vertical="center"/>
    </xf>
    <xf numFmtId="0" fontId="16" fillId="0" borderId="0" xfId="0" applyFont="1" applyAlignment="1" applyProtection="1">
      <alignment horizontal="center"/>
    </xf>
    <xf numFmtId="0" fontId="49" fillId="0" borderId="0" xfId="0" applyFont="1" applyFill="1" applyBorder="1" applyAlignment="1" applyProtection="1">
      <alignment horizontal="center" vertical="center" wrapText="1"/>
    </xf>
    <xf numFmtId="9" fontId="51" fillId="0" borderId="3" xfId="10" applyFont="1" applyBorder="1" applyAlignment="1" applyProtection="1">
      <alignment horizontal="center" vertical="center"/>
    </xf>
    <xf numFmtId="3" fontId="51" fillId="0" borderId="37" xfId="1" applyNumberFormat="1" applyFont="1" applyFill="1" applyBorder="1" applyAlignment="1" applyProtection="1">
      <alignment horizontal="center" vertical="center"/>
    </xf>
    <xf numFmtId="3" fontId="51" fillId="0" borderId="38" xfId="1" applyNumberFormat="1" applyFont="1" applyFill="1" applyBorder="1" applyAlignment="1" applyProtection="1">
      <alignment horizontal="center" vertical="center"/>
    </xf>
    <xf numFmtId="0" fontId="53" fillId="0" borderId="37" xfId="0"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53" fillId="0" borderId="38" xfId="0" applyFont="1" applyFill="1" applyBorder="1" applyAlignment="1" applyProtection="1">
      <alignment horizontal="center" vertical="center"/>
    </xf>
    <xf numFmtId="0" fontId="112" fillId="14" borderId="82" xfId="12" applyFont="1" applyFill="1" applyBorder="1" applyAlignment="1" applyProtection="1">
      <alignment horizontal="center"/>
    </xf>
    <xf numFmtId="0" fontId="132" fillId="14" borderId="86" xfId="12" applyFont="1" applyFill="1" applyBorder="1" applyProtection="1"/>
    <xf numFmtId="0" fontId="132" fillId="14" borderId="83" xfId="12" applyFont="1" applyFill="1" applyBorder="1" applyProtection="1"/>
    <xf numFmtId="0" fontId="133" fillId="0" borderId="0" xfId="12" applyFont="1" applyProtection="1"/>
    <xf numFmtId="0" fontId="144" fillId="0" borderId="89" xfId="12" applyFont="1" applyBorder="1" applyAlignment="1" applyProtection="1">
      <alignment horizontal="center" vertical="center" wrapText="1"/>
    </xf>
    <xf numFmtId="0" fontId="134" fillId="0" borderId="0" xfId="12" applyFont="1" applyProtection="1"/>
    <xf numFmtId="0" fontId="134" fillId="0" borderId="0" xfId="12" applyFont="1" applyBorder="1" applyAlignment="1" applyProtection="1">
      <alignment horizontal="center" wrapText="1"/>
    </xf>
    <xf numFmtId="0" fontId="136" fillId="0" borderId="0" xfId="12" applyFont="1" applyBorder="1" applyAlignment="1" applyProtection="1">
      <alignment horizontal="left"/>
    </xf>
    <xf numFmtId="0" fontId="136" fillId="0" borderId="0" xfId="12" applyFont="1" applyBorder="1" applyAlignment="1" applyProtection="1">
      <alignment horizontal="center" wrapText="1"/>
    </xf>
    <xf numFmtId="0" fontId="136" fillId="0" borderId="0" xfId="12" applyFont="1" applyBorder="1" applyProtection="1"/>
    <xf numFmtId="0" fontId="136" fillId="0" borderId="0" xfId="12" applyFont="1" applyBorder="1" applyAlignment="1" applyProtection="1">
      <alignment horizontal="right"/>
    </xf>
    <xf numFmtId="0" fontId="136" fillId="0" borderId="0" xfId="12" applyFont="1" applyProtection="1"/>
    <xf numFmtId="0" fontId="134" fillId="0" borderId="87" xfId="12" applyFont="1" applyBorder="1" applyAlignment="1" applyProtection="1">
      <alignment horizontal="center" wrapText="1"/>
    </xf>
    <xf numFmtId="0" fontId="136" fillId="0" borderId="87" xfId="12" applyFont="1" applyBorder="1" applyAlignment="1" applyProtection="1">
      <alignment horizontal="left"/>
    </xf>
    <xf numFmtId="0" fontId="136" fillId="0" borderId="87" xfId="12" applyFont="1" applyBorder="1" applyAlignment="1" applyProtection="1">
      <alignment horizontal="center" wrapText="1"/>
    </xf>
    <xf numFmtId="0" fontId="136" fillId="0" borderId="87" xfId="12" applyFont="1" applyBorder="1" applyProtection="1"/>
    <xf numFmtId="49" fontId="134" fillId="0" borderId="0" xfId="12" applyNumberFormat="1" applyFont="1" applyAlignment="1" applyProtection="1">
      <alignment vertical="top"/>
    </xf>
    <xf numFmtId="49" fontId="134" fillId="0" borderId="0" xfId="12" applyNumberFormat="1" applyFont="1" applyAlignment="1" applyProtection="1">
      <alignment horizontal="left" vertical="top"/>
    </xf>
    <xf numFmtId="49" fontId="134" fillId="0" borderId="74" xfId="12" quotePrefix="1" applyNumberFormat="1" applyFont="1" applyBorder="1" applyAlignment="1" applyProtection="1">
      <alignment horizontal="center" vertical="top"/>
    </xf>
    <xf numFmtId="0" fontId="134" fillId="0" borderId="0" xfId="12" applyFont="1" applyAlignment="1" applyProtection="1">
      <alignment vertical="top"/>
    </xf>
    <xf numFmtId="0" fontId="134" fillId="0" borderId="0" xfId="12" applyFont="1" applyAlignment="1" applyProtection="1">
      <alignment horizontal="right" vertical="top"/>
    </xf>
    <xf numFmtId="0" fontId="134" fillId="10" borderId="13" xfId="12" applyFont="1" applyFill="1" applyBorder="1" applyAlignment="1" applyProtection="1">
      <alignment vertical="top"/>
    </xf>
    <xf numFmtId="49" fontId="134" fillId="0" borderId="0" xfId="12" quotePrefix="1" applyNumberFormat="1" applyFont="1" applyAlignment="1" applyProtection="1">
      <alignment vertical="top"/>
    </xf>
    <xf numFmtId="49" fontId="134" fillId="0" borderId="96" xfId="12" quotePrefix="1" applyNumberFormat="1" applyFont="1" applyBorder="1" applyAlignment="1" applyProtection="1">
      <alignment horizontal="center" vertical="top"/>
    </xf>
    <xf numFmtId="0" fontId="134" fillId="10" borderId="90" xfId="12" applyFont="1" applyFill="1" applyBorder="1" applyAlignment="1" applyProtection="1">
      <alignment vertical="top"/>
    </xf>
    <xf numFmtId="49" fontId="134" fillId="0" borderId="94" xfId="12" quotePrefix="1" applyNumberFormat="1" applyFont="1" applyBorder="1" applyAlignment="1" applyProtection="1">
      <alignment horizontal="center" vertical="top"/>
    </xf>
    <xf numFmtId="0" fontId="134" fillId="0" borderId="0" xfId="12" applyFont="1" applyAlignment="1" applyProtection="1">
      <alignment horizontal="left" vertical="top"/>
    </xf>
    <xf numFmtId="0" fontId="134" fillId="10" borderId="88" xfId="12" applyFont="1" applyFill="1" applyBorder="1" applyAlignment="1" applyProtection="1">
      <alignment vertical="top"/>
    </xf>
    <xf numFmtId="49" fontId="134" fillId="0" borderId="95" xfId="12" quotePrefix="1" applyNumberFormat="1" applyFont="1" applyBorder="1" applyAlignment="1" applyProtection="1">
      <alignment horizontal="center" vertical="top"/>
    </xf>
    <xf numFmtId="49" fontId="135" fillId="0" borderId="89" xfId="12" applyNumberFormat="1" applyFont="1" applyBorder="1" applyAlignment="1" applyProtection="1">
      <alignment horizontal="center" vertical="top"/>
    </xf>
    <xf numFmtId="49" fontId="134" fillId="0" borderId="0" xfId="12" quotePrefix="1" applyNumberFormat="1" applyFont="1" applyBorder="1" applyAlignment="1" applyProtection="1">
      <alignment vertical="top"/>
    </xf>
    <xf numFmtId="49" fontId="134" fillId="0" borderId="0" xfId="12" applyNumberFormat="1" applyFont="1" applyBorder="1" applyAlignment="1" applyProtection="1">
      <alignment vertical="top"/>
    </xf>
    <xf numFmtId="49" fontId="134" fillId="0" borderId="0" xfId="12" applyNumberFormat="1" applyFont="1" applyBorder="1" applyAlignment="1" applyProtection="1">
      <alignment horizontal="left" vertical="top"/>
    </xf>
    <xf numFmtId="49" fontId="134" fillId="0" borderId="0" xfId="12" applyNumberFormat="1" applyFont="1" applyAlignment="1" applyProtection="1">
      <alignment horizontal="right" vertical="top"/>
    </xf>
    <xf numFmtId="0" fontId="134" fillId="0" borderId="0" xfId="12" applyFont="1" applyAlignment="1" applyProtection="1">
      <alignment horizontal="justify" vertical="top" wrapText="1"/>
    </xf>
    <xf numFmtId="0" fontId="134" fillId="0" borderId="0" xfId="12" applyFont="1" applyAlignment="1" applyProtection="1">
      <alignment horizontal="right" vertical="top" wrapText="1"/>
    </xf>
    <xf numFmtId="0" fontId="134" fillId="0" borderId="0" xfId="12" applyFont="1" applyAlignment="1" applyProtection="1">
      <alignment horizontal="left" vertical="top" wrapText="1"/>
    </xf>
    <xf numFmtId="0" fontId="134" fillId="0" borderId="0" xfId="12" applyFont="1" applyAlignment="1" applyProtection="1">
      <alignment horizontal="justify" vertical="top" wrapText="1"/>
    </xf>
    <xf numFmtId="49" fontId="134" fillId="0" borderId="94" xfId="12" applyNumberFormat="1" applyFont="1" applyBorder="1" applyAlignment="1" applyProtection="1">
      <alignment horizontal="center" vertical="top"/>
    </xf>
    <xf numFmtId="49" fontId="134" fillId="0" borderId="0" xfId="12" applyNumberFormat="1" applyFont="1" applyAlignment="1" applyProtection="1">
      <alignment horizontal="center" vertical="top"/>
    </xf>
    <xf numFmtId="49" fontId="134" fillId="0" borderId="20" xfId="12" quotePrefix="1" applyNumberFormat="1" applyFont="1" applyBorder="1" applyAlignment="1" applyProtection="1">
      <alignment vertical="top"/>
    </xf>
    <xf numFmtId="49" fontId="134" fillId="0" borderId="20" xfId="12" applyNumberFormat="1" applyFont="1" applyBorder="1" applyAlignment="1" applyProtection="1">
      <alignment horizontal="left" vertical="top"/>
    </xf>
    <xf numFmtId="0" fontId="134" fillId="0" borderId="20" xfId="12" applyFont="1" applyBorder="1" applyAlignment="1" applyProtection="1">
      <alignment horizontal="left" vertical="top" wrapText="1"/>
    </xf>
    <xf numFmtId="0" fontId="134" fillId="0" borderId="20" xfId="12" applyFont="1" applyBorder="1" applyAlignment="1" applyProtection="1">
      <alignment horizontal="right" vertical="top"/>
    </xf>
    <xf numFmtId="0" fontId="134" fillId="0" borderId="20" xfId="12" applyFont="1" applyBorder="1" applyAlignment="1" applyProtection="1">
      <alignment horizontal="left" vertical="top"/>
    </xf>
    <xf numFmtId="0" fontId="134" fillId="0" borderId="33" xfId="12" applyFont="1" applyBorder="1" applyAlignment="1" applyProtection="1">
      <alignment vertical="top"/>
    </xf>
    <xf numFmtId="0" fontId="134" fillId="0" borderId="20" xfId="12" applyFont="1" applyBorder="1" applyAlignment="1" applyProtection="1">
      <alignment vertical="top"/>
    </xf>
    <xf numFmtId="0" fontId="134" fillId="0" borderId="0" xfId="12" applyFont="1" applyFill="1" applyAlignment="1" applyProtection="1">
      <alignment vertical="top"/>
    </xf>
    <xf numFmtId="49" fontId="105" fillId="0" borderId="0" xfId="12" applyNumberFormat="1" applyFont="1" applyFill="1" applyBorder="1" applyAlignment="1" applyProtection="1">
      <alignment horizontal="left" vertical="top" wrapText="1"/>
    </xf>
    <xf numFmtId="49" fontId="105" fillId="0" borderId="0" xfId="12" applyNumberFormat="1" applyFont="1" applyFill="1" applyAlignment="1" applyProtection="1">
      <alignment vertical="top"/>
    </xf>
    <xf numFmtId="49" fontId="134" fillId="0" borderId="97" xfId="12" quotePrefix="1" applyNumberFormat="1" applyFont="1" applyBorder="1" applyAlignment="1" applyProtection="1">
      <alignment horizontal="center" vertical="top"/>
    </xf>
    <xf numFmtId="0" fontId="134" fillId="10" borderId="22" xfId="12" applyFont="1" applyFill="1" applyBorder="1" applyAlignment="1" applyProtection="1">
      <alignment horizontal="left" vertical="top" wrapText="1"/>
    </xf>
    <xf numFmtId="0" fontId="134" fillId="10" borderId="32" xfId="12" applyFont="1" applyFill="1" applyBorder="1" applyAlignment="1" applyProtection="1">
      <alignment horizontal="left" vertical="top" wrapText="1"/>
    </xf>
    <xf numFmtId="49" fontId="4" fillId="0" borderId="20" xfId="12" applyNumberFormat="1" applyFont="1" applyBorder="1" applyAlignment="1" applyProtection="1">
      <alignment horizontal="left" vertical="top"/>
    </xf>
    <xf numFmtId="0" fontId="134" fillId="0" borderId="20" xfId="12" applyFont="1" applyBorder="1" applyAlignment="1" applyProtection="1">
      <alignment horizontal="justify" vertical="top" wrapText="1"/>
    </xf>
    <xf numFmtId="49" fontId="134" fillId="0" borderId="20" xfId="12" applyNumberFormat="1" applyFont="1" applyBorder="1" applyAlignment="1" applyProtection="1">
      <alignment vertical="top"/>
    </xf>
    <xf numFmtId="49" fontId="134" fillId="0" borderId="20" xfId="12" applyNumberFormat="1" applyFont="1" applyBorder="1" applyAlignment="1" applyProtection="1">
      <alignment horizontal="left" vertical="top" wrapText="1"/>
    </xf>
    <xf numFmtId="49" fontId="134" fillId="0" borderId="0" xfId="12" applyNumberFormat="1" applyFont="1" applyBorder="1" applyAlignment="1" applyProtection="1">
      <alignment horizontal="left" vertical="top" wrapText="1"/>
    </xf>
    <xf numFmtId="0" fontId="4" fillId="0" borderId="20" xfId="12" applyFont="1" applyBorder="1" applyAlignment="1" applyProtection="1">
      <alignment vertical="top"/>
    </xf>
    <xf numFmtId="0" fontId="105" fillId="0" borderId="20" xfId="12" applyFont="1" applyBorder="1" applyAlignment="1" applyProtection="1">
      <alignment vertical="top"/>
    </xf>
    <xf numFmtId="49" fontId="134" fillId="0" borderId="21" xfId="12" applyNumberFormat="1" applyFont="1" applyBorder="1" applyAlignment="1" applyProtection="1">
      <alignment horizontal="left" vertical="top" wrapText="1"/>
    </xf>
    <xf numFmtId="0" fontId="134" fillId="0" borderId="0" xfId="12" applyFont="1" applyBorder="1" applyAlignment="1" applyProtection="1">
      <alignment vertical="top"/>
    </xf>
    <xf numFmtId="0" fontId="134" fillId="0" borderId="0" xfId="12" applyFont="1" applyBorder="1" applyAlignment="1" applyProtection="1">
      <alignment horizontal="right" vertical="top"/>
    </xf>
    <xf numFmtId="0" fontId="134" fillId="0" borderId="9" xfId="12" applyFont="1" applyBorder="1" applyAlignment="1" applyProtection="1">
      <alignment vertical="top"/>
    </xf>
    <xf numFmtId="0" fontId="134" fillId="0" borderId="0" xfId="12" applyFont="1" applyAlignment="1" applyProtection="1">
      <alignment horizontal="left" vertical="top" wrapText="1"/>
    </xf>
    <xf numFmtId="0" fontId="134" fillId="0" borderId="0" xfId="12" applyFont="1" applyBorder="1" applyAlignment="1" applyProtection="1">
      <alignment horizontal="left" vertical="top" wrapText="1"/>
    </xf>
    <xf numFmtId="0" fontId="134" fillId="0" borderId="21" xfId="12" applyFont="1" applyBorder="1" applyAlignment="1" applyProtection="1">
      <alignment horizontal="left" vertical="top" wrapText="1"/>
    </xf>
    <xf numFmtId="0" fontId="134" fillId="18" borderId="20" xfId="12" applyFont="1" applyFill="1" applyBorder="1" applyAlignment="1" applyProtection="1">
      <alignment vertical="top"/>
    </xf>
    <xf numFmtId="49" fontId="134" fillId="0" borderId="20" xfId="12" applyNumberFormat="1" applyFont="1" applyFill="1" applyBorder="1" applyAlignment="1" applyProtection="1">
      <alignment horizontal="left" vertical="top" wrapText="1"/>
    </xf>
    <xf numFmtId="49" fontId="134" fillId="0" borderId="20" xfId="12" applyNumberFormat="1" applyFont="1" applyFill="1" applyBorder="1" applyAlignment="1" applyProtection="1">
      <alignment horizontal="left" vertical="top"/>
    </xf>
    <xf numFmtId="0" fontId="134" fillId="0" borderId="20" xfId="12" applyFont="1" applyFill="1" applyBorder="1" applyAlignment="1" applyProtection="1">
      <alignment vertical="top"/>
    </xf>
    <xf numFmtId="49" fontId="134" fillId="0" borderId="0" xfId="12" applyNumberFormat="1" applyFont="1" applyFill="1" applyAlignment="1" applyProtection="1">
      <alignment vertical="top"/>
    </xf>
    <xf numFmtId="49" fontId="134" fillId="0" borderId="0" xfId="12" applyNumberFormat="1" applyFont="1" applyFill="1" applyBorder="1" applyAlignment="1" applyProtection="1">
      <alignment horizontal="left" vertical="top" wrapText="1"/>
    </xf>
    <xf numFmtId="49" fontId="134" fillId="0" borderId="0" xfId="12" applyNumberFormat="1" applyFont="1" applyFill="1" applyAlignment="1" applyProtection="1">
      <alignment horizontal="center" vertical="top"/>
    </xf>
    <xf numFmtId="49" fontId="134" fillId="0" borderId="0" xfId="12" applyNumberFormat="1" applyFont="1" applyFill="1" applyAlignment="1" applyProtection="1">
      <alignment horizontal="left" vertical="top"/>
    </xf>
    <xf numFmtId="49" fontId="134" fillId="0" borderId="0" xfId="12" applyNumberFormat="1" applyFont="1" applyAlignment="1" applyProtection="1">
      <alignment horizontal="left" vertical="top" wrapText="1"/>
    </xf>
    <xf numFmtId="0" fontId="134" fillId="0" borderId="9" xfId="12" applyFont="1" applyBorder="1" applyAlignment="1" applyProtection="1">
      <alignment horizontal="left" vertical="top" wrapText="1"/>
    </xf>
    <xf numFmtId="49" fontId="134" fillId="0" borderId="20" xfId="12" applyNumberFormat="1" applyFont="1" applyFill="1" applyBorder="1" applyAlignment="1" applyProtection="1">
      <alignment vertical="top"/>
    </xf>
    <xf numFmtId="0" fontId="4" fillId="0" borderId="0" xfId="12" applyFont="1" applyAlignment="1" applyProtection="1">
      <alignment vertical="top"/>
    </xf>
    <xf numFmtId="0" fontId="134" fillId="10" borderId="0" xfId="12" applyFont="1" applyFill="1" applyAlignment="1" applyProtection="1">
      <alignment vertical="top"/>
    </xf>
    <xf numFmtId="49" fontId="134" fillId="0" borderId="20" xfId="12" applyNumberFormat="1" applyFont="1" applyBorder="1" applyAlignment="1" applyProtection="1">
      <alignment vertical="top" wrapText="1"/>
    </xf>
    <xf numFmtId="49" fontId="134" fillId="0" borderId="0" xfId="12" applyNumberFormat="1" applyFont="1" applyBorder="1" applyAlignment="1" applyProtection="1">
      <alignment vertical="top" wrapText="1"/>
    </xf>
    <xf numFmtId="49" fontId="134" fillId="0" borderId="39" xfId="12" quotePrefix="1" applyNumberFormat="1" applyFont="1" applyBorder="1" applyAlignment="1" applyProtection="1">
      <alignment horizontal="center" vertical="top"/>
    </xf>
    <xf numFmtId="0" fontId="134" fillId="18" borderId="0" xfId="12" applyFont="1" applyFill="1" applyAlignment="1" applyProtection="1">
      <alignment vertical="top"/>
    </xf>
    <xf numFmtId="0" fontId="134" fillId="0" borderId="94" xfId="12" applyFont="1" applyBorder="1" applyAlignment="1" applyProtection="1">
      <alignment vertical="top"/>
    </xf>
    <xf numFmtId="49" fontId="134" fillId="0" borderId="89" xfId="12" applyNumberFormat="1" applyFont="1" applyBorder="1" applyAlignment="1" applyProtection="1">
      <alignment vertical="top"/>
    </xf>
    <xf numFmtId="49" fontId="134" fillId="0" borderId="89" xfId="12" applyNumberFormat="1" applyFont="1" applyBorder="1" applyAlignment="1" applyProtection="1">
      <alignment horizontal="left" vertical="top"/>
    </xf>
    <xf numFmtId="0" fontId="134" fillId="0" borderId="89" xfId="12" applyFont="1" applyBorder="1" applyAlignment="1" applyProtection="1">
      <alignment vertical="top"/>
    </xf>
    <xf numFmtId="49" fontId="134" fillId="0" borderId="14" xfId="12" applyNumberFormat="1" applyFont="1" applyBorder="1" applyAlignment="1" applyProtection="1">
      <alignment horizontal="center"/>
    </xf>
    <xf numFmtId="49" fontId="134" fillId="0" borderId="14" xfId="12" applyNumberFormat="1" applyFont="1" applyBorder="1" applyAlignment="1" applyProtection="1">
      <alignment horizontal="left"/>
    </xf>
    <xf numFmtId="0" fontId="134" fillId="0" borderId="14" xfId="12" applyFont="1" applyBorder="1" applyAlignment="1" applyProtection="1">
      <alignment horizontal="center" wrapText="1"/>
    </xf>
    <xf numFmtId="0" fontId="134" fillId="0" borderId="14" xfId="12" applyFont="1" applyBorder="1" applyAlignment="1" applyProtection="1"/>
    <xf numFmtId="0" fontId="134" fillId="0" borderId="14" xfId="12" applyFont="1" applyBorder="1" applyAlignment="1" applyProtection="1">
      <alignment vertical="top"/>
    </xf>
    <xf numFmtId="49" fontId="134" fillId="10" borderId="53" xfId="12" applyNumberFormat="1" applyFont="1" applyFill="1" applyBorder="1" applyAlignment="1" applyProtection="1">
      <alignment horizontal="left" vertical="top" wrapText="1"/>
    </xf>
    <xf numFmtId="49" fontId="134" fillId="10" borderId="54" xfId="12" applyNumberFormat="1" applyFont="1" applyFill="1" applyBorder="1" applyAlignment="1" applyProtection="1">
      <alignment horizontal="left" vertical="top" wrapText="1"/>
    </xf>
    <xf numFmtId="49" fontId="134" fillId="10" borderId="24" xfId="12" applyNumberFormat="1" applyFont="1" applyFill="1" applyBorder="1" applyAlignment="1" applyProtection="1">
      <alignment horizontal="left" vertical="top"/>
    </xf>
    <xf numFmtId="49" fontId="134" fillId="10" borderId="17" xfId="12" quotePrefix="1" applyNumberFormat="1" applyFont="1" applyFill="1" applyBorder="1" applyAlignment="1" applyProtection="1">
      <alignment horizontal="center" vertical="top"/>
    </xf>
    <xf numFmtId="0" fontId="134" fillId="10" borderId="17" xfId="12" applyFont="1" applyFill="1" applyBorder="1" applyAlignment="1" applyProtection="1">
      <alignment horizontal="left" vertical="top"/>
    </xf>
    <xf numFmtId="49" fontId="134" fillId="10" borderId="52" xfId="12" applyNumberFormat="1" applyFont="1" applyFill="1" applyBorder="1" applyAlignment="1" applyProtection="1">
      <alignment horizontal="left" vertical="top" wrapText="1"/>
    </xf>
    <xf numFmtId="49" fontId="134" fillId="10" borderId="39" xfId="12" applyNumberFormat="1" applyFont="1" applyFill="1" applyBorder="1" applyAlignment="1" applyProtection="1">
      <alignment horizontal="left" vertical="top" wrapText="1"/>
    </xf>
    <xf numFmtId="49" fontId="134" fillId="10" borderId="26" xfId="12" applyNumberFormat="1" applyFont="1" applyFill="1" applyBorder="1" applyAlignment="1" applyProtection="1">
      <alignment horizontal="left" vertical="top"/>
    </xf>
    <xf numFmtId="49" fontId="134" fillId="10" borderId="18" xfId="12" quotePrefix="1" applyNumberFormat="1" applyFont="1" applyFill="1" applyBorder="1" applyAlignment="1" applyProtection="1">
      <alignment horizontal="center" vertical="top"/>
    </xf>
    <xf numFmtId="0" fontId="134" fillId="10" borderId="18" xfId="12" applyFont="1" applyFill="1" applyBorder="1" applyAlignment="1" applyProtection="1">
      <alignment horizontal="left" vertical="top"/>
    </xf>
    <xf numFmtId="49" fontId="134" fillId="10" borderId="50" xfId="12" applyNumberFormat="1" applyFont="1" applyFill="1" applyBorder="1" applyAlignment="1" applyProtection="1">
      <alignment horizontal="left" vertical="top" wrapText="1"/>
    </xf>
    <xf numFmtId="49" fontId="134" fillId="10" borderId="51" xfId="12" applyNumberFormat="1" applyFont="1" applyFill="1" applyBorder="1" applyAlignment="1" applyProtection="1">
      <alignment horizontal="left" vertical="top" wrapText="1"/>
    </xf>
    <xf numFmtId="49" fontId="134" fillId="10" borderId="25" xfId="12" applyNumberFormat="1" applyFont="1" applyFill="1" applyBorder="1" applyAlignment="1" applyProtection="1">
      <alignment horizontal="left" vertical="top"/>
    </xf>
    <xf numFmtId="49" fontId="134" fillId="10" borderId="19" xfId="12" quotePrefix="1" applyNumberFormat="1" applyFont="1" applyFill="1" applyBorder="1" applyAlignment="1" applyProtection="1">
      <alignment horizontal="center" vertical="top"/>
    </xf>
    <xf numFmtId="0" fontId="134" fillId="10" borderId="19" xfId="12" applyFont="1" applyFill="1" applyBorder="1" applyAlignment="1" applyProtection="1">
      <alignment horizontal="left" vertical="top"/>
    </xf>
    <xf numFmtId="49" fontId="134" fillId="0" borderId="0" xfId="12" applyNumberFormat="1" applyFont="1" applyProtection="1"/>
    <xf numFmtId="49" fontId="134" fillId="0" borderId="0" xfId="12" applyNumberFormat="1" applyFont="1" applyAlignment="1" applyProtection="1">
      <alignment horizontal="left"/>
    </xf>
    <xf numFmtId="49" fontId="134" fillId="0" borderId="0" xfId="12" applyNumberFormat="1" applyFont="1" applyAlignment="1" applyProtection="1">
      <alignment horizontal="center"/>
    </xf>
    <xf numFmtId="0" fontId="134" fillId="0" borderId="0" xfId="12" applyFont="1" applyAlignment="1" applyProtection="1">
      <alignment horizontal="right"/>
    </xf>
    <xf numFmtId="0" fontId="134" fillId="0" borderId="0" xfId="12" applyFont="1" applyAlignment="1" applyProtection="1">
      <alignment horizontal="left"/>
    </xf>
    <xf numFmtId="0" fontId="134" fillId="0" borderId="0" xfId="12" applyFont="1" applyAlignment="1" applyProtection="1">
      <alignment horizontal="center"/>
    </xf>
    <xf numFmtId="0" fontId="86" fillId="0" borderId="0" xfId="0" applyFont="1" applyAlignment="1" applyProtection="1">
      <alignment horizontal="center"/>
    </xf>
    <xf numFmtId="0" fontId="85" fillId="0" borderId="0" xfId="0" applyFont="1" applyAlignment="1" applyProtection="1">
      <alignment horizontal="center"/>
    </xf>
    <xf numFmtId="0" fontId="54" fillId="0" borderId="0" xfId="0" applyFont="1" applyBorder="1" applyAlignment="1" applyProtection="1">
      <alignment horizontal="justify" vertical="top" wrapText="1"/>
    </xf>
    <xf numFmtId="0" fontId="64" fillId="4" borderId="58" xfId="0" applyFont="1" applyFill="1" applyBorder="1" applyAlignment="1" applyProtection="1">
      <alignment horizontal="center" vertical="center"/>
    </xf>
    <xf numFmtId="0" fontId="64" fillId="4" borderId="36" xfId="0" applyFont="1" applyFill="1" applyBorder="1" applyAlignment="1" applyProtection="1">
      <alignment horizontal="center" vertical="center"/>
    </xf>
    <xf numFmtId="0" fontId="50" fillId="5" borderId="37" xfId="0" applyFont="1" applyFill="1" applyBorder="1" applyAlignment="1" applyProtection="1">
      <alignment horizontal="left" vertical="center"/>
    </xf>
    <xf numFmtId="0" fontId="50" fillId="5" borderId="2" xfId="0" applyFont="1" applyFill="1" applyBorder="1" applyAlignment="1" applyProtection="1">
      <alignment horizontal="left" vertical="center"/>
    </xf>
    <xf numFmtId="0" fontId="50" fillId="5" borderId="38" xfId="0" applyFont="1" applyFill="1" applyBorder="1" applyAlignment="1" applyProtection="1">
      <alignment horizontal="left" vertical="center"/>
    </xf>
    <xf numFmtId="0" fontId="54" fillId="5" borderId="37" xfId="0" applyFont="1" applyFill="1" applyBorder="1" applyAlignment="1" applyProtection="1">
      <alignment horizontal="center" vertical="center"/>
    </xf>
    <xf numFmtId="0" fontId="54" fillId="5" borderId="38" xfId="0" applyFont="1" applyFill="1" applyBorder="1" applyAlignment="1" applyProtection="1">
      <alignment horizontal="center" vertical="center"/>
    </xf>
    <xf numFmtId="0" fontId="50" fillId="5" borderId="82" xfId="0" applyFont="1" applyFill="1" applyBorder="1" applyAlignment="1" applyProtection="1">
      <alignment horizontal="center" vertical="center"/>
    </xf>
    <xf numFmtId="0" fontId="50" fillId="5" borderId="83" xfId="0" applyFont="1" applyFill="1" applyBorder="1" applyAlignment="1" applyProtection="1">
      <alignment horizontal="center" vertical="center"/>
    </xf>
    <xf numFmtId="0" fontId="54" fillId="5" borderId="37"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38" xfId="0" applyFont="1" applyFill="1" applyBorder="1" applyAlignment="1" applyProtection="1">
      <alignment horizontal="left" vertical="center"/>
    </xf>
    <xf numFmtId="167" fontId="54" fillId="5" borderId="10" xfId="0" applyNumberFormat="1" applyFont="1" applyFill="1" applyBorder="1" applyAlignment="1" applyProtection="1">
      <alignment horizontal="left" vertical="center"/>
    </xf>
    <xf numFmtId="167" fontId="54" fillId="5" borderId="15" xfId="0" applyNumberFormat="1" applyFont="1" applyFill="1" applyBorder="1" applyAlignment="1" applyProtection="1">
      <alignment horizontal="left" vertical="center"/>
    </xf>
    <xf numFmtId="0" fontId="54" fillId="5" borderId="10" xfId="0" applyFont="1" applyFill="1" applyBorder="1" applyAlignment="1" applyProtection="1">
      <alignment horizontal="left" vertical="center"/>
    </xf>
    <xf numFmtId="0" fontId="54" fillId="5" borderId="14" xfId="0" applyFont="1" applyFill="1" applyBorder="1" applyAlignment="1" applyProtection="1">
      <alignment horizontal="left" vertical="center"/>
    </xf>
    <xf numFmtId="0" fontId="54" fillId="5" borderId="15" xfId="0" applyFont="1" applyFill="1" applyBorder="1" applyAlignment="1" applyProtection="1">
      <alignment horizontal="left" vertical="center"/>
    </xf>
    <xf numFmtId="167" fontId="54" fillId="5" borderId="37" xfId="0" applyNumberFormat="1" applyFont="1" applyFill="1" applyBorder="1" applyAlignment="1" applyProtection="1">
      <alignment horizontal="left" vertical="center"/>
    </xf>
    <xf numFmtId="167" fontId="54" fillId="5" borderId="38" xfId="0" applyNumberFormat="1" applyFont="1" applyFill="1" applyBorder="1" applyAlignment="1" applyProtection="1">
      <alignment horizontal="left" vertical="center"/>
    </xf>
    <xf numFmtId="0" fontId="54" fillId="5" borderId="3" xfId="0" applyFont="1" applyFill="1" applyBorder="1" applyAlignment="1" applyProtection="1">
      <alignment horizontal="left"/>
    </xf>
    <xf numFmtId="169" fontId="54" fillId="5" borderId="37" xfId="0" applyNumberFormat="1" applyFont="1" applyFill="1" applyBorder="1" applyAlignment="1" applyProtection="1">
      <alignment horizontal="center" vertical="center"/>
    </xf>
    <xf numFmtId="169" fontId="54" fillId="5" borderId="38" xfId="0" applyNumberFormat="1" applyFont="1" applyFill="1" applyBorder="1" applyAlignment="1" applyProtection="1">
      <alignment horizontal="center" vertical="center"/>
    </xf>
    <xf numFmtId="167" fontId="54" fillId="5" borderId="2" xfId="0" applyNumberFormat="1" applyFont="1" applyFill="1" applyBorder="1" applyAlignment="1" applyProtection="1">
      <alignment horizontal="left" vertical="center"/>
    </xf>
    <xf numFmtId="0" fontId="54" fillId="5" borderId="3" xfId="0" applyFont="1" applyFill="1" applyBorder="1" applyAlignment="1" applyProtection="1">
      <alignment horizontal="center" vertical="center"/>
    </xf>
    <xf numFmtId="0" fontId="54" fillId="5" borderId="37" xfId="0" applyNumberFormat="1" applyFont="1" applyFill="1" applyBorder="1" applyAlignment="1" applyProtection="1">
      <alignment horizontal="left" vertical="center"/>
    </xf>
    <xf numFmtId="0" fontId="54" fillId="5" borderId="2" xfId="0" applyNumberFormat="1" applyFont="1" applyFill="1" applyBorder="1" applyAlignment="1" applyProtection="1">
      <alignment horizontal="left" vertical="center"/>
    </xf>
    <xf numFmtId="0" fontId="54" fillId="5" borderId="38" xfId="0" applyNumberFormat="1" applyFont="1" applyFill="1" applyBorder="1" applyAlignment="1" applyProtection="1">
      <alignment horizontal="left" vertical="center"/>
    </xf>
    <xf numFmtId="3" fontId="54" fillId="5" borderId="37" xfId="0" applyNumberFormat="1" applyFont="1" applyFill="1" applyBorder="1" applyAlignment="1" applyProtection="1">
      <alignment horizontal="left" vertical="center"/>
    </xf>
    <xf numFmtId="3" fontId="54" fillId="5" borderId="38" xfId="0" applyNumberFormat="1" applyFont="1" applyFill="1" applyBorder="1" applyAlignment="1" applyProtection="1">
      <alignment horizontal="left" vertical="center"/>
    </xf>
    <xf numFmtId="178" fontId="54" fillId="5" borderId="37" xfId="0" applyNumberFormat="1" applyFont="1" applyFill="1" applyBorder="1" applyAlignment="1" applyProtection="1">
      <alignment horizontal="left" vertical="center"/>
    </xf>
    <xf numFmtId="178" fontId="54" fillId="5" borderId="38" xfId="0" applyNumberFormat="1" applyFont="1" applyFill="1" applyBorder="1" applyAlignment="1" applyProtection="1">
      <alignment horizontal="left" vertical="center"/>
    </xf>
    <xf numFmtId="0" fontId="50" fillId="5" borderId="3" xfId="0" applyFont="1" applyFill="1" applyBorder="1" applyAlignment="1" applyProtection="1">
      <alignment horizontal="left" vertical="center"/>
    </xf>
    <xf numFmtId="0" fontId="54" fillId="6" borderId="37" xfId="0" applyNumberFormat="1" applyFont="1" applyFill="1" applyBorder="1" applyAlignment="1" applyProtection="1">
      <alignment horizontal="left" vertical="center"/>
    </xf>
    <xf numFmtId="0" fontId="54" fillId="6" borderId="38" xfId="0" applyNumberFormat="1" applyFont="1" applyFill="1" applyBorder="1" applyAlignment="1" applyProtection="1">
      <alignment horizontal="left" vertical="center"/>
    </xf>
    <xf numFmtId="0" fontId="0" fillId="0" borderId="38" xfId="0" applyBorder="1" applyProtection="1"/>
    <xf numFmtId="0" fontId="54" fillId="5" borderId="3" xfId="0" applyFont="1" applyFill="1" applyBorder="1" applyAlignment="1" applyProtection="1">
      <alignment horizontal="left" vertical="center"/>
    </xf>
    <xf numFmtId="0" fontId="54" fillId="6" borderId="37" xfId="0" applyFont="1" applyFill="1" applyBorder="1" applyAlignment="1" applyProtection="1">
      <alignment horizontal="left" vertical="center"/>
    </xf>
    <xf numFmtId="0" fontId="54" fillId="6" borderId="2" xfId="0" applyFont="1" applyFill="1" applyBorder="1" applyAlignment="1" applyProtection="1">
      <alignment horizontal="left" vertical="center"/>
    </xf>
    <xf numFmtId="0" fontId="54" fillId="6" borderId="38" xfId="0" applyFont="1" applyFill="1" applyBorder="1" applyAlignment="1" applyProtection="1">
      <alignment horizontal="left" vertical="center"/>
    </xf>
    <xf numFmtId="164" fontId="54" fillId="5" borderId="3" xfId="1" applyNumberFormat="1" applyFont="1" applyFill="1" applyBorder="1" applyAlignment="1" applyProtection="1">
      <alignment vertical="center"/>
    </xf>
    <xf numFmtId="1" fontId="54" fillId="5" borderId="37" xfId="1" applyNumberFormat="1" applyFont="1" applyFill="1" applyBorder="1" applyAlignment="1" applyProtection="1">
      <alignment horizontal="center" vertical="center"/>
    </xf>
    <xf numFmtId="1" fontId="54" fillId="5" borderId="38" xfId="1" applyNumberFormat="1" applyFont="1" applyFill="1" applyBorder="1" applyAlignment="1" applyProtection="1">
      <alignment horizontal="center" vertical="center"/>
    </xf>
    <xf numFmtId="38" fontId="54" fillId="5" borderId="37" xfId="0" applyNumberFormat="1" applyFont="1" applyFill="1" applyBorder="1" applyAlignment="1" applyProtection="1">
      <alignment horizontal="left" vertical="center"/>
    </xf>
    <xf numFmtId="38" fontId="54" fillId="5" borderId="2" xfId="0" applyNumberFormat="1" applyFont="1" applyFill="1" applyBorder="1" applyAlignment="1" applyProtection="1">
      <alignment horizontal="left" vertical="center"/>
    </xf>
    <xf numFmtId="38" fontId="54" fillId="5" borderId="89" xfId="0" applyNumberFormat="1" applyFont="1" applyFill="1" applyBorder="1" applyAlignment="1" applyProtection="1">
      <alignment horizontal="left" vertical="center"/>
    </xf>
    <xf numFmtId="38" fontId="54" fillId="5" borderId="85" xfId="0" applyNumberFormat="1" applyFont="1" applyFill="1" applyBorder="1" applyAlignment="1" applyProtection="1">
      <alignment horizontal="left" vertical="center"/>
    </xf>
    <xf numFmtId="0" fontId="54" fillId="5" borderId="82" xfId="0" applyFont="1" applyFill="1" applyBorder="1" applyAlignment="1" applyProtection="1">
      <alignment horizontal="left" vertical="center"/>
    </xf>
    <xf numFmtId="0" fontId="54" fillId="5" borderId="86" xfId="0" applyFont="1" applyFill="1" applyBorder="1" applyAlignment="1" applyProtection="1">
      <alignment horizontal="left" vertical="center"/>
    </xf>
    <xf numFmtId="0" fontId="54" fillId="5" borderId="83" xfId="0" applyFont="1" applyFill="1" applyBorder="1" applyAlignment="1" applyProtection="1">
      <alignment horizontal="left" vertical="center"/>
    </xf>
    <xf numFmtId="38" fontId="54" fillId="5" borderId="82" xfId="0" applyNumberFormat="1" applyFont="1" applyFill="1" applyBorder="1" applyAlignment="1" applyProtection="1">
      <alignment horizontal="left" vertical="center"/>
    </xf>
    <xf numFmtId="38" fontId="54" fillId="5" borderId="86" xfId="0" applyNumberFormat="1" applyFont="1" applyFill="1" applyBorder="1" applyAlignment="1" applyProtection="1">
      <alignment horizontal="left" vertical="center"/>
    </xf>
    <xf numFmtId="38" fontId="54" fillId="5" borderId="83" xfId="0" applyNumberFormat="1" applyFont="1" applyFill="1" applyBorder="1" applyAlignment="1" applyProtection="1">
      <alignment horizontal="left" vertical="center"/>
    </xf>
    <xf numFmtId="38" fontId="54" fillId="5" borderId="14" xfId="0" applyNumberFormat="1" applyFont="1" applyFill="1" applyBorder="1" applyAlignment="1" applyProtection="1">
      <alignment horizontal="left" vertical="center"/>
    </xf>
    <xf numFmtId="38" fontId="54" fillId="5" borderId="15" xfId="0" applyNumberFormat="1" applyFont="1" applyFill="1" applyBorder="1" applyAlignment="1" applyProtection="1">
      <alignment horizontal="left" vertical="center"/>
    </xf>
    <xf numFmtId="169" fontId="54" fillId="5" borderId="37" xfId="0" applyNumberFormat="1" applyFont="1" applyFill="1" applyBorder="1" applyAlignment="1" applyProtection="1">
      <alignment horizontal="left" vertical="center"/>
    </xf>
    <xf numFmtId="169" fontId="54" fillId="5" borderId="38" xfId="0" applyNumberFormat="1" applyFont="1" applyFill="1" applyBorder="1" applyAlignment="1" applyProtection="1">
      <alignment horizontal="left" vertical="center"/>
    </xf>
    <xf numFmtId="167" fontId="54" fillId="5" borderId="37" xfId="0" applyNumberFormat="1" applyFont="1" applyFill="1" applyBorder="1" applyAlignment="1" applyProtection="1">
      <alignment horizontal="center" vertical="center"/>
    </xf>
    <xf numFmtId="167" fontId="54" fillId="5" borderId="2" xfId="0" applyNumberFormat="1" applyFont="1" applyFill="1" applyBorder="1" applyAlignment="1" applyProtection="1">
      <alignment horizontal="center" vertical="center"/>
    </xf>
    <xf numFmtId="167" fontId="54" fillId="5" borderId="38" xfId="0" applyNumberFormat="1" applyFont="1" applyFill="1" applyBorder="1" applyAlignment="1" applyProtection="1">
      <alignment horizontal="center" vertical="center"/>
    </xf>
    <xf numFmtId="167" fontId="54" fillId="5" borderId="82" xfId="0" applyNumberFormat="1" applyFont="1" applyFill="1" applyBorder="1" applyAlignment="1" applyProtection="1">
      <alignment horizontal="left" vertical="center"/>
    </xf>
    <xf numFmtId="167" fontId="54" fillId="5" borderId="83" xfId="0" applyNumberFormat="1" applyFont="1" applyFill="1" applyBorder="1" applyAlignment="1" applyProtection="1">
      <alignment horizontal="left" vertical="center"/>
    </xf>
    <xf numFmtId="176" fontId="54" fillId="5" borderId="3" xfId="0" applyNumberFormat="1" applyFont="1" applyFill="1" applyBorder="1" applyAlignment="1" applyProtection="1">
      <alignment horizontal="center" vertical="center"/>
    </xf>
    <xf numFmtId="3" fontId="54" fillId="5" borderId="3" xfId="1" applyNumberFormat="1" applyFont="1" applyFill="1" applyBorder="1" applyAlignment="1" applyProtection="1">
      <alignment horizontal="center" vertical="center"/>
    </xf>
    <xf numFmtId="0" fontId="54" fillId="5" borderId="37" xfId="0" applyFont="1" applyFill="1" applyBorder="1" applyAlignment="1" applyProtection="1">
      <alignment horizontal="left"/>
    </xf>
    <xf numFmtId="0" fontId="54" fillId="5" borderId="38" xfId="0" applyFont="1" applyFill="1" applyBorder="1" applyAlignment="1" applyProtection="1">
      <alignment horizontal="left"/>
    </xf>
    <xf numFmtId="0" fontId="54" fillId="5" borderId="37" xfId="0" applyFont="1" applyFill="1" applyBorder="1" applyAlignment="1" applyProtection="1">
      <alignment horizontal="center"/>
    </xf>
    <xf numFmtId="0" fontId="54" fillId="5" borderId="2" xfId="0" applyFont="1" applyFill="1" applyBorder="1" applyAlignment="1" applyProtection="1">
      <alignment horizontal="center"/>
    </xf>
    <xf numFmtId="0" fontId="54" fillId="5" borderId="38" xfId="0" applyFont="1" applyFill="1" applyBorder="1" applyAlignment="1" applyProtection="1">
      <alignment horizontal="center"/>
    </xf>
    <xf numFmtId="175" fontId="54" fillId="5" borderId="37" xfId="0" applyNumberFormat="1" applyFont="1" applyFill="1" applyBorder="1" applyAlignment="1" applyProtection="1">
      <alignment horizontal="left" vertical="center"/>
    </xf>
    <xf numFmtId="175" fontId="54" fillId="5" borderId="38" xfId="0" applyNumberFormat="1" applyFont="1" applyFill="1" applyBorder="1" applyAlignment="1" applyProtection="1">
      <alignment horizontal="left" vertical="center"/>
    </xf>
    <xf numFmtId="0" fontId="54" fillId="0" borderId="2" xfId="0" applyFont="1" applyBorder="1" applyProtection="1"/>
    <xf numFmtId="0" fontId="54" fillId="0" borderId="38" xfId="0" applyFont="1" applyBorder="1" applyProtection="1"/>
    <xf numFmtId="0" fontId="54" fillId="5" borderId="3" xfId="0" applyFont="1" applyFill="1" applyBorder="1" applyAlignment="1" applyProtection="1">
      <alignment horizontal="center"/>
    </xf>
    <xf numFmtId="3" fontId="54" fillId="5" borderId="3" xfId="0" applyNumberFormat="1" applyFont="1" applyFill="1" applyBorder="1" applyAlignment="1" applyProtection="1">
      <alignment horizontal="center"/>
    </xf>
    <xf numFmtId="0" fontId="50" fillId="5" borderId="53" xfId="0" applyFont="1" applyFill="1" applyBorder="1" applyAlignment="1" applyProtection="1">
      <alignment horizontal="left" vertical="center"/>
    </xf>
    <xf numFmtId="0" fontId="50" fillId="5" borderId="54" xfId="0" applyFont="1" applyFill="1" applyBorder="1" applyAlignment="1" applyProtection="1">
      <alignment horizontal="left" vertical="center"/>
    </xf>
    <xf numFmtId="0" fontId="50" fillId="5" borderId="24" xfId="0" applyFont="1" applyFill="1" applyBorder="1" applyAlignment="1" applyProtection="1">
      <alignment horizontal="left" vertical="center"/>
    </xf>
    <xf numFmtId="0" fontId="50" fillId="5" borderId="52" xfId="0" applyFont="1" applyFill="1" applyBorder="1" applyAlignment="1" applyProtection="1">
      <alignment horizontal="left" vertical="center"/>
    </xf>
    <xf numFmtId="0" fontId="50" fillId="5" borderId="39" xfId="0" applyFont="1" applyFill="1" applyBorder="1" applyAlignment="1" applyProtection="1">
      <alignment horizontal="left" vertical="center"/>
    </xf>
    <xf numFmtId="0" fontId="50" fillId="5" borderId="26" xfId="0" applyFont="1" applyFill="1" applyBorder="1" applyAlignment="1" applyProtection="1">
      <alignment horizontal="left" vertical="center"/>
    </xf>
    <xf numFmtId="0" fontId="50" fillId="5" borderId="50" xfId="0" applyFont="1" applyFill="1" applyBorder="1" applyAlignment="1" applyProtection="1">
      <alignment horizontal="left" vertical="center"/>
    </xf>
    <xf numFmtId="0" fontId="50" fillId="5" borderId="51" xfId="0" applyFont="1" applyFill="1" applyBorder="1" applyAlignment="1" applyProtection="1">
      <alignment horizontal="left" vertical="center"/>
    </xf>
    <xf numFmtId="0" fontId="50" fillId="5" borderId="25" xfId="0" applyFont="1" applyFill="1" applyBorder="1" applyAlignment="1" applyProtection="1">
      <alignment horizontal="left" vertical="center"/>
    </xf>
    <xf numFmtId="1" fontId="54" fillId="5" borderId="3" xfId="0" applyNumberFormat="1" applyFont="1" applyFill="1" applyBorder="1" applyAlignment="1" applyProtection="1">
      <alignment horizontal="center" vertical="center"/>
    </xf>
    <xf numFmtId="0" fontId="54" fillId="5" borderId="7" xfId="0" applyFont="1" applyFill="1" applyBorder="1" applyAlignment="1" applyProtection="1">
      <alignment horizontal="left" vertical="center"/>
    </xf>
    <xf numFmtId="0" fontId="54" fillId="5" borderId="3" xfId="1" applyNumberFormat="1" applyFont="1" applyFill="1" applyBorder="1" applyAlignment="1" applyProtection="1">
      <alignment horizontal="center" vertical="center"/>
    </xf>
    <xf numFmtId="0" fontId="50" fillId="5" borderId="82" xfId="0" applyFont="1" applyFill="1" applyBorder="1" applyAlignment="1" applyProtection="1">
      <alignment horizontal="center"/>
    </xf>
    <xf numFmtId="0" fontId="50" fillId="5" borderId="83" xfId="0" applyFont="1" applyFill="1" applyBorder="1" applyAlignment="1" applyProtection="1">
      <alignment horizontal="center"/>
    </xf>
    <xf numFmtId="8" fontId="54" fillId="5" borderId="37" xfId="0" applyNumberFormat="1" applyFont="1" applyFill="1" applyBorder="1" applyAlignment="1" applyProtection="1">
      <alignment horizontal="center" vertical="center"/>
    </xf>
    <xf numFmtId="8" fontId="54" fillId="5" borderId="38" xfId="0" applyNumberFormat="1" applyFont="1" applyFill="1" applyBorder="1" applyAlignment="1" applyProtection="1">
      <alignment horizontal="center" vertical="center"/>
    </xf>
    <xf numFmtId="0" fontId="50" fillId="5" borderId="37"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8" xfId="0" applyFont="1" applyFill="1" applyBorder="1" applyAlignment="1" applyProtection="1">
      <alignment horizontal="left" vertical="top" wrapText="1"/>
    </xf>
    <xf numFmtId="0" fontId="50" fillId="4" borderId="37" xfId="0" applyFont="1" applyFill="1" applyBorder="1" applyAlignment="1" applyProtection="1">
      <alignment horizontal="left" vertical="top" wrapText="1"/>
    </xf>
    <xf numFmtId="0" fontId="50" fillId="4" borderId="2" xfId="0" applyFont="1" applyFill="1" applyBorder="1" applyAlignment="1" applyProtection="1">
      <alignment horizontal="left" vertical="top" wrapText="1"/>
    </xf>
    <xf numFmtId="0" fontId="50" fillId="4" borderId="38" xfId="0" applyFont="1" applyFill="1" applyBorder="1" applyAlignment="1" applyProtection="1">
      <alignment horizontal="left" vertical="top" wrapText="1"/>
    </xf>
    <xf numFmtId="0" fontId="130" fillId="0" borderId="0" xfId="0" applyNumberFormat="1" applyFont="1" applyProtection="1"/>
    <xf numFmtId="0" fontId="130" fillId="0" borderId="0" xfId="0" applyFont="1" applyProtection="1"/>
    <xf numFmtId="0" fontId="110" fillId="0" borderId="0" xfId="0" applyNumberFormat="1" applyFont="1" applyProtection="1"/>
    <xf numFmtId="0" fontId="68" fillId="0" borderId="0" xfId="0" applyFont="1" applyFill="1" applyAlignment="1" applyProtection="1">
      <alignment horizontal="center" vertical="center"/>
    </xf>
    <xf numFmtId="0" fontId="54" fillId="5" borderId="82" xfId="0" quotePrefix="1" applyFont="1" applyFill="1" applyBorder="1" applyAlignment="1" applyProtection="1">
      <alignment horizontal="center"/>
    </xf>
    <xf numFmtId="0" fontId="54" fillId="5" borderId="83" xfId="0" applyFont="1" applyFill="1" applyBorder="1" applyAlignment="1" applyProtection="1">
      <alignment horizontal="center"/>
    </xf>
    <xf numFmtId="0" fontId="54" fillId="5" borderId="38" xfId="0" applyFont="1" applyFill="1" applyBorder="1" applyAlignment="1" applyProtection="1">
      <alignment horizontal="center"/>
    </xf>
    <xf numFmtId="0" fontId="54" fillId="0" borderId="15" xfId="0" applyFont="1" applyBorder="1" applyProtection="1"/>
    <xf numFmtId="0" fontId="77" fillId="0" borderId="0" xfId="6" applyFont="1" applyFill="1" applyAlignment="1" applyProtection="1">
      <alignment vertical="center"/>
    </xf>
    <xf numFmtId="0" fontId="142" fillId="0" borderId="0" xfId="6" applyFont="1" applyFill="1" applyBorder="1" applyAlignment="1" applyProtection="1">
      <alignment vertical="center"/>
    </xf>
    <xf numFmtId="167" fontId="54" fillId="0" borderId="14" xfId="0" applyNumberFormat="1" applyFont="1" applyFill="1" applyBorder="1" applyAlignment="1" applyProtection="1">
      <alignment vertical="center"/>
    </xf>
    <xf numFmtId="167" fontId="54" fillId="0" borderId="0" xfId="0" applyNumberFormat="1" applyFont="1" applyFill="1" applyBorder="1" applyAlignment="1" applyProtection="1">
      <alignment vertical="center"/>
    </xf>
    <xf numFmtId="167" fontId="54" fillId="0" borderId="2" xfId="0" applyNumberFormat="1" applyFont="1" applyFill="1" applyBorder="1" applyAlignment="1" applyProtection="1">
      <alignment vertical="center"/>
    </xf>
    <xf numFmtId="1" fontId="54" fillId="0" borderId="0" xfId="0" applyNumberFormat="1" applyFont="1" applyFill="1" applyBorder="1" applyAlignment="1" applyProtection="1">
      <alignment horizontal="center" vertical="center"/>
    </xf>
    <xf numFmtId="0" fontId="54" fillId="5" borderId="98" xfId="0" applyFont="1" applyFill="1" applyBorder="1" applyAlignment="1" applyProtection="1">
      <alignment horizontal="left" vertical="center"/>
    </xf>
    <xf numFmtId="0" fontId="54" fillId="5" borderId="100" xfId="0" applyFont="1" applyFill="1" applyBorder="1" applyAlignment="1" applyProtection="1">
      <alignment horizontal="left" vertical="center"/>
    </xf>
    <xf numFmtId="0" fontId="54" fillId="5" borderId="99" xfId="0" applyFont="1" applyFill="1" applyBorder="1" applyAlignment="1" applyProtection="1">
      <alignment horizontal="left" vertical="center"/>
    </xf>
    <xf numFmtId="167" fontId="54" fillId="5" borderId="98" xfId="0" applyNumberFormat="1" applyFont="1" applyFill="1" applyBorder="1" applyAlignment="1" applyProtection="1">
      <alignment horizontal="left" vertical="center"/>
    </xf>
    <xf numFmtId="167" fontId="54" fillId="5" borderId="100" xfId="0" applyNumberFormat="1" applyFont="1" applyFill="1" applyBorder="1" applyAlignment="1" applyProtection="1">
      <alignment horizontal="left" vertical="center"/>
    </xf>
    <xf numFmtId="167" fontId="54" fillId="5" borderId="99" xfId="0" applyNumberFormat="1" applyFont="1" applyFill="1" applyBorder="1" applyAlignment="1" applyProtection="1">
      <alignment horizontal="left" vertical="center"/>
    </xf>
    <xf numFmtId="169" fontId="54" fillId="5" borderId="98" xfId="0" applyNumberFormat="1" applyFont="1" applyFill="1" applyBorder="1" applyAlignment="1" applyProtection="1">
      <alignment horizontal="center" vertical="center"/>
    </xf>
    <xf numFmtId="169" fontId="54" fillId="5" borderId="99" xfId="0" applyNumberFormat="1" applyFont="1" applyFill="1" applyBorder="1" applyAlignment="1" applyProtection="1">
      <alignment horizontal="center" vertical="center"/>
    </xf>
    <xf numFmtId="167" fontId="54" fillId="5" borderId="98" xfId="0" applyNumberFormat="1" applyFont="1" applyFill="1" applyBorder="1" applyAlignment="1" applyProtection="1">
      <alignment horizontal="center" vertical="center"/>
    </xf>
    <xf numFmtId="167" fontId="54" fillId="5" borderId="99" xfId="0" applyNumberFormat="1" applyFont="1" applyFill="1" applyBorder="1" applyAlignment="1" applyProtection="1">
      <alignment horizontal="center" vertical="center"/>
    </xf>
    <xf numFmtId="0" fontId="54" fillId="5" borderId="98" xfId="0" applyNumberFormat="1" applyFont="1" applyFill="1" applyBorder="1" applyAlignment="1" applyProtection="1">
      <alignment horizontal="left" vertical="center"/>
    </xf>
    <xf numFmtId="0" fontId="54" fillId="5" borderId="100" xfId="0" applyNumberFormat="1" applyFont="1" applyFill="1" applyBorder="1" applyAlignment="1" applyProtection="1">
      <alignment horizontal="left" vertical="center"/>
    </xf>
    <xf numFmtId="0" fontId="54" fillId="5" borderId="99" xfId="0" applyNumberFormat="1" applyFont="1" applyFill="1" applyBorder="1" applyAlignment="1" applyProtection="1">
      <alignment horizontal="left" vertical="center"/>
    </xf>
    <xf numFmtId="0" fontId="54"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4" fillId="5" borderId="17" xfId="0" applyFont="1" applyFill="1" applyBorder="1" applyAlignment="1" applyProtection="1">
      <alignment horizontal="center" vertical="center"/>
    </xf>
    <xf numFmtId="0" fontId="54" fillId="5" borderId="29" xfId="0" applyFont="1" applyFill="1" applyBorder="1" applyAlignment="1" applyProtection="1">
      <alignment horizontal="center" vertical="center"/>
    </xf>
    <xf numFmtId="0" fontId="54" fillId="5" borderId="59" xfId="0" applyFont="1" applyFill="1" applyBorder="1" applyAlignment="1" applyProtection="1">
      <alignment horizontal="center" vertical="center"/>
    </xf>
    <xf numFmtId="0" fontId="54" fillId="5" borderId="30" xfId="0" applyFont="1" applyFill="1" applyBorder="1" applyAlignment="1" applyProtection="1">
      <alignment horizontal="center" vertical="center"/>
    </xf>
    <xf numFmtId="0" fontId="54" fillId="5" borderId="29" xfId="0" applyNumberFormat="1" applyFont="1" applyFill="1" applyBorder="1" applyAlignment="1" applyProtection="1">
      <alignment horizontal="center" vertical="center"/>
    </xf>
    <xf numFmtId="0" fontId="54" fillId="5" borderId="30" xfId="0" applyNumberFormat="1" applyFont="1" applyFill="1" applyBorder="1" applyAlignment="1" applyProtection="1">
      <alignment horizontal="center" vertical="center"/>
    </xf>
    <xf numFmtId="174" fontId="54" fillId="5" borderId="29" xfId="10" applyNumberFormat="1" applyFont="1" applyFill="1" applyBorder="1" applyAlignment="1" applyProtection="1">
      <alignment horizontal="right" vertical="center"/>
    </xf>
    <xf numFmtId="174" fontId="54" fillId="5" borderId="30" xfId="0" applyNumberFormat="1" applyFont="1" applyFill="1" applyBorder="1" applyAlignment="1" applyProtection="1">
      <alignment horizontal="right"/>
    </xf>
    <xf numFmtId="0" fontId="54" fillId="5" borderId="18" xfId="0" applyFont="1" applyFill="1" applyBorder="1" applyAlignment="1" applyProtection="1">
      <alignment horizontal="center" vertical="center"/>
    </xf>
    <xf numFmtId="0" fontId="54" fillId="5" borderId="31" xfId="0" applyFont="1" applyFill="1" applyBorder="1" applyAlignment="1" applyProtection="1">
      <alignment horizontal="center" vertical="center"/>
    </xf>
    <xf numFmtId="0" fontId="54" fillId="5" borderId="22" xfId="0" applyFont="1" applyFill="1" applyBorder="1" applyAlignment="1" applyProtection="1">
      <alignment horizontal="center" vertical="center"/>
    </xf>
    <xf numFmtId="0" fontId="54" fillId="5" borderId="32" xfId="0" applyFont="1" applyFill="1" applyBorder="1" applyAlignment="1" applyProtection="1">
      <alignment horizontal="center" vertical="center"/>
    </xf>
    <xf numFmtId="0" fontId="54" fillId="5" borderId="31" xfId="0" applyNumberFormat="1" applyFont="1" applyFill="1" applyBorder="1" applyAlignment="1" applyProtection="1">
      <alignment horizontal="center" vertical="center"/>
    </xf>
    <xf numFmtId="0" fontId="54" fillId="5" borderId="32" xfId="0" applyNumberFormat="1" applyFont="1" applyFill="1" applyBorder="1" applyAlignment="1" applyProtection="1">
      <alignment horizontal="center" vertical="center"/>
    </xf>
    <xf numFmtId="174" fontId="54" fillId="5" borderId="31" xfId="10" applyNumberFormat="1" applyFont="1" applyFill="1" applyBorder="1" applyAlignment="1" applyProtection="1">
      <alignment horizontal="right" vertical="center"/>
    </xf>
    <xf numFmtId="174" fontId="54" fillId="5" borderId="32" xfId="0" applyNumberFormat="1" applyFont="1" applyFill="1" applyBorder="1" applyAlignment="1" applyProtection="1">
      <alignment horizontal="right"/>
    </xf>
    <xf numFmtId="0" fontId="54" fillId="5" borderId="19" xfId="0" applyFont="1" applyFill="1" applyBorder="1" applyAlignment="1" applyProtection="1">
      <alignment horizontal="center" vertical="center"/>
    </xf>
    <xf numFmtId="0" fontId="54" fillId="5" borderId="34" xfId="0" applyFont="1" applyFill="1" applyBorder="1" applyAlignment="1" applyProtection="1">
      <alignment horizontal="center" vertical="center"/>
    </xf>
    <xf numFmtId="0" fontId="54" fillId="5" borderId="60" xfId="0" applyFont="1" applyFill="1" applyBorder="1" applyAlignment="1" applyProtection="1">
      <alignment horizontal="center" vertical="center"/>
    </xf>
    <xf numFmtId="0" fontId="54" fillId="5" borderId="35" xfId="0" applyFont="1" applyFill="1" applyBorder="1" applyAlignment="1" applyProtection="1">
      <alignment horizontal="center" vertical="center"/>
    </xf>
    <xf numFmtId="0" fontId="54" fillId="5" borderId="34" xfId="0" applyNumberFormat="1" applyFont="1" applyFill="1" applyBorder="1" applyAlignment="1" applyProtection="1">
      <alignment horizontal="center" vertical="center"/>
    </xf>
    <xf numFmtId="0" fontId="54" fillId="5" borderId="35" xfId="0" applyNumberFormat="1" applyFont="1" applyFill="1" applyBorder="1" applyAlignment="1" applyProtection="1">
      <alignment horizontal="center" vertical="center"/>
    </xf>
    <xf numFmtId="174" fontId="54" fillId="5" borderId="34" xfId="10" applyNumberFormat="1" applyFont="1" applyFill="1" applyBorder="1" applyAlignment="1" applyProtection="1">
      <alignment horizontal="right" vertical="center"/>
    </xf>
    <xf numFmtId="174" fontId="54" fillId="5" borderId="35" xfId="0" applyNumberFormat="1" applyFont="1" applyFill="1" applyBorder="1" applyAlignment="1" applyProtection="1">
      <alignment horizontal="right"/>
    </xf>
    <xf numFmtId="0" fontId="69" fillId="0" borderId="0" xfId="0" applyFont="1" applyAlignment="1" applyProtection="1">
      <alignment vertical="center"/>
    </xf>
    <xf numFmtId="0" fontId="67" fillId="0" borderId="0" xfId="0" applyFont="1" applyProtection="1"/>
    <xf numFmtId="37" fontId="54" fillId="5" borderId="37" xfId="0" applyNumberFormat="1" applyFont="1" applyFill="1" applyBorder="1" applyAlignment="1" applyProtection="1">
      <alignment horizontal="center" vertical="center"/>
    </xf>
    <xf numFmtId="37" fontId="54" fillId="5" borderId="38" xfId="0" applyNumberFormat="1" applyFont="1" applyFill="1" applyBorder="1" applyAlignment="1" applyProtection="1">
      <alignment horizontal="center" vertical="center"/>
    </xf>
    <xf numFmtId="0" fontId="50" fillId="13" borderId="45" xfId="0" applyFont="1" applyFill="1" applyBorder="1" applyAlignment="1" applyProtection="1">
      <alignment horizontal="left" vertical="top" wrapText="1"/>
    </xf>
    <xf numFmtId="0" fontId="50" fillId="13" borderId="40" xfId="0" applyFont="1" applyFill="1" applyBorder="1" applyAlignment="1" applyProtection="1">
      <alignment horizontal="left" vertical="top" wrapText="1"/>
    </xf>
    <xf numFmtId="0" fontId="50" fillId="13" borderId="41" xfId="0" applyFont="1" applyFill="1" applyBorder="1" applyAlignment="1" applyProtection="1">
      <alignment horizontal="left" vertical="top" wrapText="1"/>
    </xf>
    <xf numFmtId="0" fontId="50" fillId="13" borderId="42" xfId="0" applyFont="1" applyFill="1" applyBorder="1" applyAlignment="1" applyProtection="1">
      <alignment horizontal="left" vertical="top" wrapText="1"/>
    </xf>
    <xf numFmtId="0" fontId="50" fillId="13" borderId="43" xfId="0" applyFont="1" applyFill="1" applyBorder="1" applyAlignment="1" applyProtection="1">
      <alignment horizontal="left" vertical="top" wrapText="1"/>
    </xf>
    <xf numFmtId="0" fontId="50" fillId="13" borderId="61" xfId="0" applyFont="1" applyFill="1" applyBorder="1" applyAlignment="1" applyProtection="1">
      <alignment horizontal="left" vertical="top" wrapText="1"/>
    </xf>
    <xf numFmtId="164" fontId="54" fillId="5" borderId="37" xfId="1" applyNumberFormat="1" applyFont="1" applyFill="1" applyBorder="1" applyAlignment="1" applyProtection="1">
      <alignment horizontal="right" vertical="center"/>
    </xf>
    <xf numFmtId="164" fontId="54" fillId="5" borderId="38" xfId="1" applyNumberFormat="1" applyFont="1" applyFill="1" applyBorder="1" applyAlignment="1" applyProtection="1">
      <alignment horizontal="right" vertical="center"/>
    </xf>
    <xf numFmtId="166" fontId="54" fillId="5" borderId="37" xfId="10" applyNumberFormat="1" applyFont="1" applyFill="1" applyBorder="1" applyAlignment="1" applyProtection="1">
      <alignment horizontal="center" vertical="center"/>
    </xf>
    <xf numFmtId="166" fontId="54" fillId="5" borderId="38" xfId="10" applyNumberFormat="1" applyFont="1" applyFill="1" applyBorder="1" applyAlignment="1" applyProtection="1">
      <alignment horizontal="center" vertical="center"/>
    </xf>
    <xf numFmtId="3" fontId="54" fillId="5" borderId="37" xfId="1" applyNumberFormat="1" applyFont="1" applyFill="1" applyBorder="1" applyAlignment="1" applyProtection="1">
      <alignment horizontal="center" vertical="center"/>
    </xf>
    <xf numFmtId="3" fontId="54" fillId="5" borderId="38" xfId="1" applyNumberFormat="1" applyFont="1" applyFill="1" applyBorder="1" applyAlignment="1" applyProtection="1">
      <alignment horizontal="center" vertical="center"/>
    </xf>
    <xf numFmtId="3" fontId="54" fillId="5" borderId="37" xfId="0" applyNumberFormat="1" applyFont="1" applyFill="1" applyBorder="1" applyAlignment="1" applyProtection="1">
      <alignment horizontal="center" vertical="center"/>
    </xf>
    <xf numFmtId="3" fontId="54" fillId="5" borderId="38" xfId="0" applyNumberFormat="1" applyFont="1" applyFill="1" applyBorder="1" applyAlignment="1" applyProtection="1">
      <alignment horizontal="center" vertical="center"/>
    </xf>
    <xf numFmtId="0" fontId="54" fillId="5" borderId="3" xfId="0" applyFont="1" applyFill="1" applyBorder="1" applyAlignment="1" applyProtection="1">
      <alignment horizontal="left" vertical="center"/>
    </xf>
    <xf numFmtId="38" fontId="62" fillId="11" borderId="37" xfId="2" applyNumberFormat="1" applyFont="1" applyFill="1" applyBorder="1" applyAlignment="1" applyProtection="1">
      <alignment horizontal="right" vertical="center"/>
    </xf>
    <xf numFmtId="38" fontId="62" fillId="11" borderId="38" xfId="2" applyNumberFormat="1" applyFont="1" applyFill="1" applyBorder="1" applyAlignment="1" applyProtection="1">
      <alignment horizontal="right" vertical="center"/>
    </xf>
    <xf numFmtId="0" fontId="54" fillId="0" borderId="14" xfId="0" applyFont="1" applyBorder="1" applyAlignment="1" applyProtection="1">
      <alignment horizontal="center" wrapText="1"/>
    </xf>
    <xf numFmtId="0" fontId="54" fillId="5" borderId="86" xfId="0" applyFont="1" applyFill="1" applyBorder="1" applyAlignment="1" applyProtection="1">
      <alignment vertical="center"/>
    </xf>
    <xf numFmtId="0" fontId="54" fillId="5" borderId="83" xfId="0" applyFont="1" applyFill="1" applyBorder="1" applyAlignment="1" applyProtection="1">
      <alignment vertical="center"/>
    </xf>
    <xf numFmtId="38" fontId="54" fillId="5" borderId="86" xfId="0" applyNumberFormat="1" applyFont="1" applyFill="1" applyBorder="1" applyAlignment="1" applyProtection="1">
      <alignment horizontal="right" vertical="center"/>
    </xf>
    <xf numFmtId="0" fontId="54" fillId="5" borderId="38" xfId="0" applyFont="1" applyFill="1" applyBorder="1" applyAlignment="1" applyProtection="1">
      <alignment vertical="center"/>
    </xf>
    <xf numFmtId="166" fontId="54" fillId="5" borderId="3" xfId="0" applyNumberFormat="1" applyFont="1" applyFill="1" applyBorder="1" applyAlignment="1" applyProtection="1">
      <alignment horizontal="center" vertical="center"/>
    </xf>
    <xf numFmtId="38" fontId="54" fillId="6" borderId="82" xfId="2" applyNumberFormat="1" applyFont="1" applyFill="1" applyBorder="1" applyAlignment="1" applyProtection="1">
      <alignment horizontal="center" vertical="center"/>
    </xf>
    <xf numFmtId="38" fontId="54" fillId="6" borderId="83" xfId="2" applyNumberFormat="1" applyFont="1" applyFill="1" applyBorder="1" applyAlignment="1" applyProtection="1">
      <alignment horizontal="center" vertical="center"/>
    </xf>
    <xf numFmtId="2" fontId="54" fillId="5" borderId="3" xfId="0" applyNumberFormat="1" applyFont="1" applyFill="1" applyBorder="1" applyAlignment="1" applyProtection="1">
      <alignment horizontal="center" vertical="center"/>
    </xf>
    <xf numFmtId="0" fontId="54" fillId="5" borderId="14" xfId="0" applyFont="1" applyFill="1" applyBorder="1" applyAlignment="1" applyProtection="1">
      <alignment vertical="center"/>
    </xf>
    <xf numFmtId="0" fontId="54" fillId="5" borderId="15" xfId="0" applyFont="1" applyFill="1" applyBorder="1" applyAlignment="1" applyProtection="1">
      <alignment vertical="center"/>
    </xf>
    <xf numFmtId="38" fontId="54" fillId="5" borderId="37" xfId="0" applyNumberFormat="1" applyFont="1" applyFill="1" applyBorder="1" applyAlignment="1" applyProtection="1">
      <alignment horizontal="right" vertical="center"/>
    </xf>
    <xf numFmtId="0" fontId="54" fillId="5" borderId="2" xfId="0" applyFont="1" applyFill="1" applyBorder="1" applyAlignment="1" applyProtection="1">
      <alignment vertical="center"/>
    </xf>
    <xf numFmtId="38" fontId="54" fillId="5" borderId="3" xfId="0" applyNumberFormat="1" applyFont="1" applyFill="1" applyBorder="1" applyAlignment="1" applyProtection="1">
      <alignment horizontal="right" vertical="center"/>
    </xf>
    <xf numFmtId="0" fontId="54" fillId="5" borderId="3" xfId="0" applyFont="1" applyFill="1" applyBorder="1" applyAlignment="1" applyProtection="1">
      <alignment vertical="center"/>
    </xf>
    <xf numFmtId="38" fontId="54" fillId="5" borderId="38" xfId="0" applyNumberFormat="1" applyFont="1" applyFill="1" applyBorder="1" applyAlignment="1" applyProtection="1">
      <alignment horizontal="right" vertical="center"/>
    </xf>
    <xf numFmtId="0" fontId="50" fillId="13"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13" fillId="13" borderId="45" xfId="0" applyFont="1" applyFill="1" applyBorder="1" applyAlignment="1" applyProtection="1">
      <alignment horizontal="left" vertical="top" wrapText="1"/>
    </xf>
    <xf numFmtId="0" fontId="13" fillId="13" borderId="40" xfId="0" applyFont="1" applyFill="1" applyBorder="1" applyAlignment="1" applyProtection="1">
      <alignment horizontal="left" vertical="top" wrapText="1"/>
    </xf>
    <xf numFmtId="0" fontId="13" fillId="13" borderId="41" xfId="0" applyFont="1" applyFill="1" applyBorder="1" applyAlignment="1" applyProtection="1">
      <alignment horizontal="left" vertical="top" wrapText="1"/>
    </xf>
    <xf numFmtId="0" fontId="13" fillId="13" borderId="42" xfId="0" applyFont="1" applyFill="1" applyBorder="1" applyAlignment="1" applyProtection="1">
      <alignment horizontal="left" vertical="top" wrapText="1"/>
    </xf>
    <xf numFmtId="164" fontId="54" fillId="5" borderId="5" xfId="1" applyNumberFormat="1" applyFont="1" applyFill="1" applyBorder="1" applyAlignment="1" applyProtection="1">
      <alignment horizontal="right" vertical="center"/>
    </xf>
    <xf numFmtId="164" fontId="54" fillId="5" borderId="7" xfId="1" applyNumberFormat="1" applyFont="1" applyFill="1" applyBorder="1" applyAlignment="1" applyProtection="1">
      <alignment horizontal="right" vertical="center"/>
    </xf>
    <xf numFmtId="0" fontId="13" fillId="13" borderId="43" xfId="0" applyFont="1" applyFill="1" applyBorder="1" applyAlignment="1" applyProtection="1">
      <alignment horizontal="left" vertical="top" wrapText="1"/>
    </xf>
    <xf numFmtId="0" fontId="13" fillId="13" borderId="61" xfId="0" applyFont="1" applyFill="1" applyBorder="1" applyAlignment="1" applyProtection="1">
      <alignment horizontal="left" vertical="top" wrapText="1"/>
    </xf>
    <xf numFmtId="164" fontId="54" fillId="5" borderId="67" xfId="1" applyNumberFormat="1" applyFont="1" applyFill="1" applyBorder="1" applyAlignment="1" applyProtection="1">
      <alignment horizontal="right" vertical="center"/>
    </xf>
    <xf numFmtId="164" fontId="54" fillId="5" borderId="68" xfId="1" applyNumberFormat="1" applyFont="1" applyFill="1" applyBorder="1" applyAlignment="1" applyProtection="1">
      <alignment horizontal="right" vertical="center"/>
    </xf>
    <xf numFmtId="0" fontId="0" fillId="0" borderId="14" xfId="0" applyBorder="1" applyProtection="1"/>
    <xf numFmtId="0" fontId="0" fillId="0" borderId="15" xfId="0" applyBorder="1" applyProtection="1"/>
    <xf numFmtId="0" fontId="13" fillId="13" borderId="81" xfId="0" applyFont="1" applyFill="1" applyBorder="1" applyAlignment="1" applyProtection="1">
      <alignment horizontal="left" vertical="top" wrapText="1"/>
    </xf>
    <xf numFmtId="0" fontId="13" fillId="13" borderId="78" xfId="0" applyFont="1" applyFill="1" applyBorder="1" applyAlignment="1" applyProtection="1">
      <alignment horizontal="left" vertical="top" wrapText="1"/>
    </xf>
    <xf numFmtId="0" fontId="3" fillId="13" borderId="45" xfId="0" applyFont="1" applyFill="1" applyBorder="1" applyAlignment="1" applyProtection="1">
      <alignment horizontal="left" vertical="top" wrapText="1"/>
    </xf>
    <xf numFmtId="0" fontId="3" fillId="13" borderId="40" xfId="0" applyFont="1" applyFill="1" applyBorder="1" applyAlignment="1" applyProtection="1">
      <alignment horizontal="left" vertical="top" wrapText="1"/>
    </xf>
    <xf numFmtId="0" fontId="3" fillId="13" borderId="41" xfId="0" applyFont="1" applyFill="1" applyBorder="1" applyAlignment="1" applyProtection="1">
      <alignment horizontal="left" vertical="top" wrapText="1"/>
    </xf>
    <xf numFmtId="0" fontId="3" fillId="13" borderId="42" xfId="0" applyFont="1" applyFill="1" applyBorder="1" applyAlignment="1" applyProtection="1">
      <alignment horizontal="left" vertical="top" wrapText="1"/>
    </xf>
    <xf numFmtId="0" fontId="71" fillId="5" borderId="3" xfId="0" applyFont="1" applyFill="1" applyBorder="1" applyAlignment="1" applyProtection="1">
      <alignment horizontal="center" vertical="center"/>
    </xf>
    <xf numFmtId="0" fontId="3" fillId="13" borderId="43" xfId="0" applyFont="1" applyFill="1" applyBorder="1" applyAlignment="1" applyProtection="1">
      <alignment horizontal="left" vertical="top" wrapText="1"/>
    </xf>
    <xf numFmtId="0" fontId="3" fillId="13" borderId="61" xfId="0" applyFont="1" applyFill="1" applyBorder="1" applyAlignment="1" applyProtection="1">
      <alignment horizontal="left" vertical="top" wrapText="1"/>
    </xf>
    <xf numFmtId="38" fontId="62" fillId="5" borderId="37" xfId="0" applyNumberFormat="1" applyFont="1" applyFill="1" applyBorder="1" applyAlignment="1" applyProtection="1">
      <alignment horizontal="center" vertical="center"/>
    </xf>
    <xf numFmtId="38" fontId="62" fillId="5" borderId="38" xfId="0" applyNumberFormat="1" applyFont="1" applyFill="1" applyBorder="1" applyAlignment="1" applyProtection="1">
      <alignment horizontal="center" vertical="center"/>
    </xf>
    <xf numFmtId="10" fontId="54" fillId="5" borderId="37" xfId="0" applyNumberFormat="1" applyFont="1" applyFill="1" applyBorder="1" applyAlignment="1" applyProtection="1">
      <alignment horizontal="center" vertical="center"/>
    </xf>
    <xf numFmtId="10" fontId="54" fillId="5" borderId="38" xfId="0" applyNumberFormat="1" applyFont="1" applyFill="1" applyBorder="1" applyAlignment="1" applyProtection="1">
      <alignment horizontal="center" vertical="center"/>
    </xf>
    <xf numFmtId="38" fontId="54" fillId="11" borderId="37" xfId="0" applyNumberFormat="1" applyFont="1" applyFill="1" applyBorder="1" applyAlignment="1" applyProtection="1">
      <alignment horizontal="center" vertical="center"/>
    </xf>
    <xf numFmtId="38" fontId="54" fillId="11" borderId="2" xfId="0" applyNumberFormat="1" applyFont="1" applyFill="1" applyBorder="1" applyAlignment="1" applyProtection="1">
      <alignment horizontal="center" vertical="center"/>
    </xf>
    <xf numFmtId="38" fontId="54" fillId="11" borderId="86" xfId="0" applyNumberFormat="1" applyFont="1" applyFill="1" applyBorder="1" applyAlignment="1" applyProtection="1">
      <alignment horizontal="center" vertical="center"/>
    </xf>
    <xf numFmtId="164" fontId="50" fillId="5" borderId="48" xfId="1" applyNumberFormat="1" applyFont="1" applyFill="1" applyBorder="1" applyAlignment="1" applyProtection="1">
      <alignment horizontal="center" vertical="center"/>
    </xf>
    <xf numFmtId="170" fontId="54" fillId="5" borderId="37" xfId="0" applyNumberFormat="1" applyFont="1" applyFill="1" applyBorder="1" applyAlignment="1" applyProtection="1">
      <alignment horizontal="center" vertical="center"/>
    </xf>
    <xf numFmtId="170" fontId="54" fillId="5" borderId="38" xfId="0" applyNumberFormat="1" applyFont="1" applyFill="1" applyBorder="1" applyAlignment="1" applyProtection="1">
      <alignment horizontal="center" vertical="center"/>
    </xf>
    <xf numFmtId="38" fontId="62" fillId="10" borderId="37" xfId="0" applyNumberFormat="1" applyFont="1" applyFill="1" applyBorder="1" applyAlignment="1" applyProtection="1">
      <alignment horizontal="center" vertical="center"/>
    </xf>
    <xf numFmtId="38" fontId="62" fillId="10" borderId="2" xfId="0" applyNumberFormat="1" applyFont="1" applyFill="1" applyBorder="1" applyAlignment="1" applyProtection="1">
      <alignment horizontal="center" vertical="center"/>
    </xf>
    <xf numFmtId="38" fontId="62" fillId="10" borderId="38" xfId="0" applyNumberFormat="1" applyFont="1" applyFill="1" applyBorder="1" applyAlignment="1" applyProtection="1">
      <alignment horizontal="center" vertical="center"/>
    </xf>
    <xf numFmtId="0" fontId="54" fillId="0" borderId="0" xfId="0" applyFont="1" applyAlignment="1" applyProtection="1"/>
    <xf numFmtId="0" fontId="50" fillId="5" borderId="37" xfId="0" applyFont="1" applyFill="1" applyBorder="1" applyAlignment="1" applyProtection="1">
      <alignment vertical="top" wrapText="1"/>
    </xf>
    <xf numFmtId="0" fontId="50" fillId="0" borderId="2" xfId="0" applyFont="1" applyBorder="1" applyAlignment="1" applyProtection="1">
      <alignment vertical="top" wrapText="1"/>
    </xf>
    <xf numFmtId="0" fontId="50" fillId="0" borderId="38" xfId="0" applyFont="1" applyBorder="1" applyAlignment="1" applyProtection="1">
      <alignment vertical="top" wrapText="1"/>
    </xf>
    <xf numFmtId="0" fontId="50" fillId="4" borderId="37" xfId="0" applyFont="1" applyFill="1" applyBorder="1" applyAlignment="1" applyProtection="1">
      <alignment vertical="top" wrapText="1"/>
    </xf>
    <xf numFmtId="0" fontId="3" fillId="5" borderId="37" xfId="0" applyFont="1" applyFill="1" applyBorder="1" applyAlignment="1" applyProtection="1">
      <alignment horizontal="left"/>
    </xf>
    <xf numFmtId="0" fontId="12" fillId="5" borderId="2" xfId="0" applyFont="1" applyFill="1" applyBorder="1" applyAlignment="1" applyProtection="1">
      <alignment horizontal="left"/>
    </xf>
    <xf numFmtId="0" fontId="12" fillId="5" borderId="38" xfId="0" applyFont="1" applyFill="1" applyBorder="1" applyAlignment="1" applyProtection="1">
      <alignment horizontal="left"/>
    </xf>
    <xf numFmtId="175" fontId="12" fillId="5" borderId="37" xfId="0" applyNumberFormat="1" applyFont="1" applyFill="1" applyBorder="1" applyAlignment="1" applyProtection="1">
      <alignment horizontal="left"/>
    </xf>
    <xf numFmtId="175" fontId="12" fillId="5" borderId="38" xfId="0" applyNumberFormat="1" applyFont="1" applyFill="1" applyBorder="1" applyAlignment="1" applyProtection="1">
      <alignment horizontal="left"/>
    </xf>
    <xf numFmtId="0" fontId="12"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8"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8"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2"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2" fillId="5" borderId="3" xfId="0" applyFont="1" applyFill="1" applyBorder="1" applyAlignment="1" applyProtection="1">
      <alignment horizontal="center"/>
    </xf>
    <xf numFmtId="0" fontId="8"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2" fillId="5" borderId="19" xfId="0" applyFont="1" applyFill="1" applyBorder="1" applyAlignment="1" applyProtection="1">
      <alignment horizontal="center"/>
    </xf>
    <xf numFmtId="0" fontId="13" fillId="5" borderId="37" xfId="0" applyFont="1" applyFill="1" applyBorder="1" applyAlignment="1" applyProtection="1">
      <alignment horizontal="left" vertical="top" wrapText="1"/>
    </xf>
    <xf numFmtId="0" fontId="13" fillId="5" borderId="2" xfId="0" applyFont="1" applyFill="1" applyBorder="1" applyAlignment="1" applyProtection="1">
      <alignment horizontal="left" vertical="top" wrapText="1"/>
    </xf>
    <xf numFmtId="0" fontId="13" fillId="5" borderId="38" xfId="0" applyFont="1" applyFill="1" applyBorder="1" applyAlignment="1" applyProtection="1">
      <alignment horizontal="left" vertical="top" wrapText="1"/>
    </xf>
    <xf numFmtId="0" fontId="13" fillId="4" borderId="37" xfId="0" applyFont="1" applyFill="1" applyBorder="1" applyAlignment="1" applyProtection="1">
      <alignment horizontal="left" vertical="top" wrapText="1"/>
    </xf>
    <xf numFmtId="0" fontId="13" fillId="4" borderId="2" xfId="0" applyFont="1" applyFill="1" applyBorder="1" applyAlignment="1" applyProtection="1">
      <alignment horizontal="left" vertical="top" wrapText="1"/>
    </xf>
    <xf numFmtId="0" fontId="13" fillId="4" borderId="38" xfId="0" applyFont="1" applyFill="1" applyBorder="1" applyAlignment="1" applyProtection="1">
      <alignment horizontal="left" vertical="top" wrapText="1"/>
    </xf>
    <xf numFmtId="0" fontId="12"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3" fillId="5" borderId="17" xfId="10" applyNumberFormat="1" applyFont="1" applyFill="1" applyBorder="1" applyAlignment="1" applyProtection="1">
      <alignment horizontal="center" vertical="center"/>
    </xf>
    <xf numFmtId="1" fontId="13" fillId="5" borderId="17" xfId="1" applyNumberFormat="1" applyFont="1" applyFill="1" applyBorder="1" applyAlignment="1" applyProtection="1">
      <alignment horizontal="center" vertical="center"/>
    </xf>
    <xf numFmtId="173" fontId="13" fillId="5" borderId="17" xfId="1" applyNumberFormat="1" applyFont="1" applyFill="1" applyBorder="1" applyAlignment="1" applyProtection="1">
      <alignment horizontal="center" vertical="center"/>
    </xf>
    <xf numFmtId="3" fontId="13" fillId="5" borderId="17" xfId="1" applyNumberFormat="1" applyFont="1" applyFill="1" applyBorder="1" applyAlignment="1" applyProtection="1">
      <alignment horizontal="center" vertical="center"/>
    </xf>
    <xf numFmtId="3" fontId="54" fillId="5" borderId="17" xfId="1" applyNumberFormat="1"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10" applyNumberFormat="1" applyFont="1" applyFill="1" applyBorder="1" applyAlignment="1" applyProtection="1">
      <alignment horizontal="center" vertical="center"/>
    </xf>
    <xf numFmtId="1" fontId="13" fillId="5" borderId="18" xfId="1" applyNumberFormat="1" applyFont="1" applyFill="1" applyBorder="1" applyAlignment="1" applyProtection="1">
      <alignment horizontal="center" vertical="center"/>
    </xf>
    <xf numFmtId="173" fontId="13" fillId="5" borderId="18" xfId="1" applyNumberFormat="1" applyFont="1" applyFill="1" applyBorder="1" applyAlignment="1" applyProtection="1">
      <alignment horizontal="center" vertical="center"/>
    </xf>
    <xf numFmtId="3" fontId="13" fillId="5" borderId="18" xfId="1" applyNumberFormat="1" applyFont="1" applyFill="1" applyBorder="1" applyAlignment="1" applyProtection="1">
      <alignment horizontal="center" vertical="center"/>
    </xf>
    <xf numFmtId="3" fontId="54" fillId="5" borderId="18" xfId="1" applyNumberFormat="1"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0" fontId="13" fillId="5" borderId="19" xfId="10" applyNumberFormat="1" applyFont="1" applyFill="1" applyBorder="1" applyAlignment="1" applyProtection="1">
      <alignment horizontal="center" vertical="center"/>
    </xf>
    <xf numFmtId="1" fontId="13" fillId="5" borderId="19" xfId="1" applyNumberFormat="1" applyFont="1" applyFill="1" applyBorder="1" applyAlignment="1" applyProtection="1">
      <alignment horizontal="center" vertical="center"/>
    </xf>
    <xf numFmtId="173" fontId="13" fillId="5" borderId="19" xfId="1" applyNumberFormat="1" applyFont="1" applyFill="1" applyBorder="1" applyAlignment="1" applyProtection="1">
      <alignment horizontal="center" vertical="center"/>
    </xf>
    <xf numFmtId="3" fontId="13" fillId="5" borderId="19" xfId="1" applyNumberFormat="1" applyFont="1" applyFill="1" applyBorder="1" applyAlignment="1" applyProtection="1">
      <alignment horizontal="center" vertical="center"/>
    </xf>
    <xf numFmtId="3" fontId="54" fillId="5" borderId="19" xfId="1" applyNumberFormat="1" applyFont="1" applyFill="1" applyBorder="1" applyAlignment="1" applyProtection="1">
      <alignment horizontal="center" vertical="center"/>
    </xf>
    <xf numFmtId="0" fontId="13" fillId="5" borderId="19" xfId="0" applyFont="1" applyFill="1" applyBorder="1" applyAlignment="1" applyProtection="1">
      <alignment horizontal="center" vertical="center"/>
    </xf>
    <xf numFmtId="0" fontId="51" fillId="0" borderId="0" xfId="0" applyFont="1" applyAlignment="1" applyProtection="1">
      <alignment horizontal="left" vertical="center" wrapText="1"/>
    </xf>
    <xf numFmtId="164" fontId="12" fillId="5" borderId="17" xfId="1" applyNumberFormat="1" applyFont="1" applyFill="1" applyBorder="1" applyAlignment="1" applyProtection="1">
      <alignment horizontal="right" vertical="center"/>
    </xf>
    <xf numFmtId="164" fontId="12" fillId="5" borderId="19" xfId="1" applyNumberFormat="1" applyFont="1" applyFill="1" applyBorder="1" applyAlignment="1" applyProtection="1">
      <alignment horizontal="right" vertical="center"/>
    </xf>
    <xf numFmtId="3" fontId="12" fillId="5" borderId="17" xfId="0" applyNumberFormat="1" applyFont="1" applyFill="1" applyBorder="1" applyProtection="1"/>
    <xf numFmtId="3" fontId="12" fillId="5" borderId="17" xfId="10" applyNumberFormat="1" applyFont="1" applyFill="1" applyBorder="1" applyProtection="1"/>
    <xf numFmtId="0" fontId="4" fillId="5" borderId="37" xfId="0" applyFont="1" applyFill="1" applyBorder="1" applyAlignment="1" applyProtection="1">
      <alignment horizontal="left"/>
    </xf>
    <xf numFmtId="0" fontId="4" fillId="5" borderId="2" xfId="0" applyFont="1" applyFill="1" applyBorder="1" applyAlignment="1" applyProtection="1">
      <alignment horizontal="left"/>
    </xf>
    <xf numFmtId="0" fontId="4" fillId="5" borderId="38" xfId="0" applyFont="1" applyFill="1" applyBorder="1" applyAlignment="1" applyProtection="1">
      <alignment horizontal="left"/>
    </xf>
    <xf numFmtId="3" fontId="12" fillId="5" borderId="19" xfId="0" applyNumberFormat="1" applyFont="1" applyFill="1" applyBorder="1" applyProtection="1"/>
    <xf numFmtId="3" fontId="12" fillId="5" borderId="19" xfId="10" applyNumberFormat="1" applyFont="1" applyFill="1" applyBorder="1" applyProtection="1"/>
    <xf numFmtId="38" fontId="12" fillId="5" borderId="37" xfId="1" applyNumberFormat="1" applyFont="1" applyFill="1" applyBorder="1" applyAlignment="1" applyProtection="1">
      <alignment horizontal="right" vertical="center"/>
    </xf>
    <xf numFmtId="38" fontId="12" fillId="5" borderId="38" xfId="1" applyNumberFormat="1" applyFont="1" applyFill="1" applyBorder="1" applyAlignment="1" applyProtection="1">
      <alignment horizontal="right" vertical="center"/>
    </xf>
    <xf numFmtId="3" fontId="12" fillId="5" borderId="3" xfId="0" applyNumberFormat="1" applyFont="1" applyFill="1" applyBorder="1" applyAlignment="1" applyProtection="1">
      <alignment vertical="center"/>
    </xf>
    <xf numFmtId="38" fontId="4" fillId="5" borderId="37" xfId="0" applyNumberFormat="1" applyFont="1" applyFill="1" applyBorder="1" applyAlignment="1" applyProtection="1">
      <alignment horizontal="left" vertical="center" wrapText="1"/>
    </xf>
    <xf numFmtId="38" fontId="4" fillId="5" borderId="38" xfId="0" applyNumberFormat="1" applyFont="1" applyFill="1" applyBorder="1" applyAlignment="1" applyProtection="1">
      <alignment horizontal="left" vertical="center" wrapText="1"/>
    </xf>
    <xf numFmtId="3" fontId="12" fillId="5" borderId="44" xfId="0" applyNumberFormat="1" applyFont="1" applyFill="1" applyBorder="1" applyAlignment="1" applyProtection="1">
      <alignment vertical="center"/>
    </xf>
    <xf numFmtId="0" fontId="4" fillId="5" borderId="37" xfId="0" applyFont="1" applyFill="1" applyBorder="1" applyAlignment="1" applyProtection="1">
      <alignment horizontal="left" vertical="center"/>
    </xf>
    <xf numFmtId="0" fontId="4" fillId="5" borderId="2" xfId="0" applyFont="1" applyFill="1" applyBorder="1" applyAlignment="1" applyProtection="1">
      <alignment horizontal="left" vertical="center"/>
    </xf>
    <xf numFmtId="0" fontId="4" fillId="5" borderId="38" xfId="0" applyFont="1" applyFill="1" applyBorder="1" applyAlignment="1" applyProtection="1">
      <alignment horizontal="left" vertical="center"/>
    </xf>
    <xf numFmtId="38" fontId="12" fillId="5" borderId="67" xfId="1" applyNumberFormat="1" applyFont="1" applyFill="1" applyBorder="1" applyAlignment="1" applyProtection="1">
      <alignment horizontal="right" vertical="center"/>
    </xf>
    <xf numFmtId="38" fontId="12" fillId="5" borderId="68" xfId="1" applyNumberFormat="1" applyFont="1" applyFill="1" applyBorder="1" applyAlignment="1" applyProtection="1">
      <alignment horizontal="right" vertical="center"/>
    </xf>
    <xf numFmtId="3" fontId="12" fillId="5" borderId="5" xfId="0" applyNumberFormat="1" applyFont="1" applyFill="1" applyBorder="1" applyAlignment="1" applyProtection="1">
      <alignment horizontal="right" vertical="center"/>
    </xf>
    <xf numFmtId="3" fontId="12" fillId="5" borderId="7" xfId="0" applyNumberFormat="1" applyFont="1" applyFill="1" applyBorder="1" applyAlignment="1" applyProtection="1">
      <alignment horizontal="right" vertical="center"/>
    </xf>
    <xf numFmtId="3" fontId="12" fillId="5" borderId="37" xfId="0" applyNumberFormat="1" applyFont="1" applyFill="1" applyBorder="1" applyAlignment="1" applyProtection="1">
      <alignment horizontal="right" vertical="center"/>
    </xf>
    <xf numFmtId="3" fontId="12" fillId="5" borderId="38" xfId="0" applyNumberFormat="1" applyFont="1" applyFill="1" applyBorder="1" applyAlignment="1" applyProtection="1">
      <alignment horizontal="right" vertical="center"/>
    </xf>
    <xf numFmtId="38" fontId="12" fillId="5" borderId="37" xfId="1" applyNumberFormat="1" applyFont="1" applyFill="1" applyBorder="1" applyAlignment="1" applyProtection="1">
      <alignment vertical="center"/>
    </xf>
    <xf numFmtId="38" fontId="12" fillId="5" borderId="38" xfId="1" applyNumberFormat="1" applyFont="1" applyFill="1" applyBorder="1" applyAlignment="1" applyProtection="1">
      <alignment vertical="center"/>
    </xf>
    <xf numFmtId="3" fontId="12" fillId="5" borderId="16" xfId="1" applyNumberFormat="1" applyFont="1" applyFill="1" applyBorder="1" applyAlignment="1" applyProtection="1">
      <alignment vertical="center"/>
    </xf>
    <xf numFmtId="0" fontId="0" fillId="0" borderId="86" xfId="0" applyBorder="1" applyProtection="1"/>
    <xf numFmtId="0" fontId="0" fillId="0" borderId="83" xfId="0" applyBorder="1" applyProtection="1"/>
    <xf numFmtId="164" fontId="12" fillId="5" borderId="3" xfId="1" applyNumberFormat="1" applyFont="1" applyFill="1" applyBorder="1" applyAlignment="1" applyProtection="1">
      <alignment horizontal="right"/>
    </xf>
    <xf numFmtId="10" fontId="12" fillId="5" borderId="3" xfId="0" applyNumberFormat="1" applyFont="1" applyFill="1" applyBorder="1" applyAlignment="1" applyProtection="1">
      <alignment horizontal="left"/>
    </xf>
    <xf numFmtId="0" fontId="12" fillId="5" borderId="3" xfId="0" applyNumberFormat="1" applyFont="1" applyFill="1" applyBorder="1" applyAlignment="1" applyProtection="1">
      <alignment horizontal="right" vertical="center"/>
    </xf>
    <xf numFmtId="3" fontId="12" fillId="5" borderId="3" xfId="10" applyNumberFormat="1" applyFont="1" applyFill="1" applyBorder="1" applyAlignment="1" applyProtection="1">
      <alignment horizontal="right" vertical="center"/>
    </xf>
    <xf numFmtId="166" fontId="12" fillId="5" borderId="3" xfId="10" applyNumberFormat="1" applyFont="1" applyFill="1" applyBorder="1" applyAlignment="1" applyProtection="1">
      <alignment horizontal="right" vertical="center"/>
    </xf>
    <xf numFmtId="164" fontId="12" fillId="11" borderId="17" xfId="1" applyNumberFormat="1" applyFont="1" applyFill="1" applyBorder="1" applyProtection="1"/>
    <xf numFmtId="164" fontId="12" fillId="6" borderId="18" xfId="1" applyNumberFormat="1" applyFont="1" applyFill="1" applyBorder="1" applyProtection="1"/>
    <xf numFmtId="164" fontId="12" fillId="5" borderId="18" xfId="1" applyNumberFormat="1" applyFont="1" applyFill="1" applyBorder="1" applyProtection="1"/>
    <xf numFmtId="164" fontId="12" fillId="6" borderId="19" xfId="1" applyNumberFormat="1" applyFont="1" applyFill="1" applyBorder="1" applyProtection="1"/>
    <xf numFmtId="164" fontId="12" fillId="6" borderId="17" xfId="1" applyNumberFormat="1" applyFont="1" applyFill="1" applyBorder="1" applyProtection="1"/>
    <xf numFmtId="0" fontId="50" fillId="0" borderId="2" xfId="0" applyFont="1" applyBorder="1" applyAlignment="1" applyProtection="1">
      <alignment horizontal="left" vertical="top" wrapText="1"/>
    </xf>
    <xf numFmtId="0" fontId="50" fillId="0" borderId="38" xfId="0" applyFont="1" applyBorder="1" applyAlignment="1" applyProtection="1">
      <alignment horizontal="left" vertical="top" wrapText="1"/>
    </xf>
    <xf numFmtId="0" fontId="14" fillId="5" borderId="3" xfId="0" applyFont="1" applyFill="1" applyBorder="1" applyAlignment="1" applyProtection="1">
      <alignment horizontal="center" vertical="center"/>
    </xf>
    <xf numFmtId="0" fontId="10" fillId="5" borderId="37" xfId="0" applyFont="1" applyFill="1" applyBorder="1" applyAlignment="1" applyProtection="1">
      <alignment horizontal="center" vertical="center"/>
    </xf>
    <xf numFmtId="0" fontId="10" fillId="5" borderId="2" xfId="0" applyFont="1" applyFill="1" applyBorder="1" applyAlignment="1" applyProtection="1">
      <alignment horizontal="center" vertical="center"/>
    </xf>
    <xf numFmtId="0" fontId="10" fillId="5" borderId="38" xfId="0" applyFont="1" applyFill="1" applyBorder="1" applyAlignment="1" applyProtection="1">
      <alignment horizontal="center" vertical="center"/>
    </xf>
    <xf numFmtId="0" fontId="4" fillId="5" borderId="37" xfId="0" applyFont="1" applyFill="1" applyBorder="1" applyAlignment="1" applyProtection="1">
      <alignment horizontal="left" vertical="top" wrapText="1"/>
    </xf>
    <xf numFmtId="0" fontId="4" fillId="5" borderId="2" xfId="0" applyFont="1" applyFill="1" applyBorder="1" applyAlignment="1" applyProtection="1">
      <alignment horizontal="left" vertical="top" wrapText="1"/>
    </xf>
    <xf numFmtId="0" fontId="4" fillId="5" borderId="38" xfId="0" applyFont="1" applyFill="1" applyBorder="1" applyAlignment="1" applyProtection="1">
      <alignment horizontal="left" vertical="top" wrapText="1"/>
    </xf>
    <xf numFmtId="0" fontId="14" fillId="0" borderId="45" xfId="0" applyFont="1" applyBorder="1" applyAlignment="1" applyProtection="1">
      <alignment horizontal="center" vertical="top"/>
    </xf>
    <xf numFmtId="0" fontId="14" fillId="0" borderId="20" xfId="0" applyFont="1" applyBorder="1" applyAlignment="1" applyProtection="1">
      <alignment horizontal="center" vertical="top"/>
    </xf>
    <xf numFmtId="0" fontId="14" fillId="0" borderId="40" xfId="0" applyFont="1" applyBorder="1" applyAlignment="1" applyProtection="1">
      <alignment horizontal="center" vertical="top"/>
    </xf>
    <xf numFmtId="0" fontId="14" fillId="0" borderId="41" xfId="0" applyFont="1" applyBorder="1" applyAlignment="1" applyProtection="1">
      <alignment horizontal="center" vertical="top"/>
    </xf>
    <xf numFmtId="0" fontId="14" fillId="0" borderId="0" xfId="0" applyFont="1" applyBorder="1" applyAlignment="1" applyProtection="1">
      <alignment horizontal="center" vertical="top"/>
    </xf>
    <xf numFmtId="0" fontId="14" fillId="0" borderId="42" xfId="0" applyFont="1" applyBorder="1" applyAlignment="1" applyProtection="1">
      <alignment horizontal="center" vertical="top"/>
    </xf>
    <xf numFmtId="0" fontId="14" fillId="0" borderId="43" xfId="0" applyFont="1" applyBorder="1" applyAlignment="1" applyProtection="1">
      <alignment horizontal="center" vertical="top"/>
    </xf>
    <xf numFmtId="0" fontId="14" fillId="0" borderId="21" xfId="0" applyFont="1" applyBorder="1" applyAlignment="1" applyProtection="1">
      <alignment horizontal="center" vertical="top"/>
    </xf>
    <xf numFmtId="0" fontId="14" fillId="0" borderId="61" xfId="0" applyFont="1" applyBorder="1" applyAlignment="1" applyProtection="1">
      <alignment horizontal="center" vertical="top"/>
    </xf>
    <xf numFmtId="0" fontId="4" fillId="0" borderId="20" xfId="0" applyFont="1" applyBorder="1" applyAlignment="1" applyProtection="1">
      <alignment horizontal="center" wrapText="1"/>
    </xf>
    <xf numFmtId="0" fontId="91" fillId="0" borderId="14" xfId="0" applyFont="1" applyBorder="1" applyAlignment="1" applyProtection="1">
      <alignment horizontal="justify" vertical="top"/>
    </xf>
    <xf numFmtId="0" fontId="4" fillId="0" borderId="14" xfId="0" applyFont="1" applyBorder="1" applyAlignment="1" applyProtection="1">
      <alignment horizontal="center" wrapText="1"/>
    </xf>
    <xf numFmtId="0" fontId="91" fillId="0" borderId="0" xfId="0" applyFont="1" applyBorder="1" applyAlignment="1" applyProtection="1">
      <alignment horizontal="right" vertical="top" wrapText="1"/>
    </xf>
    <xf numFmtId="0" fontId="4" fillId="0" borderId="0" xfId="0" applyFont="1" applyAlignment="1" applyProtection="1">
      <alignment horizontal="justify" vertical="top"/>
    </xf>
    <xf numFmtId="38" fontId="4" fillId="0" borderId="0" xfId="0" applyNumberFormat="1" applyFont="1" applyAlignment="1" applyProtection="1">
      <alignment horizontal="right" vertical="top" wrapText="1"/>
    </xf>
    <xf numFmtId="0" fontId="4" fillId="0" borderId="14" xfId="0" applyFont="1" applyBorder="1" applyAlignment="1" applyProtection="1">
      <alignment horizontal="justify" vertical="top"/>
    </xf>
    <xf numFmtId="0" fontId="116" fillId="0" borderId="0" xfId="0" applyFont="1" applyAlignment="1" applyProtection="1">
      <alignment horizontal="justify" vertical="top" wrapText="1"/>
    </xf>
    <xf numFmtId="6" fontId="4" fillId="0" borderId="0" xfId="0" applyNumberFormat="1" applyFont="1" applyAlignment="1" applyProtection="1">
      <alignment horizontal="center" vertical="top" wrapText="1"/>
    </xf>
    <xf numFmtId="0" fontId="14" fillId="6" borderId="37" xfId="0" applyFont="1" applyFill="1" applyBorder="1" applyAlignment="1" applyProtection="1">
      <alignment horizontal="center" vertical="center"/>
    </xf>
    <xf numFmtId="0" fontId="14" fillId="6" borderId="2" xfId="0" applyFont="1" applyFill="1" applyBorder="1" applyAlignment="1" applyProtection="1">
      <alignment horizontal="center" vertical="center"/>
    </xf>
    <xf numFmtId="0" fontId="14" fillId="6" borderId="38" xfId="0" applyFont="1" applyFill="1" applyBorder="1" applyAlignment="1" applyProtection="1">
      <alignment horizontal="center" vertical="center"/>
    </xf>
    <xf numFmtId="0" fontId="14" fillId="5" borderId="29" xfId="0" applyFont="1" applyFill="1" applyBorder="1" applyAlignment="1" applyProtection="1">
      <alignment horizontal="left" vertical="center"/>
    </xf>
    <xf numFmtId="0" fontId="14" fillId="5" borderId="59" xfId="0" applyFont="1" applyFill="1" applyBorder="1" applyAlignment="1" applyProtection="1">
      <alignment horizontal="left" vertical="center"/>
    </xf>
    <xf numFmtId="0" fontId="14" fillId="5" borderId="30" xfId="0" applyFont="1" applyFill="1" applyBorder="1" applyAlignment="1" applyProtection="1">
      <alignment horizontal="left" vertical="center"/>
    </xf>
    <xf numFmtId="0" fontId="14" fillId="5" borderId="31" xfId="0" applyFont="1" applyFill="1" applyBorder="1" applyAlignment="1" applyProtection="1">
      <alignment horizontal="left" vertical="center"/>
    </xf>
    <xf numFmtId="0" fontId="14" fillId="5" borderId="22" xfId="0" applyFont="1" applyFill="1" applyBorder="1" applyAlignment="1" applyProtection="1">
      <alignment horizontal="left" vertical="center"/>
    </xf>
    <xf numFmtId="0" fontId="14" fillId="5" borderId="32" xfId="0" applyFont="1" applyFill="1" applyBorder="1" applyAlignment="1" applyProtection="1">
      <alignment horizontal="left" vertical="center"/>
    </xf>
    <xf numFmtId="0" fontId="14" fillId="5" borderId="34" xfId="0" applyFont="1" applyFill="1" applyBorder="1" applyAlignment="1" applyProtection="1">
      <alignment horizontal="left" vertical="center"/>
    </xf>
    <xf numFmtId="0" fontId="14" fillId="5" borderId="60" xfId="0" applyFont="1" applyFill="1" applyBorder="1" applyAlignment="1" applyProtection="1">
      <alignment horizontal="left" vertical="center"/>
    </xf>
    <xf numFmtId="0" fontId="14" fillId="5" borderId="35" xfId="0" applyFont="1" applyFill="1" applyBorder="1" applyAlignment="1" applyProtection="1">
      <alignment horizontal="left" vertical="center"/>
    </xf>
    <xf numFmtId="0" fontId="0" fillId="0" borderId="30" xfId="0" applyBorder="1" applyAlignment="1" applyProtection="1">
      <alignment horizontal="left" vertical="center"/>
    </xf>
    <xf numFmtId="0" fontId="0" fillId="0" borderId="32" xfId="0" applyBorder="1" applyAlignment="1" applyProtection="1">
      <alignment horizontal="left" vertical="center"/>
    </xf>
    <xf numFmtId="10" fontId="14" fillId="5" borderId="34" xfId="0" applyNumberFormat="1" applyFont="1" applyFill="1" applyBorder="1" applyAlignment="1" applyProtection="1">
      <alignment horizontal="left" vertical="center"/>
    </xf>
    <xf numFmtId="0" fontId="0" fillId="0" borderId="35" xfId="0" applyBorder="1" applyAlignment="1" applyProtection="1">
      <alignment horizontal="left" vertical="center"/>
    </xf>
    <xf numFmtId="0" fontId="14" fillId="5" borderId="29" xfId="0" applyFont="1" applyFill="1" applyBorder="1" applyAlignment="1" applyProtection="1">
      <alignment horizontal="center" vertical="center"/>
    </xf>
    <xf numFmtId="0" fontId="14" fillId="5" borderId="17" xfId="0" applyFont="1" applyFill="1" applyBorder="1" applyAlignment="1" applyProtection="1">
      <alignment horizontal="left" vertical="center"/>
    </xf>
    <xf numFmtId="0" fontId="14" fillId="5" borderId="34" xfId="0" applyFont="1" applyFill="1" applyBorder="1" applyAlignment="1" applyProtection="1">
      <alignment horizontal="center" vertical="center"/>
    </xf>
    <xf numFmtId="0" fontId="14" fillId="5" borderId="19" xfId="0" applyFont="1" applyFill="1" applyBorder="1" applyAlignment="1" applyProtection="1">
      <alignment horizontal="left" vertical="center"/>
    </xf>
    <xf numFmtId="0" fontId="14" fillId="5" borderId="13" xfId="0" applyFont="1" applyFill="1" applyBorder="1" applyAlignment="1" applyProtection="1">
      <alignment horizontal="center" vertical="center"/>
    </xf>
    <xf numFmtId="0" fontId="14" fillId="5" borderId="37" xfId="0" applyFont="1" applyFill="1" applyBorder="1" applyAlignment="1" applyProtection="1">
      <alignment horizontal="right" vertical="center"/>
    </xf>
    <xf numFmtId="0" fontId="14"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0" fillId="0" borderId="0" xfId="0" applyAlignment="1" applyProtection="1">
      <alignment horizontal="left" vertical="center" wrapText="1"/>
    </xf>
    <xf numFmtId="0" fontId="14" fillId="5" borderId="3" xfId="0" applyFont="1" applyFill="1" applyBorder="1" applyAlignment="1" applyProtection="1">
      <alignment horizontal="center" vertical="top"/>
    </xf>
    <xf numFmtId="0" fontId="14" fillId="5" borderId="37" xfId="0" applyFont="1" applyFill="1" applyBorder="1" applyAlignment="1" applyProtection="1">
      <alignment horizontal="left" vertical="center"/>
    </xf>
    <xf numFmtId="0" fontId="14" fillId="5" borderId="2" xfId="0" applyFont="1" applyFill="1" applyBorder="1" applyAlignment="1" applyProtection="1">
      <alignment horizontal="left" vertical="center"/>
    </xf>
    <xf numFmtId="0" fontId="14" fillId="5" borderId="38" xfId="0" applyFont="1" applyFill="1" applyBorder="1" applyAlignment="1" applyProtection="1">
      <alignment horizontal="left" vertical="center"/>
    </xf>
    <xf numFmtId="0" fontId="4" fillId="5" borderId="82" xfId="0" applyFont="1" applyFill="1" applyBorder="1" applyAlignment="1" applyProtection="1">
      <alignment horizontal="left" vertical="center" wrapText="1"/>
    </xf>
    <xf numFmtId="0" fontId="4" fillId="5" borderId="86" xfId="0" applyFont="1" applyFill="1" applyBorder="1" applyAlignment="1" applyProtection="1">
      <alignment horizontal="left" vertical="center" wrapText="1"/>
    </xf>
    <xf numFmtId="0" fontId="4" fillId="5" borderId="83" xfId="0" applyFont="1" applyFill="1" applyBorder="1" applyAlignment="1" applyProtection="1">
      <alignment horizontal="left" vertical="center" wrapText="1"/>
    </xf>
    <xf numFmtId="166" fontId="14" fillId="5" borderId="13" xfId="0" applyNumberFormat="1" applyFont="1" applyFill="1" applyBorder="1" applyAlignment="1" applyProtection="1">
      <alignment horizontal="center" vertical="center"/>
    </xf>
    <xf numFmtId="0" fontId="14" fillId="5" borderId="17" xfId="0" applyFont="1" applyFill="1" applyBorder="1" applyAlignment="1" applyProtection="1">
      <alignment horizontal="center" vertical="center"/>
    </xf>
    <xf numFmtId="0" fontId="14" fillId="5" borderId="18" xfId="0" applyFont="1" applyFill="1" applyBorder="1" applyAlignment="1" applyProtection="1">
      <alignment horizontal="center" vertical="center"/>
    </xf>
    <xf numFmtId="0" fontId="14" fillId="5" borderId="19" xfId="0" applyFont="1" applyFill="1" applyBorder="1" applyAlignment="1" applyProtection="1">
      <alignment horizontal="center" vertical="center"/>
    </xf>
    <xf numFmtId="176" fontId="21" fillId="10" borderId="82" xfId="0" applyNumberFormat="1" applyFont="1" applyFill="1" applyBorder="1" applyAlignment="1" applyProtection="1">
      <alignment horizontal="center"/>
    </xf>
    <xf numFmtId="176" fontId="21" fillId="10" borderId="83" xfId="0" applyNumberFormat="1" applyFont="1" applyFill="1" applyBorder="1" applyAlignment="1" applyProtection="1">
      <alignment horizontal="center"/>
    </xf>
    <xf numFmtId="0" fontId="14" fillId="5" borderId="5" xfId="0" applyFont="1" applyFill="1" applyBorder="1" applyAlignment="1" applyProtection="1">
      <alignment horizontal="left"/>
    </xf>
    <xf numFmtId="0" fontId="14" fillId="5" borderId="38" xfId="0" applyFont="1" applyFill="1" applyBorder="1" applyAlignment="1" applyProtection="1">
      <alignment horizontal="left"/>
    </xf>
    <xf numFmtId="0" fontId="14" fillId="5" borderId="82" xfId="0" applyFont="1" applyFill="1" applyBorder="1" applyAlignment="1" applyProtection="1">
      <alignment horizontal="left" vertical="center"/>
    </xf>
    <xf numFmtId="0" fontId="14" fillId="5" borderId="86" xfId="0" applyFont="1" applyFill="1" applyBorder="1" applyAlignment="1" applyProtection="1">
      <alignment horizontal="left" vertical="center"/>
    </xf>
    <xf numFmtId="0" fontId="14" fillId="5" borderId="83" xfId="0" applyFont="1" applyFill="1" applyBorder="1" applyAlignment="1" applyProtection="1">
      <alignment horizontal="left" vertical="center"/>
    </xf>
    <xf numFmtId="0" fontId="14" fillId="5" borderId="84" xfId="0" applyFont="1" applyFill="1" applyBorder="1" applyAlignment="1" applyProtection="1">
      <alignment horizontal="left" vertical="center"/>
    </xf>
    <xf numFmtId="0" fontId="14" fillId="5" borderId="85" xfId="0" applyFont="1" applyFill="1" applyBorder="1" applyAlignment="1" applyProtection="1">
      <alignment horizontal="left" vertical="center"/>
    </xf>
    <xf numFmtId="0" fontId="51" fillId="10" borderId="82" xfId="0" applyFont="1" applyFill="1" applyBorder="1" applyAlignment="1" applyProtection="1">
      <alignment horizontal="center"/>
    </xf>
    <xf numFmtId="0" fontId="51" fillId="10" borderId="86" xfId="0" applyFont="1" applyFill="1" applyBorder="1" applyAlignment="1" applyProtection="1">
      <alignment horizontal="center"/>
    </xf>
    <xf numFmtId="0" fontId="51" fillId="10" borderId="83" xfId="0" applyFont="1" applyFill="1" applyBorder="1" applyAlignment="1" applyProtection="1">
      <alignment horizontal="center"/>
    </xf>
    <xf numFmtId="0" fontId="14" fillId="5" borderId="15" xfId="0" applyFont="1" applyFill="1" applyBorder="1" applyAlignment="1" applyProtection="1">
      <alignment horizontal="left" vertical="center"/>
    </xf>
    <xf numFmtId="0" fontId="4" fillId="5" borderId="29" xfId="0" applyFont="1" applyFill="1" applyBorder="1" applyAlignment="1" applyProtection="1">
      <alignment horizontal="left" vertical="top" wrapText="1"/>
    </xf>
    <xf numFmtId="0" fontId="4" fillId="5" borderId="59" xfId="0" applyFont="1" applyFill="1" applyBorder="1" applyAlignment="1" applyProtection="1">
      <alignment horizontal="left" vertical="top" wrapText="1"/>
    </xf>
    <xf numFmtId="0" fontId="4" fillId="5" borderId="30" xfId="0" applyFont="1" applyFill="1" applyBorder="1" applyAlignment="1" applyProtection="1">
      <alignment horizontal="left" vertical="top" wrapText="1"/>
    </xf>
    <xf numFmtId="0" fontId="4" fillId="5" borderId="34" xfId="0" applyFont="1" applyFill="1" applyBorder="1" applyAlignment="1" applyProtection="1">
      <alignment horizontal="left" vertical="top" wrapText="1"/>
    </xf>
    <xf numFmtId="0" fontId="4" fillId="5" borderId="60" xfId="0" applyFont="1" applyFill="1" applyBorder="1" applyAlignment="1" applyProtection="1">
      <alignment horizontal="left" vertical="top" wrapText="1"/>
    </xf>
    <xf numFmtId="0" fontId="4" fillId="5" borderId="35" xfId="0" applyFont="1" applyFill="1" applyBorder="1" applyAlignment="1" applyProtection="1">
      <alignment horizontal="left" vertical="top" wrapText="1"/>
    </xf>
    <xf numFmtId="175" fontId="14" fillId="5" borderId="37" xfId="0" applyNumberFormat="1" applyFont="1" applyFill="1" applyBorder="1" applyAlignment="1" applyProtection="1">
      <alignment horizontal="left" vertical="center"/>
    </xf>
    <xf numFmtId="175" fontId="14" fillId="5" borderId="2" xfId="0" applyNumberFormat="1" applyFont="1" applyFill="1" applyBorder="1" applyAlignment="1" applyProtection="1">
      <alignment horizontal="left" vertical="center"/>
    </xf>
    <xf numFmtId="175" fontId="14" fillId="5" borderId="38" xfId="0" applyNumberFormat="1" applyFont="1" applyFill="1" applyBorder="1" applyAlignment="1" applyProtection="1">
      <alignment horizontal="left" vertical="center"/>
    </xf>
    <xf numFmtId="0" fontId="14" fillId="5" borderId="90" xfId="0" applyFont="1" applyFill="1" applyBorder="1" applyAlignment="1" applyProtection="1">
      <alignment horizontal="center" vertical="center"/>
    </xf>
    <xf numFmtId="0" fontId="4" fillId="5" borderId="29" xfId="0" applyFont="1" applyFill="1" applyBorder="1" applyAlignment="1" applyProtection="1">
      <alignment vertical="top" wrapText="1"/>
    </xf>
    <xf numFmtId="0" fontId="0" fillId="0" borderId="59" xfId="0" applyBorder="1" applyAlignment="1" applyProtection="1">
      <alignment vertical="top" wrapText="1"/>
    </xf>
    <xf numFmtId="0" fontId="0" fillId="0" borderId="30" xfId="0" applyBorder="1" applyAlignment="1" applyProtection="1">
      <alignment vertical="top" wrapText="1"/>
    </xf>
    <xf numFmtId="0" fontId="0" fillId="0" borderId="60" xfId="0" applyBorder="1" applyAlignment="1" applyProtection="1">
      <alignment horizontal="left" vertical="top" wrapText="1"/>
    </xf>
    <xf numFmtId="0" fontId="0" fillId="0" borderId="35" xfId="0" applyBorder="1" applyAlignment="1" applyProtection="1">
      <alignment horizontal="left" vertical="top" wrapText="1"/>
    </xf>
    <xf numFmtId="0" fontId="19" fillId="5" borderId="37" xfId="0" applyFont="1" applyFill="1" applyBorder="1" applyAlignment="1" applyProtection="1">
      <alignment horizontal="left"/>
    </xf>
    <xf numFmtId="0" fontId="19" fillId="5" borderId="2" xfId="0" applyFont="1" applyFill="1" applyBorder="1" applyAlignment="1" applyProtection="1">
      <alignment horizontal="left"/>
    </xf>
    <xf numFmtId="0" fontId="19" fillId="5" borderId="38" xfId="0" applyFont="1" applyFill="1" applyBorder="1" applyAlignment="1" applyProtection="1">
      <alignment horizontal="left"/>
    </xf>
    <xf numFmtId="0" fontId="14" fillId="5" borderId="37" xfId="0" applyFont="1" applyFill="1" applyBorder="1" applyAlignment="1" applyProtection="1">
      <alignment horizontal="center" vertical="top"/>
    </xf>
    <xf numFmtId="0" fontId="14" fillId="5" borderId="38" xfId="0" applyFont="1" applyFill="1" applyBorder="1" applyAlignment="1" applyProtection="1">
      <alignment horizontal="center" vertical="top"/>
    </xf>
    <xf numFmtId="0" fontId="4" fillId="5" borderId="37" xfId="0" applyFont="1" applyFill="1" applyBorder="1" applyAlignment="1" applyProtection="1">
      <alignment horizontal="left" vertical="center" wrapText="1"/>
    </xf>
    <xf numFmtId="0" fontId="4" fillId="5" borderId="2" xfId="0" applyFont="1" applyFill="1" applyBorder="1" applyAlignment="1" applyProtection="1">
      <alignment horizontal="left" vertical="center" wrapText="1"/>
    </xf>
    <xf numFmtId="0" fontId="4" fillId="5" borderId="38" xfId="0" applyFont="1" applyFill="1" applyBorder="1" applyAlignment="1" applyProtection="1">
      <alignment horizontal="left" vertical="center" wrapText="1"/>
    </xf>
    <xf numFmtId="0" fontId="14" fillId="5" borderId="82" xfId="0" applyFont="1" applyFill="1" applyBorder="1" applyAlignment="1" applyProtection="1">
      <alignment horizontal="center"/>
    </xf>
    <xf numFmtId="0" fontId="14" fillId="5" borderId="86" xfId="0" applyFont="1" applyFill="1" applyBorder="1" applyAlignment="1" applyProtection="1">
      <alignment horizontal="center"/>
    </xf>
    <xf numFmtId="0" fontId="14" fillId="5" borderId="83" xfId="0" applyFont="1" applyFill="1" applyBorder="1" applyAlignment="1" applyProtection="1">
      <alignment horizontal="center"/>
    </xf>
    <xf numFmtId="0" fontId="4" fillId="7" borderId="0" xfId="0" applyFont="1" applyFill="1" applyProtection="1"/>
    <xf numFmtId="0" fontId="108" fillId="7" borderId="0" xfId="0" applyFont="1" applyFill="1" applyProtection="1"/>
    <xf numFmtId="38" fontId="8" fillId="5" borderId="3" xfId="0" applyNumberFormat="1" applyFont="1" applyFill="1" applyBorder="1" applyAlignment="1" applyProtection="1">
      <alignment horizontal="center" vertical="center"/>
    </xf>
    <xf numFmtId="1" fontId="4" fillId="5" borderId="3" xfId="0" applyNumberFormat="1" applyFont="1" applyFill="1" applyBorder="1" applyAlignment="1" applyProtection="1">
      <alignment horizontal="center" vertical="center"/>
    </xf>
    <xf numFmtId="0" fontId="8" fillId="5" borderId="3" xfId="0" applyFont="1" applyFill="1" applyBorder="1" applyAlignment="1" applyProtection="1">
      <alignment horizontal="center" vertical="center"/>
    </xf>
    <xf numFmtId="0" fontId="7" fillId="5" borderId="37" xfId="0" applyFont="1" applyFill="1" applyBorder="1" applyAlignment="1" applyProtection="1">
      <alignment horizontal="left" vertical="center"/>
    </xf>
    <xf numFmtId="0" fontId="7" fillId="5" borderId="2" xfId="0" applyFont="1" applyFill="1" applyBorder="1" applyAlignment="1" applyProtection="1">
      <alignment horizontal="left" vertical="center"/>
    </xf>
    <xf numFmtId="0" fontId="7" fillId="5" borderId="38" xfId="0" applyFont="1" applyFill="1" applyBorder="1" applyAlignment="1" applyProtection="1">
      <alignment horizontal="left" vertical="center"/>
    </xf>
    <xf numFmtId="0" fontId="50" fillId="5" borderId="86" xfId="0" applyFont="1" applyFill="1" applyBorder="1" applyAlignment="1" applyProtection="1">
      <alignment horizontal="center" vertical="center"/>
    </xf>
    <xf numFmtId="0" fontId="14" fillId="5" borderId="17" xfId="0" applyFont="1" applyFill="1" applyBorder="1" applyAlignment="1" applyProtection="1">
      <alignment horizontal="center" vertical="top"/>
    </xf>
    <xf numFmtId="0" fontId="51" fillId="5" borderId="37" xfId="0" applyFont="1" applyFill="1" applyBorder="1" applyAlignment="1" applyProtection="1">
      <alignment horizontal="left" vertical="top" wrapText="1"/>
    </xf>
    <xf numFmtId="0" fontId="51" fillId="5" borderId="2" xfId="0" applyFont="1" applyFill="1" applyBorder="1" applyAlignment="1" applyProtection="1">
      <alignment horizontal="left" vertical="top" wrapText="1"/>
    </xf>
    <xf numFmtId="0" fontId="51" fillId="5" borderId="38" xfId="0" applyFont="1" applyFill="1" applyBorder="1" applyAlignment="1" applyProtection="1">
      <alignment horizontal="left" vertical="top" wrapText="1"/>
    </xf>
    <xf numFmtId="9" fontId="10" fillId="10" borderId="90" xfId="0" applyNumberFormat="1" applyFont="1" applyFill="1" applyBorder="1" applyAlignment="1" applyProtection="1">
      <alignment horizontal="center" vertical="center"/>
    </xf>
    <xf numFmtId="10" fontId="4" fillId="10" borderId="90" xfId="0" applyNumberFormat="1" applyFont="1" applyFill="1" applyBorder="1" applyProtection="1"/>
    <xf numFmtId="0" fontId="4" fillId="10" borderId="90" xfId="0" applyFont="1" applyFill="1" applyBorder="1" applyProtection="1"/>
    <xf numFmtId="0" fontId="51" fillId="5" borderId="82" xfId="0" applyFont="1" applyFill="1" applyBorder="1" applyAlignment="1" applyProtection="1">
      <alignment horizontal="left" vertical="center" wrapText="1"/>
    </xf>
    <xf numFmtId="0" fontId="51" fillId="5" borderId="86" xfId="0" applyFont="1" applyFill="1" applyBorder="1" applyAlignment="1" applyProtection="1">
      <alignment horizontal="left" vertical="center" wrapText="1"/>
    </xf>
    <xf numFmtId="0" fontId="51" fillId="5" borderId="83" xfId="0" applyFont="1" applyFill="1" applyBorder="1" applyAlignment="1" applyProtection="1">
      <alignment horizontal="left" vertical="center" wrapText="1"/>
    </xf>
    <xf numFmtId="38" fontId="19" fillId="5" borderId="82" xfId="0" applyNumberFormat="1" applyFont="1" applyFill="1" applyBorder="1" applyAlignment="1" applyProtection="1">
      <alignment horizontal="left" vertical="center"/>
    </xf>
    <xf numFmtId="38" fontId="19" fillId="5" borderId="86" xfId="0" applyNumberFormat="1" applyFont="1" applyFill="1" applyBorder="1" applyAlignment="1" applyProtection="1">
      <alignment horizontal="left" vertical="center"/>
    </xf>
    <xf numFmtId="38" fontId="19" fillId="5" borderId="83" xfId="0" applyNumberFormat="1" applyFont="1" applyFill="1" applyBorder="1" applyAlignment="1" applyProtection="1">
      <alignment horizontal="left" vertical="center"/>
    </xf>
    <xf numFmtId="0" fontId="19" fillId="5" borderId="82" xfId="0" applyFont="1" applyFill="1" applyBorder="1" applyAlignment="1" applyProtection="1">
      <alignment horizontal="left" vertical="center"/>
    </xf>
    <xf numFmtId="0" fontId="19" fillId="5" borderId="83" xfId="0" applyFont="1" applyFill="1" applyBorder="1" applyAlignment="1" applyProtection="1">
      <alignment horizontal="left" vertical="center"/>
    </xf>
    <xf numFmtId="176" fontId="50" fillId="5" borderId="82" xfId="0" applyNumberFormat="1" applyFont="1" applyFill="1" applyBorder="1" applyAlignment="1" applyProtection="1">
      <alignment horizontal="left" vertical="center"/>
    </xf>
    <xf numFmtId="176" fontId="50" fillId="5" borderId="83" xfId="0" applyNumberFormat="1" applyFont="1" applyFill="1" applyBorder="1" applyAlignment="1" applyProtection="1">
      <alignment horizontal="left" vertical="center"/>
    </xf>
    <xf numFmtId="0" fontId="18" fillId="10" borderId="82" xfId="0" applyFont="1" applyFill="1" applyBorder="1" applyAlignment="1" applyProtection="1">
      <alignment horizontal="left"/>
    </xf>
    <xf numFmtId="0" fontId="18" fillId="10" borderId="83" xfId="0" applyFont="1" applyFill="1" applyBorder="1" applyAlignment="1" applyProtection="1">
      <alignment horizontal="left"/>
    </xf>
    <xf numFmtId="0" fontId="13" fillId="5" borderId="82" xfId="0" applyFont="1" applyFill="1" applyBorder="1" applyAlignment="1" applyProtection="1">
      <alignment horizontal="left"/>
    </xf>
    <xf numFmtId="0" fontId="13" fillId="5" borderId="83" xfId="0" applyFont="1" applyFill="1" applyBorder="1" applyAlignment="1" applyProtection="1">
      <alignment horizontal="left"/>
    </xf>
    <xf numFmtId="0" fontId="8" fillId="5" borderId="90" xfId="0" applyFont="1" applyFill="1" applyBorder="1" applyAlignment="1" applyProtection="1">
      <alignment horizontal="center" vertical="center"/>
    </xf>
    <xf numFmtId="0" fontId="8" fillId="5" borderId="11" xfId="0" applyFont="1" applyFill="1" applyBorder="1" applyAlignment="1" applyProtection="1">
      <alignment horizontal="center" vertical="center"/>
    </xf>
    <xf numFmtId="0" fontId="18" fillId="10" borderId="90" xfId="0" applyFont="1" applyFill="1" applyBorder="1" applyAlignment="1" applyProtection="1">
      <alignment horizontal="left" vertical="center"/>
    </xf>
    <xf numFmtId="0" fontId="14" fillId="5" borderId="23" xfId="0" applyFont="1" applyFill="1" applyBorder="1" applyAlignment="1" applyProtection="1">
      <alignment horizontal="center" vertical="center"/>
    </xf>
    <xf numFmtId="0" fontId="13" fillId="5" borderId="3" xfId="0" applyFont="1" applyFill="1" applyBorder="1" applyAlignment="1" applyProtection="1">
      <alignment horizontal="center"/>
    </xf>
    <xf numFmtId="0" fontId="4" fillId="5" borderId="37" xfId="0" applyFont="1" applyFill="1" applyBorder="1" applyAlignment="1" applyProtection="1">
      <alignment horizontal="center"/>
    </xf>
    <xf numFmtId="0" fontId="7" fillId="5" borderId="2" xfId="0" applyFont="1" applyFill="1" applyBorder="1" applyAlignment="1" applyProtection="1">
      <alignment horizontal="center"/>
    </xf>
    <xf numFmtId="0" fontId="7" fillId="5" borderId="38" xfId="0" applyFont="1" applyFill="1" applyBorder="1" applyAlignment="1" applyProtection="1">
      <alignment horizontal="center"/>
    </xf>
    <xf numFmtId="0" fontId="4" fillId="5" borderId="90" xfId="0" applyFont="1" applyFill="1" applyBorder="1" applyAlignment="1" applyProtection="1">
      <alignment horizontal="center" vertical="center"/>
    </xf>
    <xf numFmtId="0" fontId="50" fillId="5" borderId="37" xfId="0" applyFont="1" applyFill="1" applyBorder="1" applyAlignment="1" applyProtection="1">
      <alignment horizontal="center" vertical="center"/>
    </xf>
    <xf numFmtId="0" fontId="50" fillId="5" borderId="2" xfId="0" applyFont="1" applyFill="1" applyBorder="1" applyAlignment="1" applyProtection="1">
      <alignment horizontal="center" vertical="center"/>
    </xf>
    <xf numFmtId="0" fontId="50" fillId="5" borderId="6" xfId="0" applyFont="1" applyFill="1" applyBorder="1" applyAlignment="1" applyProtection="1">
      <alignment horizontal="center" vertical="center"/>
    </xf>
    <xf numFmtId="0" fontId="50" fillId="5" borderId="7" xfId="0" applyFont="1" applyFill="1" applyBorder="1" applyAlignment="1" applyProtection="1">
      <alignment horizontal="center" vertical="center"/>
    </xf>
    <xf numFmtId="0" fontId="7" fillId="5" borderId="37" xfId="0" applyFont="1" applyFill="1" applyBorder="1" applyAlignment="1" applyProtection="1">
      <alignment horizontal="center" vertical="center"/>
    </xf>
    <xf numFmtId="0" fontId="7" fillId="5" borderId="2" xfId="0" applyFont="1" applyFill="1" applyBorder="1" applyAlignment="1" applyProtection="1">
      <alignment horizontal="center" vertical="center"/>
    </xf>
    <xf numFmtId="0" fontId="7" fillId="5" borderId="38" xfId="0" applyFont="1" applyFill="1" applyBorder="1" applyAlignment="1" applyProtection="1">
      <alignment horizontal="center" vertical="center"/>
    </xf>
    <xf numFmtId="3" fontId="4" fillId="10" borderId="82" xfId="0" applyNumberFormat="1" applyFont="1" applyFill="1" applyBorder="1" applyAlignment="1" applyProtection="1">
      <alignment horizontal="center" vertical="center"/>
    </xf>
    <xf numFmtId="3" fontId="4" fillId="10" borderId="83" xfId="0" applyNumberFormat="1" applyFont="1" applyFill="1" applyBorder="1" applyAlignment="1" applyProtection="1">
      <alignment horizontal="center" vertical="center"/>
    </xf>
    <xf numFmtId="3" fontId="4" fillId="10" borderId="84" xfId="0" applyNumberFormat="1" applyFont="1" applyFill="1" applyBorder="1" applyAlignment="1" applyProtection="1">
      <alignment horizontal="center" vertical="center"/>
    </xf>
    <xf numFmtId="3" fontId="4" fillId="10" borderId="85" xfId="0" applyNumberFormat="1" applyFont="1" applyFill="1" applyBorder="1" applyAlignment="1" applyProtection="1">
      <alignment horizontal="center" vertical="center"/>
    </xf>
    <xf numFmtId="3" fontId="4" fillId="10" borderId="58" xfId="0" applyNumberFormat="1" applyFont="1" applyFill="1" applyBorder="1" applyAlignment="1" applyProtection="1">
      <alignment horizontal="center" vertical="center"/>
    </xf>
    <xf numFmtId="3" fontId="4" fillId="10" borderId="36" xfId="0" applyNumberFormat="1" applyFont="1" applyFill="1" applyBorder="1" applyAlignment="1" applyProtection="1">
      <alignment horizontal="center" vertical="center"/>
    </xf>
    <xf numFmtId="0" fontId="4" fillId="5" borderId="5" xfId="0" applyFont="1" applyFill="1" applyBorder="1" applyAlignment="1" applyProtection="1">
      <alignment horizontal="left" vertical="center" wrapText="1"/>
    </xf>
    <xf numFmtId="0" fontId="4" fillId="5" borderId="6" xfId="0" applyFont="1" applyFill="1" applyBorder="1" applyAlignment="1" applyProtection="1">
      <alignment horizontal="left" vertical="center" wrapText="1"/>
    </xf>
    <xf numFmtId="0" fontId="4" fillId="5" borderId="7" xfId="0" applyFont="1" applyFill="1" applyBorder="1" applyAlignment="1" applyProtection="1">
      <alignment horizontal="left" vertical="center" wrapText="1"/>
    </xf>
    <xf numFmtId="0" fontId="51" fillId="5" borderId="37" xfId="0" applyFont="1" applyFill="1" applyBorder="1" applyAlignment="1" applyProtection="1">
      <alignment horizontal="justify" vertical="top" wrapText="1"/>
    </xf>
    <xf numFmtId="0" fontId="0" fillId="0" borderId="2" xfId="0" applyBorder="1" applyProtection="1"/>
    <xf numFmtId="3" fontId="4" fillId="5" borderId="37" xfId="0" applyNumberFormat="1" applyFont="1" applyFill="1" applyBorder="1" applyAlignment="1" applyProtection="1">
      <alignment horizontal="left" vertical="center" wrapText="1"/>
    </xf>
    <xf numFmtId="3" fontId="4" fillId="5" borderId="38" xfId="0" applyNumberFormat="1" applyFont="1" applyFill="1" applyBorder="1" applyAlignment="1" applyProtection="1">
      <alignment horizontal="left" vertical="center" wrapText="1"/>
    </xf>
    <xf numFmtId="0" fontId="8" fillId="5" borderId="17" xfId="0" applyFont="1" applyFill="1" applyBorder="1" applyAlignment="1" applyProtection="1">
      <alignment horizontal="center" vertical="center"/>
    </xf>
    <xf numFmtId="0" fontId="8" fillId="5" borderId="19" xfId="0" applyFont="1" applyFill="1" applyBorder="1" applyAlignment="1" applyProtection="1">
      <alignment horizontal="center" vertical="center"/>
    </xf>
    <xf numFmtId="0" fontId="8" fillId="5" borderId="3" xfId="0" applyFont="1" applyFill="1" applyBorder="1" applyAlignment="1" applyProtection="1">
      <alignment horizontal="center" vertical="top"/>
    </xf>
    <xf numFmtId="0" fontId="8" fillId="5" borderId="17" xfId="0" applyFont="1" applyFill="1" applyBorder="1" applyAlignment="1" applyProtection="1">
      <alignment horizontal="center" vertical="top"/>
    </xf>
    <xf numFmtId="0" fontId="8" fillId="5" borderId="18" xfId="0" applyFont="1" applyFill="1" applyBorder="1" applyAlignment="1" applyProtection="1">
      <alignment horizontal="center" vertical="top"/>
    </xf>
    <xf numFmtId="0" fontId="8" fillId="5" borderId="19" xfId="0" applyFont="1" applyFill="1" applyBorder="1" applyAlignment="1" applyProtection="1">
      <alignment horizontal="center" vertical="top"/>
    </xf>
    <xf numFmtId="3" fontId="8" fillId="5" borderId="3" xfId="0" applyNumberFormat="1" applyFont="1" applyFill="1" applyBorder="1" applyAlignment="1" applyProtection="1">
      <alignment horizontal="center" vertical="center"/>
    </xf>
    <xf numFmtId="0" fontId="119" fillId="0" borderId="0" xfId="0" applyFont="1" applyAlignment="1" applyProtection="1">
      <alignment horizontal="center"/>
    </xf>
    <xf numFmtId="0" fontId="54" fillId="0" borderId="0" xfId="0" applyFont="1" applyBorder="1" applyAlignment="1" applyProtection="1">
      <alignment horizontal="justify" vertical="top" wrapText="1"/>
    </xf>
    <xf numFmtId="0" fontId="0" fillId="0" borderId="0" xfId="0" applyAlignment="1" applyProtection="1">
      <alignment horizontal="justify"/>
    </xf>
    <xf numFmtId="0" fontId="40" fillId="0" borderId="0" xfId="13" applyFont="1" applyProtection="1"/>
    <xf numFmtId="0" fontId="39" fillId="0" borderId="0" xfId="13" applyFont="1" applyAlignment="1" applyProtection="1"/>
    <xf numFmtId="0" fontId="41" fillId="0" borderId="0" xfId="13" applyFont="1" applyAlignment="1" applyProtection="1"/>
    <xf numFmtId="0" fontId="42" fillId="0" borderId="0" xfId="13" applyFont="1" applyAlignment="1" applyProtection="1"/>
    <xf numFmtId="0" fontId="44" fillId="0" borderId="0" xfId="13" applyFont="1" applyProtection="1"/>
    <xf numFmtId="0" fontId="43" fillId="0" borderId="0" xfId="13" applyFont="1" applyProtection="1"/>
    <xf numFmtId="0" fontId="44" fillId="0" borderId="0" xfId="13" applyFont="1" applyAlignment="1" applyProtection="1">
      <alignment horizontal="left" wrapText="1"/>
    </xf>
    <xf numFmtId="0" fontId="44" fillId="0" borderId="0" xfId="13" applyFont="1" applyAlignment="1" applyProtection="1">
      <alignment horizontal="left"/>
    </xf>
    <xf numFmtId="0" fontId="44" fillId="0" borderId="0" xfId="13" applyFont="1" applyAlignment="1" applyProtection="1">
      <alignment horizontal="justify" vertical="center" wrapText="1"/>
    </xf>
    <xf numFmtId="0" fontId="44" fillId="0" borderId="0" xfId="13" applyFont="1" applyAlignment="1" applyProtection="1">
      <alignment vertical="top"/>
    </xf>
    <xf numFmtId="0" fontId="44" fillId="0" borderId="0" xfId="13" applyFont="1" applyAlignment="1" applyProtection="1">
      <alignment horizontal="justify" vertical="top" wrapText="1"/>
    </xf>
    <xf numFmtId="0" fontId="9" fillId="0" borderId="0" xfId="13" applyFont="1" applyAlignment="1" applyProtection="1">
      <alignment vertical="top"/>
    </xf>
    <xf numFmtId="0" fontId="44" fillId="0" borderId="0" xfId="13" applyFont="1" applyAlignment="1" applyProtection="1">
      <alignment horizontal="left"/>
    </xf>
    <xf numFmtId="0" fontId="44" fillId="0" borderId="14" xfId="13" applyFont="1" applyBorder="1" applyAlignment="1" applyProtection="1">
      <alignment horizontal="left"/>
    </xf>
    <xf numFmtId="0" fontId="44" fillId="0" borderId="0" xfId="13" applyFont="1" applyAlignment="1" applyProtection="1"/>
    <xf numFmtId="0" fontId="46" fillId="0" borderId="89" xfId="13" applyFont="1" applyBorder="1" applyAlignment="1" applyProtection="1">
      <alignment horizontal="center" vertical="top"/>
    </xf>
    <xf numFmtId="175" fontId="44" fillId="0" borderId="14" xfId="13" applyNumberFormat="1" applyFont="1" applyBorder="1" applyAlignment="1" applyProtection="1">
      <alignment horizontal="left"/>
    </xf>
    <xf numFmtId="0" fontId="46" fillId="0" borderId="0" xfId="13" applyFont="1" applyAlignment="1" applyProtection="1">
      <alignment horizontal="center"/>
    </xf>
  </cellXfs>
  <cellStyles count="18">
    <cellStyle name="60% - Accent6" xfId="14" builtinId="52"/>
    <cellStyle name="Comma" xfId="1" builtinId="3"/>
    <cellStyle name="Currency" xfId="2" builtinId="4"/>
    <cellStyle name="Grey" xfId="3"/>
    <cellStyle name="Header1" xfId="4"/>
    <cellStyle name="Header2" xfId="5"/>
    <cellStyle name="Header2 2" xfId="15"/>
    <cellStyle name="Hyperlink" xfId="6" builtinId="8"/>
    <cellStyle name="Input [yellow]" xfId="7"/>
    <cellStyle name="Input [yellow] 2" xfId="16"/>
    <cellStyle name="Normal" xfId="0" builtinId="0"/>
    <cellStyle name="Normal - Style1" xfId="8"/>
    <cellStyle name="Normal 2" xfId="12"/>
    <cellStyle name="Normal 2 2" xfId="17"/>
    <cellStyle name="Normal 3" xfId="13"/>
    <cellStyle name="Normal_'96-'97 Rent Tables" xfId="9"/>
    <cellStyle name="Percent" xfId="10" builtinId="5"/>
    <cellStyle name="Percent [2]" xfId="11"/>
  </cellStyles>
  <dxfs count="16">
    <dxf>
      <font>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ill>
        <patternFill>
          <bgColor indexed="45"/>
        </patternFill>
      </fill>
    </dxf>
    <dxf>
      <fill>
        <patternFill>
          <bgColor indexed="45"/>
        </patternFill>
      </fill>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CCFFFF"/>
      <color rgb="FFCCFFCC"/>
      <color rgb="FF0066FF"/>
      <color rgb="FFCCFF99"/>
      <color rgb="FFFD938B"/>
      <color rgb="FFFB5B5B"/>
      <color rgb="FFCAB2D8"/>
      <color rgb="FF99FF99"/>
      <color rgb="FFFFFF99"/>
      <color rgb="FF66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dca.state.ga.us/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L253"/>
  <sheetViews>
    <sheetView showGridLines="0" zoomScaleNormal="100" workbookViewId="0">
      <selection sqref="A1:XFD1048576"/>
    </sheetView>
  </sheetViews>
  <sheetFormatPr defaultRowHeight="11.25"/>
  <cols>
    <col min="1" max="1" width="3.28515625" style="1173" customWidth="1"/>
    <col min="2" max="2" width="10.7109375" style="1280" customWidth="1"/>
    <col min="3" max="3" width="4.85546875" style="1280" customWidth="1"/>
    <col min="4" max="4" width="8.5703125" style="1280" customWidth="1"/>
    <col min="5" max="5" width="4.28515625" style="1281" customWidth="1"/>
    <col min="6" max="7" width="26.28515625" style="1173" customWidth="1"/>
    <col min="8" max="8" width="30" style="1173" customWidth="1"/>
    <col min="9" max="9" width="4" style="1279" customWidth="1"/>
    <col min="10" max="10" width="6.42578125" style="1173" customWidth="1"/>
    <col min="11" max="11" width="9.7109375" style="1173" customWidth="1"/>
    <col min="12" max="12" width="3.42578125" style="1173" customWidth="1"/>
    <col min="13" max="16384" width="9.140625" style="1173"/>
  </cols>
  <sheetData>
    <row r="1" spans="1:12" s="1171" customFormat="1" ht="15.75">
      <c r="A1" s="1168" t="str">
        <f>CONCATENATE("2013 Application Tabs Checklist for:  ",'Part I-Project Information'!F23, ",  ",'Part I-Project Information'!F26, ",  ",'Part I-Project Information'!J27, " County")</f>
        <v>2013 Application Tabs Checklist for:  Mountain View Senior Residences,  Stone Mountain,  DeKalb County</v>
      </c>
      <c r="B1" s="1169"/>
      <c r="C1" s="1169"/>
      <c r="D1" s="1169"/>
      <c r="E1" s="1169"/>
      <c r="F1" s="1169"/>
      <c r="G1" s="1169"/>
      <c r="H1" s="1169"/>
      <c r="I1" s="1169"/>
      <c r="J1" s="1169"/>
      <c r="K1" s="1169"/>
      <c r="L1" s="1170"/>
    </row>
    <row r="2" spans="1:12" ht="26.25" customHeight="1">
      <c r="A2" s="1172" t="s">
        <v>3970</v>
      </c>
      <c r="B2" s="1172"/>
      <c r="C2" s="1172"/>
      <c r="D2" s="1172"/>
      <c r="E2" s="1172"/>
      <c r="F2" s="1172"/>
      <c r="G2" s="1172"/>
      <c r="H2" s="1172"/>
      <c r="I2" s="1172"/>
      <c r="J2" s="1172"/>
      <c r="K2" s="1172"/>
      <c r="L2" s="1172"/>
    </row>
    <row r="3" spans="1:12" s="1179" customFormat="1" ht="12" customHeight="1">
      <c r="A3" s="1174" t="s">
        <v>3774</v>
      </c>
      <c r="B3" s="1175"/>
      <c r="C3" s="1175"/>
      <c r="D3" s="1175"/>
      <c r="E3" s="1176" t="s">
        <v>3775</v>
      </c>
      <c r="F3" s="1177"/>
      <c r="G3" s="1177"/>
      <c r="H3" s="1177"/>
      <c r="I3" s="1178"/>
      <c r="J3" s="1177"/>
      <c r="K3" s="1177"/>
      <c r="L3" s="1176" t="s">
        <v>3776</v>
      </c>
    </row>
    <row r="4" spans="1:12" s="1179" customFormat="1" ht="12.75" thickBot="1">
      <c r="A4" s="1180"/>
      <c r="B4" s="1181" t="s">
        <v>3777</v>
      </c>
      <c r="C4" s="1181"/>
      <c r="D4" s="1181"/>
      <c r="E4" s="1182"/>
      <c r="F4" s="1181" t="s">
        <v>3999</v>
      </c>
      <c r="G4" s="1183"/>
      <c r="H4" s="1183"/>
      <c r="I4" s="1181" t="s">
        <v>3778</v>
      </c>
      <c r="J4" s="1183"/>
      <c r="K4" s="1183"/>
      <c r="L4" s="1182"/>
    </row>
    <row r="5" spans="1:12" s="1187" customFormat="1">
      <c r="A5" s="1184"/>
      <c r="B5" s="1185"/>
      <c r="C5" s="1185"/>
      <c r="D5" s="1185"/>
      <c r="E5" s="1186"/>
      <c r="F5" s="1187" t="s">
        <v>3779</v>
      </c>
      <c r="I5" s="1188"/>
      <c r="L5" s="1189" t="s">
        <v>4073</v>
      </c>
    </row>
    <row r="6" spans="1:12" s="1187" customFormat="1" ht="12" customHeight="1">
      <c r="A6" s="1190" t="s">
        <v>3780</v>
      </c>
      <c r="B6" s="1185" t="s">
        <v>1866</v>
      </c>
      <c r="C6" s="1185"/>
      <c r="D6" s="1185"/>
      <c r="E6" s="1191" t="s">
        <v>3780</v>
      </c>
      <c r="F6" s="1187" t="s">
        <v>3966</v>
      </c>
      <c r="I6" s="1188"/>
      <c r="L6" s="1192" t="s">
        <v>4073</v>
      </c>
    </row>
    <row r="7" spans="1:12" s="1187" customFormat="1" ht="12" customHeight="1">
      <c r="A7" s="1184"/>
      <c r="B7" s="1185"/>
      <c r="C7" s="1185"/>
      <c r="D7" s="1185"/>
      <c r="E7" s="1193" t="s">
        <v>3608</v>
      </c>
      <c r="F7" s="1187" t="s">
        <v>3781</v>
      </c>
      <c r="I7" s="1188"/>
      <c r="L7" s="1192" t="s">
        <v>4073</v>
      </c>
    </row>
    <row r="8" spans="1:12" s="1187" customFormat="1" ht="12" customHeight="1">
      <c r="A8" s="1184"/>
      <c r="B8" s="1185"/>
      <c r="C8" s="1185"/>
      <c r="D8" s="1185"/>
      <c r="E8" s="1193" t="s">
        <v>3606</v>
      </c>
      <c r="F8" s="1187" t="s">
        <v>554</v>
      </c>
      <c r="I8" s="1188"/>
      <c r="L8" s="1192" t="s">
        <v>4074</v>
      </c>
    </row>
    <row r="9" spans="1:12" s="1187" customFormat="1" ht="12" customHeight="1">
      <c r="A9" s="1184"/>
      <c r="B9" s="1185"/>
      <c r="C9" s="1185"/>
      <c r="D9" s="1185"/>
      <c r="E9" s="1193" t="s">
        <v>3607</v>
      </c>
      <c r="F9" s="1187" t="s">
        <v>3576</v>
      </c>
      <c r="I9" s="1188"/>
      <c r="L9" s="1192" t="s">
        <v>4073</v>
      </c>
    </row>
    <row r="10" spans="1:12" s="1187" customFormat="1" ht="12" customHeight="1">
      <c r="A10" s="1184"/>
      <c r="B10" s="1185"/>
      <c r="C10" s="1185"/>
      <c r="D10" s="1185"/>
      <c r="E10" s="1193" t="s">
        <v>3609</v>
      </c>
      <c r="F10" s="1187" t="s">
        <v>3596</v>
      </c>
      <c r="I10" s="1188"/>
      <c r="J10" s="1194"/>
      <c r="L10" s="1192" t="s">
        <v>4073</v>
      </c>
    </row>
    <row r="11" spans="1:12" s="1187" customFormat="1" ht="12" customHeight="1">
      <c r="A11" s="1184"/>
      <c r="B11" s="1185"/>
      <c r="C11" s="1185"/>
      <c r="D11" s="1185"/>
      <c r="E11" s="1193" t="s">
        <v>3610</v>
      </c>
      <c r="F11" s="1187" t="s">
        <v>3782</v>
      </c>
      <c r="I11" s="1188"/>
      <c r="J11" s="1194"/>
      <c r="L11" s="1195" t="s">
        <v>4074</v>
      </c>
    </row>
    <row r="12" spans="1:12" s="1187" customFormat="1" ht="12" customHeight="1">
      <c r="A12" s="1184"/>
      <c r="B12" s="1185"/>
      <c r="C12" s="1185"/>
      <c r="D12" s="1185"/>
      <c r="E12" s="1196" t="s">
        <v>3611</v>
      </c>
      <c r="F12" s="1187" t="s">
        <v>3968</v>
      </c>
      <c r="I12" s="1188"/>
      <c r="J12" s="1194"/>
      <c r="L12" s="1195" t="s">
        <v>4073</v>
      </c>
    </row>
    <row r="13" spans="1:12" s="1187" customFormat="1" ht="12" customHeight="1">
      <c r="A13" s="1197" t="s">
        <v>3783</v>
      </c>
      <c r="B13" s="1197"/>
      <c r="C13" s="1197"/>
      <c r="D13" s="1197"/>
      <c r="E13" s="1197"/>
      <c r="F13" s="1197"/>
      <c r="G13" s="1197"/>
      <c r="H13" s="1197"/>
      <c r="I13" s="1197"/>
      <c r="J13" s="1197"/>
      <c r="K13" s="1197"/>
      <c r="L13" s="1197"/>
    </row>
    <row r="14" spans="1:12" s="1187" customFormat="1" ht="12" customHeight="1">
      <c r="A14" s="1198" t="s">
        <v>3608</v>
      </c>
      <c r="B14" s="1199" t="s">
        <v>4030</v>
      </c>
      <c r="C14" s="1199"/>
      <c r="D14" s="1200" t="s">
        <v>4031</v>
      </c>
      <c r="E14" s="1191" t="s">
        <v>3608</v>
      </c>
      <c r="F14" s="1187" t="s">
        <v>3784</v>
      </c>
      <c r="I14" s="1188"/>
      <c r="J14" s="1194"/>
      <c r="L14" s="1192" t="s">
        <v>4073</v>
      </c>
    </row>
    <row r="15" spans="1:12" s="1187" customFormat="1" ht="12" customHeight="1">
      <c r="A15" s="1184"/>
      <c r="C15" s="1201"/>
      <c r="D15" s="1185" t="s">
        <v>3785</v>
      </c>
      <c r="E15" s="1193" t="s">
        <v>3606</v>
      </c>
      <c r="F15" s="1202" t="s">
        <v>3786</v>
      </c>
      <c r="G15" s="1202"/>
      <c r="H15" s="1202"/>
      <c r="I15" s="1203" t="s">
        <v>3930</v>
      </c>
      <c r="J15" s="1204" t="s">
        <v>3931</v>
      </c>
      <c r="K15" s="1204" t="s">
        <v>3935</v>
      </c>
      <c r="L15" s="1192" t="s">
        <v>4073</v>
      </c>
    </row>
    <row r="16" spans="1:12" s="1187" customFormat="1" ht="12" customHeight="1">
      <c r="A16" s="1184"/>
      <c r="C16" s="1201"/>
      <c r="D16" s="1185"/>
      <c r="E16" s="1193"/>
      <c r="F16" s="1202"/>
      <c r="G16" s="1202"/>
      <c r="H16" s="1202"/>
      <c r="I16" s="1203" t="s">
        <v>3932</v>
      </c>
      <c r="J16" s="1204" t="s">
        <v>2697</v>
      </c>
      <c r="K16" s="1204" t="s">
        <v>3936</v>
      </c>
    </row>
    <row r="17" spans="1:12" s="1187" customFormat="1" ht="12" customHeight="1">
      <c r="A17" s="1184"/>
      <c r="C17" s="1201"/>
      <c r="D17" s="1185"/>
      <c r="E17" s="1193"/>
      <c r="F17" s="1202"/>
      <c r="G17" s="1202"/>
      <c r="H17" s="1202"/>
      <c r="I17" s="1203" t="s">
        <v>3792</v>
      </c>
      <c r="J17" s="1204" t="s">
        <v>3933</v>
      </c>
      <c r="K17" s="1204" t="s">
        <v>565</v>
      </c>
    </row>
    <row r="18" spans="1:12" s="1187" customFormat="1" ht="23.25" customHeight="1">
      <c r="A18" s="1184"/>
      <c r="C18" s="1201"/>
      <c r="D18" s="1185"/>
      <c r="E18" s="1193"/>
      <c r="F18" s="1202"/>
      <c r="G18" s="1202"/>
      <c r="H18" s="1202"/>
      <c r="I18" s="1203" t="s">
        <v>3792</v>
      </c>
      <c r="J18" s="1204" t="s">
        <v>3934</v>
      </c>
      <c r="K18" s="1204" t="s">
        <v>565</v>
      </c>
    </row>
    <row r="19" spans="1:12" s="1187" customFormat="1" ht="12" customHeight="1">
      <c r="A19" s="1184"/>
      <c r="C19" s="1201"/>
      <c r="D19" s="1185" t="s">
        <v>3787</v>
      </c>
      <c r="E19" s="1193" t="s">
        <v>3607</v>
      </c>
      <c r="F19" s="1194" t="s">
        <v>3975</v>
      </c>
      <c r="G19" s="1205"/>
      <c r="H19" s="1205"/>
      <c r="I19" s="1203"/>
      <c r="J19" s="1204"/>
      <c r="L19" s="1192" t="s">
        <v>4073</v>
      </c>
    </row>
    <row r="20" spans="1:12" s="1187" customFormat="1" ht="12" customHeight="1">
      <c r="A20" s="1184"/>
      <c r="C20" s="1201"/>
      <c r="D20" s="1185"/>
      <c r="E20" s="1206"/>
      <c r="F20" s="1187" t="s">
        <v>3976</v>
      </c>
      <c r="I20" s="1188"/>
      <c r="J20" s="1194"/>
      <c r="L20" s="1192" t="s">
        <v>4074</v>
      </c>
    </row>
    <row r="21" spans="1:12" s="1187" customFormat="1" ht="23.25" customHeight="1">
      <c r="A21" s="1184"/>
      <c r="C21" s="1201"/>
      <c r="D21" s="1185" t="s">
        <v>3788</v>
      </c>
      <c r="E21" s="1193" t="s">
        <v>3609</v>
      </c>
      <c r="F21" s="1187" t="s">
        <v>3977</v>
      </c>
      <c r="I21" s="1203" t="s">
        <v>3789</v>
      </c>
      <c r="J21" s="1204" t="s">
        <v>3790</v>
      </c>
      <c r="K21" s="1204" t="s">
        <v>3791</v>
      </c>
      <c r="L21" s="1192" t="s">
        <v>4073</v>
      </c>
    </row>
    <row r="22" spans="1:12" s="1187" customFormat="1" ht="12" customHeight="1">
      <c r="A22" s="1184"/>
      <c r="C22" s="1201"/>
      <c r="D22" s="1185"/>
      <c r="E22" s="1206"/>
      <c r="F22" s="1187" t="s">
        <v>3978</v>
      </c>
      <c r="I22" s="1188" t="s">
        <v>3792</v>
      </c>
      <c r="J22" s="1194" t="s">
        <v>3793</v>
      </c>
      <c r="K22" s="1187" t="s">
        <v>565</v>
      </c>
      <c r="L22" s="1192" t="s">
        <v>4074</v>
      </c>
    </row>
    <row r="23" spans="1:12" s="1187" customFormat="1" ht="12" customHeight="1">
      <c r="A23" s="1184"/>
      <c r="C23" s="1201"/>
      <c r="D23" s="1185"/>
      <c r="E23" s="1206"/>
      <c r="F23" s="1187" t="s">
        <v>3979</v>
      </c>
      <c r="I23" s="1188"/>
      <c r="J23" s="1194"/>
      <c r="L23" s="1192" t="s">
        <v>4074</v>
      </c>
    </row>
    <row r="24" spans="1:12" s="1187" customFormat="1" ht="12" customHeight="1">
      <c r="A24" s="1184"/>
      <c r="C24" s="1201"/>
      <c r="D24" s="1185"/>
      <c r="E24" s="1206"/>
      <c r="F24" s="1187" t="s">
        <v>3980</v>
      </c>
      <c r="I24" s="1188"/>
      <c r="J24" s="1194"/>
      <c r="L24" s="1192" t="s">
        <v>4074</v>
      </c>
    </row>
    <row r="25" spans="1:12" s="1187" customFormat="1" ht="12" customHeight="1">
      <c r="A25" s="1184"/>
      <c r="C25" s="1201"/>
      <c r="D25" s="1185"/>
      <c r="E25" s="1206"/>
      <c r="F25" s="1187" t="s">
        <v>3981</v>
      </c>
      <c r="I25" s="1188"/>
      <c r="J25" s="1194"/>
      <c r="L25" s="1192" t="s">
        <v>4074</v>
      </c>
    </row>
    <row r="26" spans="1:12" s="1187" customFormat="1" ht="12" customHeight="1">
      <c r="A26" s="1184"/>
      <c r="C26" s="1201"/>
      <c r="D26" s="1185" t="s">
        <v>3794</v>
      </c>
      <c r="E26" s="1193" t="s">
        <v>3610</v>
      </c>
      <c r="F26" s="1187" t="s">
        <v>3982</v>
      </c>
      <c r="I26" s="1188"/>
      <c r="J26" s="1194"/>
      <c r="L26" s="1192" t="s">
        <v>4074</v>
      </c>
    </row>
    <row r="27" spans="1:12" s="1187" customFormat="1" ht="12" customHeight="1">
      <c r="A27" s="1184"/>
      <c r="B27" s="1207"/>
      <c r="C27" s="1207"/>
      <c r="D27" s="1207"/>
      <c r="E27" s="1206"/>
      <c r="F27" s="1187" t="s">
        <v>3983</v>
      </c>
      <c r="I27" s="1188"/>
      <c r="J27" s="1194"/>
      <c r="L27" s="1192" t="s">
        <v>4074</v>
      </c>
    </row>
    <row r="28" spans="1:12" s="1187" customFormat="1" ht="12" customHeight="1">
      <c r="A28" s="1184"/>
      <c r="B28" s="1207"/>
      <c r="C28" s="1207"/>
      <c r="D28" s="1207"/>
      <c r="E28" s="1206"/>
      <c r="F28" s="1187" t="s">
        <v>3984</v>
      </c>
      <c r="I28" s="1188"/>
      <c r="J28" s="1194"/>
      <c r="L28" s="1192" t="s">
        <v>4074</v>
      </c>
    </row>
    <row r="29" spans="1:12" s="1187" customFormat="1" ht="12" customHeight="1">
      <c r="A29" s="1184"/>
      <c r="B29" s="1207"/>
      <c r="C29" s="1207"/>
      <c r="D29" s="1207"/>
      <c r="E29" s="1206"/>
      <c r="F29" s="1187" t="s">
        <v>3985</v>
      </c>
      <c r="I29" s="1188"/>
      <c r="J29" s="1194"/>
      <c r="L29" s="1192" t="s">
        <v>4074</v>
      </c>
    </row>
    <row r="30" spans="1:12" s="1187" customFormat="1" ht="12" customHeight="1">
      <c r="A30" s="1184"/>
      <c r="B30" s="1207"/>
      <c r="C30" s="1207"/>
      <c r="D30" s="1207"/>
      <c r="E30" s="1193" t="s">
        <v>3611</v>
      </c>
      <c r="F30" s="1187" t="s">
        <v>3795</v>
      </c>
      <c r="I30" s="1188"/>
      <c r="J30" s="1194"/>
      <c r="L30" s="1192" t="s">
        <v>4073</v>
      </c>
    </row>
    <row r="31" spans="1:12" s="1187" customFormat="1" ht="12" customHeight="1">
      <c r="A31" s="1184"/>
      <c r="B31" s="1207"/>
      <c r="C31" s="1207"/>
      <c r="D31" s="1207"/>
      <c r="E31" s="1193" t="s">
        <v>3612</v>
      </c>
      <c r="F31" s="1187" t="s">
        <v>3796</v>
      </c>
      <c r="I31" s="1188"/>
      <c r="J31" s="1194"/>
      <c r="L31" s="1192" t="s">
        <v>4074</v>
      </c>
    </row>
    <row r="32" spans="1:12" s="1187" customFormat="1" ht="23.25" customHeight="1">
      <c r="A32" s="1208" t="s">
        <v>3606</v>
      </c>
      <c r="B32" s="1209" t="s">
        <v>3797</v>
      </c>
      <c r="C32" s="1209"/>
      <c r="D32" s="1209"/>
      <c r="E32" s="1191" t="s">
        <v>3608</v>
      </c>
      <c r="F32" s="1210" t="s">
        <v>3798</v>
      </c>
      <c r="G32" s="1210"/>
      <c r="H32" s="1210"/>
      <c r="I32" s="1211" t="s">
        <v>3799</v>
      </c>
      <c r="J32" s="1212" t="s">
        <v>3800</v>
      </c>
      <c r="K32" s="1213" t="s">
        <v>3801</v>
      </c>
      <c r="L32" s="1192" t="s">
        <v>4074</v>
      </c>
    </row>
    <row r="33" spans="1:12" s="1187" customFormat="1" ht="12" customHeight="1">
      <c r="A33" s="1184"/>
      <c r="B33" s="1185"/>
      <c r="C33" s="1185"/>
      <c r="D33" s="1185"/>
      <c r="E33" s="1193" t="s">
        <v>3606</v>
      </c>
      <c r="F33" s="1187" t="s">
        <v>3802</v>
      </c>
      <c r="I33" s="1188"/>
      <c r="J33" s="1194"/>
      <c r="L33" s="1192" t="s">
        <v>4074</v>
      </c>
    </row>
    <row r="34" spans="1:12" s="1187" customFormat="1" ht="12" customHeight="1">
      <c r="A34" s="1208" t="s">
        <v>3607</v>
      </c>
      <c r="B34" s="1209" t="s">
        <v>4032</v>
      </c>
      <c r="C34" s="1209"/>
      <c r="D34" s="1209" t="s">
        <v>3839</v>
      </c>
      <c r="E34" s="1191" t="s">
        <v>3608</v>
      </c>
      <c r="F34" s="1214" t="s">
        <v>3803</v>
      </c>
      <c r="G34" s="1214"/>
      <c r="H34" s="1214"/>
      <c r="I34" s="1211"/>
      <c r="J34" s="1212"/>
      <c r="K34" s="1213"/>
      <c r="L34" s="1192" t="s">
        <v>4074</v>
      </c>
    </row>
    <row r="35" spans="1:12" s="1187" customFormat="1" ht="12" customHeight="1">
      <c r="A35" s="1208" t="s">
        <v>3609</v>
      </c>
      <c r="B35" s="1209" t="s">
        <v>4033</v>
      </c>
      <c r="C35" s="1209"/>
      <c r="D35" s="1209" t="s">
        <v>3836</v>
      </c>
      <c r="E35" s="1191" t="s">
        <v>3608</v>
      </c>
      <c r="F35" s="1214" t="s">
        <v>3804</v>
      </c>
      <c r="G35" s="1214"/>
      <c r="H35" s="1214"/>
      <c r="I35" s="1211"/>
      <c r="J35" s="1212"/>
      <c r="K35" s="1213"/>
      <c r="L35" s="1192" t="s">
        <v>4074</v>
      </c>
    </row>
    <row r="36" spans="1:12" s="1187" customFormat="1" ht="12" customHeight="1">
      <c r="A36" s="1184"/>
      <c r="B36" s="1201"/>
      <c r="C36" s="1201"/>
      <c r="D36" s="1185" t="s">
        <v>3805</v>
      </c>
      <c r="E36" s="1193" t="s">
        <v>3606</v>
      </c>
      <c r="F36" s="1215" t="s">
        <v>3806</v>
      </c>
      <c r="I36" s="1188"/>
      <c r="J36" s="1194"/>
      <c r="L36" s="1192" t="s">
        <v>4074</v>
      </c>
    </row>
    <row r="37" spans="1:12" s="1187" customFormat="1" ht="12" customHeight="1">
      <c r="A37" s="1208" t="s">
        <v>3610</v>
      </c>
      <c r="B37" s="1209" t="s">
        <v>3807</v>
      </c>
      <c r="C37" s="1209"/>
      <c r="D37" s="1209"/>
      <c r="E37" s="1191" t="s">
        <v>3608</v>
      </c>
      <c r="F37" s="1214" t="s">
        <v>584</v>
      </c>
      <c r="G37" s="1214"/>
      <c r="H37" s="1214"/>
      <c r="I37" s="1211" t="s">
        <v>463</v>
      </c>
      <c r="J37" s="1212" t="s">
        <v>3808</v>
      </c>
      <c r="K37" s="1213" t="s">
        <v>3809</v>
      </c>
      <c r="L37" s="1192" t="s">
        <v>4073</v>
      </c>
    </row>
    <row r="38" spans="1:12" s="1187" customFormat="1" ht="12" customHeight="1">
      <c r="A38" s="1208" t="s">
        <v>3611</v>
      </c>
      <c r="B38" s="1209" t="s">
        <v>4034</v>
      </c>
      <c r="C38" s="1209"/>
      <c r="D38" s="1209" t="s">
        <v>3805</v>
      </c>
      <c r="E38" s="1191" t="s">
        <v>3608</v>
      </c>
      <c r="F38" s="1214" t="s">
        <v>3810</v>
      </c>
      <c r="G38" s="1214"/>
      <c r="H38" s="1214"/>
      <c r="I38" s="1211"/>
      <c r="J38" s="1212"/>
      <c r="K38" s="1213"/>
      <c r="L38" s="1192" t="s">
        <v>4074</v>
      </c>
    </row>
    <row r="39" spans="1:12" s="1187" customFormat="1" ht="12" customHeight="1">
      <c r="A39" s="1208" t="s">
        <v>3612</v>
      </c>
      <c r="B39" s="1209" t="s">
        <v>4035</v>
      </c>
      <c r="C39" s="1209"/>
      <c r="D39" s="1209" t="s">
        <v>4036</v>
      </c>
      <c r="E39" s="1191" t="s">
        <v>3608</v>
      </c>
      <c r="F39" s="1214" t="s">
        <v>3811</v>
      </c>
      <c r="G39" s="1214"/>
      <c r="H39" s="1214"/>
      <c r="I39" s="1211"/>
      <c r="J39" s="1212"/>
      <c r="K39" s="1213"/>
      <c r="L39" s="1192" t="s">
        <v>4073</v>
      </c>
    </row>
    <row r="40" spans="1:12" s="1187" customFormat="1" ht="12" customHeight="1">
      <c r="B40" s="1216" t="s">
        <v>4037</v>
      </c>
      <c r="C40" s="1216"/>
      <c r="D40" s="1217"/>
      <c r="E40" s="1193" t="s">
        <v>3606</v>
      </c>
      <c r="F40" s="1187" t="s">
        <v>3812</v>
      </c>
      <c r="I40" s="1188"/>
      <c r="J40" s="1194"/>
      <c r="L40" s="1192" t="s">
        <v>4073</v>
      </c>
    </row>
    <row r="41" spans="1:12" s="1187" customFormat="1" ht="12" customHeight="1">
      <c r="B41" s="1216"/>
      <c r="C41" s="1216"/>
      <c r="D41" s="1217"/>
      <c r="E41" s="1193" t="s">
        <v>3607</v>
      </c>
      <c r="F41" s="1187" t="s">
        <v>3813</v>
      </c>
      <c r="I41" s="1188"/>
      <c r="J41" s="1194"/>
      <c r="L41" s="1192" t="s">
        <v>4074</v>
      </c>
    </row>
    <row r="42" spans="1:12" s="1187" customFormat="1" ht="12" customHeight="1">
      <c r="B42" s="1216"/>
      <c r="C42" s="1216"/>
      <c r="D42" s="1184"/>
      <c r="E42" s="1218" t="s">
        <v>3609</v>
      </c>
      <c r="F42" s="1219" t="s">
        <v>3969</v>
      </c>
      <c r="G42" s="1219"/>
      <c r="H42" s="1219"/>
      <c r="I42" s="1219"/>
      <c r="J42" s="1219"/>
      <c r="K42" s="1220"/>
      <c r="L42" s="1192" t="s">
        <v>4074</v>
      </c>
    </row>
    <row r="43" spans="1:12" s="1187" customFormat="1" ht="23.25" customHeight="1">
      <c r="A43" s="1208" t="s">
        <v>3945</v>
      </c>
      <c r="B43" s="1221" t="s">
        <v>3814</v>
      </c>
      <c r="C43" s="1221"/>
      <c r="D43" s="1221"/>
      <c r="E43" s="1191" t="s">
        <v>3608</v>
      </c>
      <c r="F43" s="1222" t="s">
        <v>3815</v>
      </c>
      <c r="G43" s="1222"/>
      <c r="H43" s="1222"/>
      <c r="I43" s="1211" t="s">
        <v>3799</v>
      </c>
      <c r="J43" s="1212" t="s">
        <v>2697</v>
      </c>
      <c r="K43" s="1213" t="s">
        <v>3801</v>
      </c>
      <c r="L43" s="1192" t="s">
        <v>4073</v>
      </c>
    </row>
    <row r="44" spans="1:12" s="1187" customFormat="1" ht="12" customHeight="1">
      <c r="A44" s="1184"/>
      <c r="B44" s="1185"/>
      <c r="C44" s="1185"/>
      <c r="D44" s="1185"/>
      <c r="E44" s="1193" t="s">
        <v>3606</v>
      </c>
      <c r="F44" s="1187" t="s">
        <v>3816</v>
      </c>
      <c r="I44" s="1188"/>
      <c r="J44" s="1194"/>
      <c r="L44" s="1192" t="s">
        <v>4073</v>
      </c>
    </row>
    <row r="45" spans="1:12" s="1187" customFormat="1" ht="12" customHeight="1">
      <c r="A45" s="1184"/>
      <c r="B45" s="1185"/>
      <c r="C45" s="1185"/>
      <c r="D45" s="1185"/>
      <c r="E45" s="1193" t="s">
        <v>3607</v>
      </c>
      <c r="F45" s="1187" t="s">
        <v>3817</v>
      </c>
      <c r="I45" s="1188"/>
      <c r="J45" s="1194"/>
      <c r="L45" s="1192" t="s">
        <v>4074</v>
      </c>
    </row>
    <row r="46" spans="1:12" s="1187" customFormat="1" ht="12" customHeight="1">
      <c r="A46" s="1208" t="s">
        <v>3946</v>
      </c>
      <c r="B46" s="1209" t="s">
        <v>3818</v>
      </c>
      <c r="C46" s="1209"/>
      <c r="D46" s="1209"/>
      <c r="E46" s="1191" t="s">
        <v>3608</v>
      </c>
      <c r="F46" s="1214" t="s">
        <v>3819</v>
      </c>
      <c r="G46" s="1214"/>
      <c r="H46" s="1214"/>
      <c r="I46" s="1211"/>
      <c r="J46" s="1212"/>
      <c r="K46" s="1213"/>
      <c r="L46" s="1192" t="s">
        <v>4073</v>
      </c>
    </row>
    <row r="47" spans="1:12" s="1187" customFormat="1" ht="12" customHeight="1">
      <c r="A47" s="1223">
        <v>10</v>
      </c>
      <c r="B47" s="1209" t="s">
        <v>3820</v>
      </c>
      <c r="C47" s="1209"/>
      <c r="D47" s="1209"/>
      <c r="E47" s="1191" t="s">
        <v>3608</v>
      </c>
      <c r="F47" s="1214" t="s">
        <v>3821</v>
      </c>
      <c r="G47" s="1214"/>
      <c r="H47" s="1214"/>
      <c r="I47" s="1211"/>
      <c r="J47" s="1212"/>
      <c r="K47" s="1213"/>
      <c r="L47" s="1192" t="s">
        <v>4073</v>
      </c>
    </row>
    <row r="48" spans="1:12" s="1187" customFormat="1" ht="12" customHeight="1">
      <c r="A48" s="1184"/>
      <c r="B48" s="1185"/>
      <c r="C48" s="1185"/>
      <c r="D48" s="1185"/>
      <c r="E48" s="1193" t="s">
        <v>3606</v>
      </c>
      <c r="F48" s="1187" t="s">
        <v>3822</v>
      </c>
      <c r="I48" s="1188"/>
      <c r="J48" s="1194"/>
      <c r="L48" s="1192" t="s">
        <v>4073</v>
      </c>
    </row>
    <row r="49" spans="1:12" s="1187" customFormat="1" ht="12" customHeight="1">
      <c r="A49" s="1223">
        <v>11</v>
      </c>
      <c r="B49" s="1209" t="s">
        <v>3823</v>
      </c>
      <c r="C49" s="1209"/>
      <c r="D49" s="1209"/>
      <c r="E49" s="1191" t="s">
        <v>3608</v>
      </c>
      <c r="F49" s="1214" t="s">
        <v>3824</v>
      </c>
      <c r="G49" s="1214"/>
      <c r="H49" s="1214"/>
      <c r="I49" s="1211"/>
      <c r="J49" s="1212"/>
      <c r="K49" s="1213"/>
      <c r="L49" s="1192" t="s">
        <v>4073</v>
      </c>
    </row>
    <row r="50" spans="1:12" s="1187" customFormat="1" ht="12" customHeight="1">
      <c r="A50" s="1223">
        <v>12</v>
      </c>
      <c r="B50" s="1209" t="s">
        <v>3825</v>
      </c>
      <c r="C50" s="1209"/>
      <c r="D50" s="1209"/>
      <c r="E50" s="1191" t="s">
        <v>3608</v>
      </c>
      <c r="F50" s="1214" t="s">
        <v>3826</v>
      </c>
      <c r="G50" s="1214"/>
      <c r="H50" s="1214"/>
      <c r="I50" s="1211"/>
      <c r="J50" s="1212"/>
      <c r="K50" s="1213"/>
      <c r="L50" s="1192" t="s">
        <v>4073</v>
      </c>
    </row>
    <row r="51" spans="1:12" s="1187" customFormat="1" ht="12" customHeight="1">
      <c r="A51" s="1184"/>
      <c r="B51" s="1185"/>
      <c r="C51" s="1185"/>
      <c r="D51" s="1185"/>
      <c r="E51" s="1193" t="s">
        <v>3606</v>
      </c>
      <c r="F51" s="1187" t="s">
        <v>3827</v>
      </c>
      <c r="I51" s="1188"/>
      <c r="J51" s="1194"/>
      <c r="L51" s="1192" t="s">
        <v>4074</v>
      </c>
    </row>
    <row r="52" spans="1:12" s="1187" customFormat="1" ht="12" customHeight="1">
      <c r="A52" s="1184"/>
      <c r="B52" s="1185"/>
      <c r="C52" s="1185"/>
      <c r="D52" s="1185"/>
      <c r="E52" s="1193" t="s">
        <v>3607</v>
      </c>
      <c r="F52" s="1187" t="s">
        <v>3828</v>
      </c>
      <c r="I52" s="1188"/>
      <c r="J52" s="1194"/>
      <c r="L52" s="1192" t="s">
        <v>4074</v>
      </c>
    </row>
    <row r="53" spans="1:12" s="1187" customFormat="1" ht="12" customHeight="1">
      <c r="A53" s="1223">
        <v>13</v>
      </c>
      <c r="B53" s="1209" t="s">
        <v>3829</v>
      </c>
      <c r="C53" s="1209"/>
      <c r="D53" s="1209"/>
      <c r="E53" s="1191" t="s">
        <v>3608</v>
      </c>
      <c r="F53" s="1214" t="s">
        <v>3830</v>
      </c>
      <c r="G53" s="1214"/>
      <c r="H53" s="1214"/>
      <c r="I53" s="1211"/>
      <c r="J53" s="1212"/>
      <c r="K53" s="1213"/>
      <c r="L53" s="1192" t="s">
        <v>4073</v>
      </c>
    </row>
    <row r="54" spans="1:12" s="1187" customFormat="1" ht="12" customHeight="1">
      <c r="A54" s="1184"/>
      <c r="B54" s="1185"/>
      <c r="C54" s="1185"/>
      <c r="D54" s="1185"/>
      <c r="E54" s="1193" t="s">
        <v>3606</v>
      </c>
      <c r="F54" s="1187" t="s">
        <v>3831</v>
      </c>
      <c r="I54" s="1188"/>
      <c r="J54" s="1194"/>
      <c r="L54" s="1192" t="s">
        <v>4073</v>
      </c>
    </row>
    <row r="55" spans="1:12" s="1187" customFormat="1" ht="12" customHeight="1">
      <c r="A55" s="1223">
        <v>14</v>
      </c>
      <c r="B55" s="1209" t="s">
        <v>3832</v>
      </c>
      <c r="C55" s="1209"/>
      <c r="D55" s="1209"/>
      <c r="E55" s="1191" t="s">
        <v>3608</v>
      </c>
      <c r="F55" s="1214" t="s">
        <v>3833</v>
      </c>
      <c r="G55" s="1214"/>
      <c r="H55" s="1214"/>
      <c r="I55" s="1211"/>
      <c r="J55" s="1212"/>
      <c r="K55" s="1213"/>
      <c r="L55" s="1192" t="s">
        <v>4074</v>
      </c>
    </row>
    <row r="56" spans="1:12" s="1187" customFormat="1" ht="12" customHeight="1">
      <c r="A56" s="1223">
        <v>15</v>
      </c>
      <c r="B56" s="1209" t="s">
        <v>3834</v>
      </c>
      <c r="C56" s="1209"/>
      <c r="D56" s="1209"/>
      <c r="E56" s="1191" t="s">
        <v>3608</v>
      </c>
      <c r="F56" s="1214" t="s">
        <v>3835</v>
      </c>
      <c r="G56" s="1214"/>
      <c r="H56" s="1214"/>
      <c r="I56" s="1211"/>
      <c r="J56" s="1212"/>
      <c r="K56" s="1213"/>
      <c r="L56" s="1192" t="s">
        <v>4074</v>
      </c>
    </row>
    <row r="57" spans="1:12" s="1187" customFormat="1" ht="12" customHeight="1">
      <c r="A57" s="1184"/>
      <c r="B57" s="1201"/>
      <c r="C57" s="1201"/>
      <c r="D57" s="1185" t="s">
        <v>3836</v>
      </c>
      <c r="E57" s="1193" t="s">
        <v>3606</v>
      </c>
      <c r="F57" s="1187" t="s">
        <v>3837</v>
      </c>
      <c r="I57" s="1188"/>
      <c r="J57" s="1194"/>
      <c r="L57" s="1192" t="s">
        <v>4074</v>
      </c>
    </row>
    <row r="58" spans="1:12" s="1187" customFormat="1" ht="12" customHeight="1">
      <c r="A58" s="1184"/>
      <c r="B58" s="1201"/>
      <c r="C58" s="1201"/>
      <c r="D58" s="1185" t="s">
        <v>3805</v>
      </c>
      <c r="E58" s="1193" t="s">
        <v>3607</v>
      </c>
      <c r="F58" s="1187" t="s">
        <v>3838</v>
      </c>
      <c r="I58" s="1188"/>
      <c r="J58" s="1194"/>
      <c r="L58" s="1192" t="s">
        <v>4074</v>
      </c>
    </row>
    <row r="59" spans="1:12" s="1187" customFormat="1" ht="12" customHeight="1">
      <c r="A59" s="1184"/>
      <c r="B59" s="1201"/>
      <c r="C59" s="1201"/>
      <c r="D59" s="1185" t="s">
        <v>3839</v>
      </c>
      <c r="E59" s="1193" t="s">
        <v>3609</v>
      </c>
      <c r="F59" s="1187" t="s">
        <v>3840</v>
      </c>
      <c r="I59" s="1188"/>
      <c r="J59" s="1194"/>
      <c r="L59" s="1192" t="s">
        <v>4074</v>
      </c>
    </row>
    <row r="60" spans="1:12" s="1187" customFormat="1" ht="12" customHeight="1">
      <c r="A60" s="1223">
        <v>16</v>
      </c>
      <c r="B60" s="1224" t="s">
        <v>3841</v>
      </c>
      <c r="C60" s="1224"/>
      <c r="D60" s="1209"/>
      <c r="E60" s="1191" t="s">
        <v>3608</v>
      </c>
      <c r="F60" s="1214" t="s">
        <v>3842</v>
      </c>
      <c r="G60" s="1214"/>
      <c r="H60" s="1214"/>
      <c r="I60" s="1211"/>
      <c r="J60" s="1212"/>
      <c r="K60" s="1213"/>
      <c r="L60" s="1192" t="s">
        <v>4073</v>
      </c>
    </row>
    <row r="61" spans="1:12" s="1187" customFormat="1" ht="12" customHeight="1">
      <c r="A61" s="1184"/>
      <c r="B61" s="1225"/>
      <c r="C61" s="1225"/>
      <c r="D61" s="1185"/>
      <c r="E61" s="1193" t="s">
        <v>3606</v>
      </c>
      <c r="F61" s="1187" t="s">
        <v>3843</v>
      </c>
      <c r="I61" s="1188"/>
      <c r="J61" s="1194"/>
      <c r="L61" s="1192" t="s">
        <v>4073</v>
      </c>
    </row>
    <row r="62" spans="1:12" s="1187" customFormat="1" ht="12" customHeight="1">
      <c r="A62" s="1184"/>
      <c r="B62" s="1225"/>
      <c r="C62" s="1225"/>
      <c r="D62" s="1185"/>
      <c r="E62" s="1193" t="s">
        <v>3607</v>
      </c>
      <c r="F62" s="1187" t="s">
        <v>3844</v>
      </c>
      <c r="I62" s="1188"/>
      <c r="J62" s="1194"/>
      <c r="L62" s="1192" t="s">
        <v>4073</v>
      </c>
    </row>
    <row r="63" spans="1:12" s="1187" customFormat="1" ht="12" customHeight="1">
      <c r="A63" s="1184"/>
      <c r="B63" s="1185"/>
      <c r="C63" s="1185"/>
      <c r="D63" s="1185"/>
      <c r="E63" s="1193" t="s">
        <v>3609</v>
      </c>
      <c r="F63" s="1187" t="s">
        <v>3845</v>
      </c>
      <c r="I63" s="1188"/>
      <c r="J63" s="1194"/>
      <c r="L63" s="1192" t="s">
        <v>4073</v>
      </c>
    </row>
    <row r="64" spans="1:12" s="1187" customFormat="1" ht="12" customHeight="1">
      <c r="A64" s="1223" t="s">
        <v>3947</v>
      </c>
      <c r="B64" s="1224" t="s">
        <v>4040</v>
      </c>
      <c r="C64" s="1224"/>
      <c r="D64" s="1209" t="s">
        <v>4036</v>
      </c>
      <c r="E64" s="1191" t="s">
        <v>3608</v>
      </c>
      <c r="F64" s="1226" t="s">
        <v>3846</v>
      </c>
      <c r="G64" s="1227"/>
      <c r="H64" s="1214"/>
      <c r="I64" s="1211"/>
      <c r="J64" s="1212"/>
      <c r="K64" s="1213"/>
      <c r="L64" s="1192" t="s">
        <v>4074</v>
      </c>
    </row>
    <row r="65" spans="1:12" s="1187" customFormat="1" ht="12" customHeight="1">
      <c r="A65" s="1184"/>
      <c r="B65" s="1228"/>
      <c r="C65" s="1228"/>
      <c r="D65" s="1185"/>
      <c r="E65" s="1206" t="s">
        <v>3606</v>
      </c>
      <c r="F65" s="1187" t="s">
        <v>3847</v>
      </c>
      <c r="I65" s="1188"/>
      <c r="J65" s="1194"/>
      <c r="L65" s="1192" t="s">
        <v>4074</v>
      </c>
    </row>
    <row r="66" spans="1:12" s="1187" customFormat="1" ht="12" customHeight="1">
      <c r="A66" s="1223" t="s">
        <v>3948</v>
      </c>
      <c r="B66" s="1224" t="s">
        <v>4042</v>
      </c>
      <c r="C66" s="1224"/>
      <c r="D66" s="1209"/>
      <c r="E66" s="1191" t="s">
        <v>3608</v>
      </c>
      <c r="F66" s="1214" t="s">
        <v>3929</v>
      </c>
      <c r="G66" s="1214"/>
      <c r="H66" s="1214"/>
      <c r="I66" s="1211"/>
      <c r="J66" s="1212"/>
      <c r="K66" s="1213"/>
      <c r="L66" s="1192" t="s">
        <v>4073</v>
      </c>
    </row>
    <row r="67" spans="1:12" s="1187" customFormat="1" ht="12" customHeight="1">
      <c r="A67" s="1184"/>
      <c r="B67" s="1225"/>
      <c r="C67" s="1225"/>
      <c r="D67" s="1185" t="s">
        <v>3848</v>
      </c>
      <c r="E67" s="1193" t="s">
        <v>3606</v>
      </c>
      <c r="F67" s="1187" t="s">
        <v>3849</v>
      </c>
      <c r="I67" s="1188"/>
      <c r="J67" s="1194"/>
      <c r="L67" s="1192" t="s">
        <v>4073</v>
      </c>
    </row>
    <row r="68" spans="1:12" s="1187" customFormat="1" ht="12" customHeight="1">
      <c r="A68" s="1199"/>
      <c r="B68" s="1200" t="s">
        <v>3850</v>
      </c>
      <c r="C68" s="1200"/>
      <c r="D68" s="1200"/>
      <c r="E68" s="1193" t="s">
        <v>3607</v>
      </c>
      <c r="F68" s="1229" t="s">
        <v>3851</v>
      </c>
      <c r="G68" s="1229"/>
      <c r="H68" s="1229"/>
      <c r="I68" s="1230"/>
      <c r="J68" s="1229"/>
      <c r="K68" s="1231"/>
      <c r="L68" s="1192" t="s">
        <v>4073</v>
      </c>
    </row>
    <row r="69" spans="1:12" s="1187" customFormat="1" ht="12" customHeight="1">
      <c r="A69" s="1184"/>
      <c r="B69" s="1185"/>
      <c r="C69" s="1185"/>
      <c r="D69" s="1185"/>
      <c r="E69" s="1193" t="s">
        <v>3609</v>
      </c>
      <c r="F69" s="1187" t="s">
        <v>3852</v>
      </c>
      <c r="I69" s="1188"/>
      <c r="L69" s="1192" t="s">
        <v>4073</v>
      </c>
    </row>
    <row r="70" spans="1:12" s="1187" customFormat="1" ht="12" customHeight="1">
      <c r="A70" s="1184"/>
      <c r="B70" s="1185"/>
      <c r="C70" s="1185"/>
      <c r="D70" s="1185"/>
      <c r="E70" s="1193" t="s">
        <v>3610</v>
      </c>
      <c r="F70" s="1187" t="s">
        <v>3853</v>
      </c>
      <c r="I70" s="1188"/>
      <c r="L70" s="1192" t="s">
        <v>4073</v>
      </c>
    </row>
    <row r="71" spans="1:12" s="1187" customFormat="1" ht="23.25" customHeight="1">
      <c r="A71" s="1184"/>
      <c r="C71" s="1201"/>
      <c r="D71" s="1185" t="s">
        <v>3836</v>
      </c>
      <c r="E71" s="1193" t="s">
        <v>3611</v>
      </c>
      <c r="F71" s="1232" t="s">
        <v>3971</v>
      </c>
      <c r="G71" s="1232"/>
      <c r="H71" s="1232"/>
      <c r="I71" s="1188" t="s">
        <v>3854</v>
      </c>
      <c r="J71" s="1194" t="s">
        <v>3855</v>
      </c>
      <c r="K71" s="1187" t="s">
        <v>3856</v>
      </c>
      <c r="L71" s="1192" t="s">
        <v>4073</v>
      </c>
    </row>
    <row r="72" spans="1:12" s="1187" customFormat="1" ht="12" customHeight="1">
      <c r="A72" s="1184"/>
      <c r="C72" s="1201"/>
      <c r="D72" s="1185" t="s">
        <v>3805</v>
      </c>
      <c r="E72" s="1193" t="s">
        <v>3612</v>
      </c>
      <c r="F72" s="1187" t="s">
        <v>3986</v>
      </c>
      <c r="I72" s="1188"/>
      <c r="J72" s="1194"/>
      <c r="L72" s="1192" t="s">
        <v>4073</v>
      </c>
    </row>
    <row r="73" spans="1:12" s="1187" customFormat="1" ht="12" customHeight="1">
      <c r="A73" s="1184"/>
      <c r="B73" s="1185"/>
      <c r="C73" s="1185"/>
      <c r="D73" s="1185"/>
      <c r="E73" s="1193"/>
      <c r="F73" s="1187" t="s">
        <v>3987</v>
      </c>
      <c r="I73" s="1188"/>
      <c r="J73" s="1194"/>
      <c r="L73" s="1192" t="s">
        <v>4073</v>
      </c>
    </row>
    <row r="74" spans="1:12" s="1187" customFormat="1" ht="12" customHeight="1">
      <c r="A74" s="1184"/>
      <c r="B74" s="1185"/>
      <c r="C74" s="1185"/>
      <c r="D74" s="1185"/>
      <c r="E74" s="1193"/>
      <c r="F74" s="1233" t="s">
        <v>3988</v>
      </c>
      <c r="G74" s="1233"/>
      <c r="H74" s="1233"/>
      <c r="I74" s="1188" t="s">
        <v>3854</v>
      </c>
      <c r="J74" s="1194" t="s">
        <v>3855</v>
      </c>
      <c r="K74" s="1187" t="s">
        <v>3856</v>
      </c>
      <c r="L74" s="1192" t="s">
        <v>4073</v>
      </c>
    </row>
    <row r="75" spans="1:12" s="1187" customFormat="1" ht="12" customHeight="1">
      <c r="A75" s="1184"/>
      <c r="B75" s="1185"/>
      <c r="C75" s="1185"/>
      <c r="D75" s="1185"/>
      <c r="E75" s="1193" t="s">
        <v>3945</v>
      </c>
      <c r="F75" s="1234" t="s">
        <v>3989</v>
      </c>
      <c r="G75" s="1234"/>
      <c r="H75" s="1234"/>
      <c r="I75" s="1188"/>
      <c r="J75" s="1194"/>
      <c r="L75" s="1192" t="s">
        <v>4073</v>
      </c>
    </row>
    <row r="76" spans="1:12" s="1187" customFormat="1" ht="12" customHeight="1">
      <c r="A76" s="1184"/>
      <c r="B76" s="1185"/>
      <c r="C76" s="1185"/>
      <c r="D76" s="1185"/>
      <c r="E76" s="1218" t="s">
        <v>3946</v>
      </c>
      <c r="F76" s="1219" t="s">
        <v>3969</v>
      </c>
      <c r="G76" s="1219"/>
      <c r="H76" s="1219"/>
      <c r="I76" s="1219"/>
      <c r="J76" s="1219"/>
      <c r="K76" s="1220"/>
      <c r="L76" s="1192" t="s">
        <v>4074</v>
      </c>
    </row>
    <row r="77" spans="1:12" s="1187" customFormat="1" ht="12" customHeight="1">
      <c r="A77" s="1223">
        <v>19</v>
      </c>
      <c r="B77" s="1209" t="s">
        <v>4041</v>
      </c>
      <c r="C77" s="1209"/>
      <c r="D77" s="1209" t="s">
        <v>3836</v>
      </c>
      <c r="E77" s="1191" t="s">
        <v>3608</v>
      </c>
      <c r="F77" s="1214" t="s">
        <v>3857</v>
      </c>
      <c r="G77" s="1214"/>
      <c r="H77" s="1214"/>
      <c r="I77" s="1211"/>
      <c r="J77" s="1212"/>
      <c r="K77" s="1214"/>
      <c r="L77" s="1192" t="s">
        <v>4073</v>
      </c>
    </row>
    <row r="78" spans="1:12" s="1187" customFormat="1" ht="12" customHeight="1">
      <c r="A78" s="1184"/>
      <c r="B78" s="1185"/>
      <c r="C78" s="1185"/>
      <c r="D78" s="1185"/>
      <c r="E78" s="1193" t="s">
        <v>3606</v>
      </c>
      <c r="F78" s="1187" t="s">
        <v>3858</v>
      </c>
      <c r="I78" s="1188"/>
      <c r="J78" s="1194"/>
      <c r="L78" s="1192" t="s">
        <v>4073</v>
      </c>
    </row>
    <row r="79" spans="1:12" s="1187" customFormat="1" ht="12" customHeight="1">
      <c r="A79" s="1184"/>
      <c r="C79" s="1201"/>
      <c r="D79" s="1185" t="s">
        <v>3859</v>
      </c>
      <c r="E79" s="1193" t="s">
        <v>3607</v>
      </c>
      <c r="F79" s="1187" t="s">
        <v>3860</v>
      </c>
      <c r="I79" s="1188"/>
      <c r="J79" s="1194"/>
      <c r="L79" s="1192" t="s">
        <v>4073</v>
      </c>
    </row>
    <row r="80" spans="1:12" s="1187" customFormat="1" ht="12" customHeight="1">
      <c r="A80" s="1184"/>
      <c r="B80" s="1185"/>
      <c r="C80" s="1185"/>
      <c r="D80" s="1185"/>
      <c r="E80" s="1193" t="s">
        <v>3609</v>
      </c>
      <c r="F80" s="1202" t="s">
        <v>3861</v>
      </c>
      <c r="G80" s="1202"/>
      <c r="H80" s="1202"/>
      <c r="I80" s="1188"/>
      <c r="J80" s="1194"/>
      <c r="L80" s="1192" t="s">
        <v>4073</v>
      </c>
    </row>
    <row r="81" spans="1:12" s="1187" customFormat="1" ht="12" customHeight="1">
      <c r="A81" s="1223">
        <v>20</v>
      </c>
      <c r="B81" s="1209" t="s">
        <v>4038</v>
      </c>
      <c r="C81" s="1209"/>
      <c r="D81" s="1209" t="s">
        <v>3836</v>
      </c>
      <c r="E81" s="1191" t="s">
        <v>3608</v>
      </c>
      <c r="F81" s="1235" t="s">
        <v>3862</v>
      </c>
      <c r="G81" s="1214"/>
      <c r="H81" s="1214"/>
      <c r="I81" s="1211"/>
      <c r="J81" s="1212"/>
      <c r="K81" s="1214"/>
      <c r="L81" s="1192" t="s">
        <v>4074</v>
      </c>
    </row>
    <row r="82" spans="1:12" s="1187" customFormat="1" ht="12" customHeight="1">
      <c r="A82" s="1223">
        <v>21</v>
      </c>
      <c r="B82" s="1209" t="s">
        <v>3863</v>
      </c>
      <c r="C82" s="1209"/>
      <c r="D82" s="1209"/>
      <c r="E82" s="1191" t="s">
        <v>3608</v>
      </c>
      <c r="F82" s="1214" t="s">
        <v>3864</v>
      </c>
      <c r="G82" s="1214"/>
      <c r="H82" s="1214"/>
      <c r="I82" s="1211"/>
      <c r="J82" s="1212"/>
      <c r="K82" s="1214"/>
      <c r="L82" s="1192" t="s">
        <v>4074</v>
      </c>
    </row>
    <row r="83" spans="1:12" s="1187" customFormat="1" ht="12" customHeight="1">
      <c r="A83" s="1184"/>
      <c r="B83" s="1185"/>
      <c r="C83" s="1185"/>
      <c r="D83" s="1185"/>
      <c r="E83" s="1193" t="s">
        <v>3606</v>
      </c>
      <c r="F83" s="1187" t="s">
        <v>3865</v>
      </c>
      <c r="I83" s="1188"/>
      <c r="J83" s="1194"/>
      <c r="L83" s="1192" t="s">
        <v>4074</v>
      </c>
    </row>
    <row r="84" spans="1:12" s="1187" customFormat="1" ht="12" customHeight="1">
      <c r="A84" s="1223">
        <v>22</v>
      </c>
      <c r="B84" s="1224" t="s">
        <v>3866</v>
      </c>
      <c r="C84" s="1224"/>
      <c r="D84" s="1209"/>
      <c r="E84" s="1191" t="s">
        <v>3608</v>
      </c>
      <c r="F84" s="1214" t="s">
        <v>3972</v>
      </c>
      <c r="G84" s="1214"/>
      <c r="H84" s="1214"/>
      <c r="I84" s="1211"/>
      <c r="J84" s="1212"/>
      <c r="K84" s="1213"/>
      <c r="L84" s="1192" t="s">
        <v>4074</v>
      </c>
    </row>
    <row r="85" spans="1:12" s="1187" customFormat="1" ht="12" customHeight="1">
      <c r="A85" s="1184"/>
      <c r="B85" s="1225"/>
      <c r="C85" s="1225"/>
      <c r="D85" s="1185"/>
      <c r="E85" s="1193" t="s">
        <v>3606</v>
      </c>
      <c r="F85" s="1187" t="s">
        <v>3183</v>
      </c>
      <c r="I85" s="1188"/>
      <c r="J85" s="1194"/>
      <c r="L85" s="1192" t="s">
        <v>4074</v>
      </c>
    </row>
    <row r="86" spans="1:12" s="1187" customFormat="1" ht="12" customHeight="1">
      <c r="A86" s="1184"/>
      <c r="B86" s="1185"/>
      <c r="C86" s="1185"/>
      <c r="D86" s="1185"/>
      <c r="E86" s="1193" t="s">
        <v>3607</v>
      </c>
      <c r="F86" s="1187" t="s">
        <v>3867</v>
      </c>
      <c r="I86" s="1188"/>
      <c r="J86" s="1194"/>
      <c r="L86" s="1192" t="s">
        <v>4074</v>
      </c>
    </row>
    <row r="87" spans="1:12" s="1187" customFormat="1" ht="12" customHeight="1">
      <c r="A87" s="1184"/>
      <c r="B87" s="1185"/>
      <c r="C87" s="1185"/>
      <c r="D87" s="1185"/>
      <c r="E87" s="1193" t="s">
        <v>3609</v>
      </c>
      <c r="F87" s="1187" t="s">
        <v>624</v>
      </c>
      <c r="I87" s="1188"/>
      <c r="J87" s="1194"/>
      <c r="L87" s="1192" t="s">
        <v>4074</v>
      </c>
    </row>
    <row r="88" spans="1:12" s="1187" customFormat="1" ht="12" customHeight="1">
      <c r="A88" s="1184"/>
      <c r="B88" s="1185"/>
      <c r="C88" s="1185"/>
      <c r="D88" s="1185"/>
      <c r="E88" s="1193" t="s">
        <v>3610</v>
      </c>
      <c r="F88" s="1187" t="s">
        <v>831</v>
      </c>
      <c r="I88" s="1188"/>
      <c r="J88" s="1194"/>
      <c r="L88" s="1192" t="s">
        <v>4074</v>
      </c>
    </row>
    <row r="89" spans="1:12" s="1187" customFormat="1" ht="12" customHeight="1">
      <c r="A89" s="1184"/>
      <c r="B89" s="1185"/>
      <c r="C89" s="1185"/>
      <c r="D89" s="1185"/>
      <c r="E89" s="1193" t="s">
        <v>3611</v>
      </c>
      <c r="F89" s="1187" t="s">
        <v>1998</v>
      </c>
      <c r="I89" s="1188"/>
      <c r="J89" s="1194"/>
      <c r="L89" s="1192" t="s">
        <v>4073</v>
      </c>
    </row>
    <row r="90" spans="1:12" s="1187" customFormat="1" ht="12" customHeight="1">
      <c r="A90" s="1184"/>
      <c r="B90" s="1185"/>
      <c r="C90" s="1185"/>
      <c r="D90" s="1185"/>
      <c r="E90" s="1218" t="s">
        <v>3612</v>
      </c>
      <c r="F90" s="1187" t="s">
        <v>4062</v>
      </c>
      <c r="I90" s="1188"/>
      <c r="J90" s="1194"/>
      <c r="L90" s="1192" t="s">
        <v>4073</v>
      </c>
    </row>
    <row r="91" spans="1:12" s="1187" customFormat="1" ht="12" customHeight="1">
      <c r="A91" s="1223">
        <v>23</v>
      </c>
      <c r="B91" s="1209" t="s">
        <v>4039</v>
      </c>
      <c r="C91" s="1209"/>
      <c r="D91" s="1209" t="s">
        <v>3836</v>
      </c>
      <c r="E91" s="1191" t="s">
        <v>3608</v>
      </c>
      <c r="F91" s="1214" t="s">
        <v>3868</v>
      </c>
      <c r="G91" s="1214"/>
      <c r="H91" s="1214"/>
      <c r="I91" s="1211"/>
      <c r="J91" s="1212"/>
      <c r="K91" s="1214"/>
      <c r="L91" s="1192" t="s">
        <v>4074</v>
      </c>
    </row>
    <row r="92" spans="1:12" s="1187" customFormat="1" ht="12" customHeight="1">
      <c r="A92" s="1184"/>
      <c r="C92" s="1201"/>
      <c r="D92" s="1185" t="s">
        <v>3805</v>
      </c>
      <c r="E92" s="1193" t="s">
        <v>3606</v>
      </c>
      <c r="F92" s="1187" t="s">
        <v>3869</v>
      </c>
      <c r="I92" s="1188"/>
      <c r="J92" s="1194"/>
      <c r="L92" s="1192" t="s">
        <v>4074</v>
      </c>
    </row>
    <row r="93" spans="1:12" s="1187" customFormat="1" ht="12" customHeight="1">
      <c r="A93" s="1184"/>
      <c r="C93" s="1201"/>
      <c r="D93" s="1185" t="s">
        <v>3839</v>
      </c>
      <c r="E93" s="1193" t="s">
        <v>3607</v>
      </c>
      <c r="F93" s="1187" t="s">
        <v>3870</v>
      </c>
      <c r="I93" s="1188"/>
      <c r="J93" s="1194"/>
      <c r="L93" s="1192" t="s">
        <v>4073</v>
      </c>
    </row>
    <row r="94" spans="1:12" s="1187" customFormat="1" ht="12" customHeight="1">
      <c r="A94" s="1184"/>
      <c r="C94" s="1201"/>
      <c r="D94" s="1185" t="s">
        <v>3848</v>
      </c>
      <c r="E94" s="1193" t="s">
        <v>3609</v>
      </c>
      <c r="F94" s="1187" t="s">
        <v>3871</v>
      </c>
      <c r="I94" s="1188"/>
      <c r="J94" s="1194"/>
      <c r="L94" s="1192" t="s">
        <v>4074</v>
      </c>
    </row>
    <row r="95" spans="1:12" s="1187" customFormat="1" ht="12" customHeight="1">
      <c r="A95" s="1223">
        <v>24</v>
      </c>
      <c r="B95" s="1236" t="s">
        <v>3872</v>
      </c>
      <c r="C95" s="1236"/>
      <c r="D95" s="1237"/>
      <c r="E95" s="1191" t="s">
        <v>3608</v>
      </c>
      <c r="F95" s="1238" t="s">
        <v>3873</v>
      </c>
      <c r="G95" s="1238"/>
      <c r="H95" s="1238"/>
      <c r="I95" s="1211"/>
      <c r="J95" s="1212"/>
      <c r="K95" s="1214"/>
      <c r="L95" s="1192" t="s">
        <v>4073</v>
      </c>
    </row>
    <row r="96" spans="1:12" s="1187" customFormat="1" ht="12" customHeight="1">
      <c r="A96" s="1239"/>
      <c r="B96" s="1240"/>
      <c r="C96" s="1240"/>
      <c r="D96" s="1241"/>
      <c r="E96" s="1193" t="s">
        <v>3606</v>
      </c>
      <c r="F96" s="1215" t="s">
        <v>1914</v>
      </c>
      <c r="G96" s="1215"/>
      <c r="H96" s="1215"/>
      <c r="I96" s="1188"/>
      <c r="J96" s="1194"/>
      <c r="L96" s="1192" t="s">
        <v>4074</v>
      </c>
    </row>
    <row r="97" spans="1:12" s="1187" customFormat="1" ht="12" customHeight="1">
      <c r="A97" s="1239"/>
      <c r="B97" s="1242"/>
      <c r="C97" s="1242"/>
      <c r="D97" s="1242"/>
      <c r="E97" s="1193" t="s">
        <v>3607</v>
      </c>
      <c r="F97" s="1215" t="s">
        <v>3874</v>
      </c>
      <c r="G97" s="1215"/>
      <c r="H97" s="1215"/>
      <c r="I97" s="1188"/>
      <c r="J97" s="1194"/>
      <c r="L97" s="1192" t="s">
        <v>4074</v>
      </c>
    </row>
    <row r="98" spans="1:12" s="1187" customFormat="1" ht="12" customHeight="1">
      <c r="A98" s="1239"/>
      <c r="B98" s="1242"/>
      <c r="C98" s="1242"/>
      <c r="D98" s="1242"/>
      <c r="E98" s="1193" t="s">
        <v>3609</v>
      </c>
      <c r="F98" s="1215" t="s">
        <v>2942</v>
      </c>
      <c r="G98" s="1215"/>
      <c r="H98" s="1215"/>
      <c r="I98" s="1188"/>
      <c r="J98" s="1194"/>
      <c r="L98" s="1192" t="s">
        <v>4074</v>
      </c>
    </row>
    <row r="99" spans="1:12" s="1187" customFormat="1" ht="12" customHeight="1">
      <c r="A99" s="1239"/>
      <c r="B99" s="1242"/>
      <c r="C99" s="1242"/>
      <c r="D99" s="1242"/>
      <c r="E99" s="1193" t="s">
        <v>3610</v>
      </c>
      <c r="F99" s="1215" t="s">
        <v>3875</v>
      </c>
      <c r="G99" s="1215"/>
      <c r="H99" s="1215"/>
      <c r="I99" s="1188"/>
      <c r="J99" s="1194"/>
      <c r="L99" s="1192" t="s">
        <v>4074</v>
      </c>
    </row>
    <row r="100" spans="1:12" s="1187" customFormat="1" ht="12" customHeight="1">
      <c r="A100" s="1239"/>
      <c r="B100" s="1239"/>
      <c r="C100" s="1239"/>
      <c r="D100" s="1239"/>
      <c r="E100" s="1193" t="s">
        <v>3611</v>
      </c>
      <c r="F100" s="1215" t="s">
        <v>3876</v>
      </c>
      <c r="G100" s="1215"/>
      <c r="H100" s="1215"/>
      <c r="I100" s="1188"/>
      <c r="J100" s="1194"/>
      <c r="L100" s="1192" t="s">
        <v>4074</v>
      </c>
    </row>
    <row r="101" spans="1:12" s="1187" customFormat="1" ht="12" customHeight="1">
      <c r="A101" s="1239"/>
      <c r="B101" s="1239"/>
      <c r="C101" s="1239"/>
      <c r="D101" s="1239"/>
      <c r="E101" s="1193" t="s">
        <v>3612</v>
      </c>
      <c r="F101" s="1215" t="s">
        <v>3877</v>
      </c>
      <c r="G101" s="1215"/>
      <c r="H101" s="1215"/>
      <c r="I101" s="1188"/>
      <c r="J101" s="1194"/>
      <c r="L101" s="1195" t="s">
        <v>4074</v>
      </c>
    </row>
    <row r="102" spans="1:12" s="1187" customFormat="1" ht="12" customHeight="1">
      <c r="A102" s="1239"/>
      <c r="B102" s="1239"/>
      <c r="C102" s="1239"/>
      <c r="D102" s="1239"/>
      <c r="E102" s="1196" t="s">
        <v>3945</v>
      </c>
      <c r="F102" s="1215" t="s">
        <v>3973</v>
      </c>
      <c r="G102" s="1215"/>
      <c r="H102" s="1215"/>
      <c r="I102" s="1188"/>
      <c r="J102" s="1194"/>
      <c r="L102" s="1195" t="s">
        <v>4074</v>
      </c>
    </row>
    <row r="103" spans="1:12" s="1229" customFormat="1" ht="12" customHeight="1">
      <c r="A103" s="1197" t="s">
        <v>3878</v>
      </c>
      <c r="B103" s="1197"/>
      <c r="C103" s="1197"/>
      <c r="D103" s="1197"/>
      <c r="E103" s="1197"/>
      <c r="F103" s="1197"/>
      <c r="G103" s="1197"/>
      <c r="H103" s="1197"/>
      <c r="I103" s="1197"/>
      <c r="J103" s="1197"/>
      <c r="K103" s="1197"/>
      <c r="L103" s="1197"/>
    </row>
    <row r="104" spans="1:12" s="1187" customFormat="1" ht="12" customHeight="1">
      <c r="A104" s="1199">
        <v>25</v>
      </c>
      <c r="B104" s="1243" t="s">
        <v>4043</v>
      </c>
      <c r="C104" s="1243"/>
      <c r="D104" s="1185"/>
      <c r="E104" s="1191" t="s">
        <v>3608</v>
      </c>
      <c r="F104" s="1187" t="s">
        <v>3879</v>
      </c>
      <c r="I104" s="1188"/>
      <c r="J104" s="1194"/>
      <c r="L104" s="1192" t="s">
        <v>4073</v>
      </c>
    </row>
    <row r="105" spans="1:12" s="1187" customFormat="1" ht="12" customHeight="1">
      <c r="A105" s="1184"/>
      <c r="B105" s="1243"/>
      <c r="C105" s="1243"/>
      <c r="D105" s="1185"/>
      <c r="E105" s="1193" t="s">
        <v>3606</v>
      </c>
      <c r="F105" s="1187" t="s">
        <v>3880</v>
      </c>
      <c r="I105" s="1188"/>
      <c r="J105" s="1194"/>
      <c r="L105" s="1192" t="s">
        <v>4073</v>
      </c>
    </row>
    <row r="106" spans="1:12" s="1187" customFormat="1" ht="12" customHeight="1">
      <c r="A106" s="1184"/>
      <c r="B106" s="1185"/>
      <c r="C106" s="1185"/>
      <c r="D106" s="1185"/>
      <c r="E106" s="1193" t="s">
        <v>3607</v>
      </c>
      <c r="F106" s="1187" t="s">
        <v>3881</v>
      </c>
      <c r="I106" s="1188"/>
      <c r="J106" s="1194"/>
      <c r="L106" s="1192" t="s">
        <v>4073</v>
      </c>
    </row>
    <row r="107" spans="1:12" s="1187" customFormat="1" ht="23.25" customHeight="1">
      <c r="A107" s="1184"/>
      <c r="B107" s="1185"/>
      <c r="C107" s="1185"/>
      <c r="D107" s="1185"/>
      <c r="E107" s="1193" t="s">
        <v>3609</v>
      </c>
      <c r="F107" s="1232" t="s">
        <v>3974</v>
      </c>
      <c r="G107" s="1232"/>
      <c r="H107" s="1232"/>
      <c r="I107" s="1232"/>
      <c r="J107" s="1232"/>
      <c r="K107" s="1244"/>
      <c r="L107" s="1192" t="s">
        <v>4074</v>
      </c>
    </row>
    <row r="108" spans="1:12" s="1187" customFormat="1" ht="12" customHeight="1">
      <c r="A108" s="1184"/>
      <c r="B108" s="1185"/>
      <c r="C108" s="1185"/>
      <c r="D108" s="1185"/>
      <c r="E108" s="1193" t="s">
        <v>3610</v>
      </c>
      <c r="F108" s="1187" t="s">
        <v>3882</v>
      </c>
      <c r="I108" s="1188"/>
      <c r="J108" s="1194"/>
      <c r="L108" s="1192" t="s">
        <v>4074</v>
      </c>
    </row>
    <row r="109" spans="1:12" s="1187" customFormat="1" ht="12" customHeight="1">
      <c r="A109" s="1223">
        <v>26</v>
      </c>
      <c r="B109" s="1209" t="s">
        <v>3883</v>
      </c>
      <c r="C109" s="1209"/>
      <c r="D109" s="1209"/>
      <c r="E109" s="1191" t="s">
        <v>3608</v>
      </c>
      <c r="F109" s="1214" t="s">
        <v>3884</v>
      </c>
      <c r="G109" s="1214"/>
      <c r="H109" s="1214"/>
      <c r="I109" s="1211"/>
      <c r="J109" s="1212"/>
      <c r="K109" s="1214"/>
      <c r="L109" s="1192" t="s">
        <v>4073</v>
      </c>
    </row>
    <row r="110" spans="1:12" s="1187" customFormat="1" ht="12" customHeight="1">
      <c r="A110" s="1184"/>
      <c r="B110" s="1185"/>
      <c r="C110" s="1185"/>
      <c r="D110" s="1185"/>
      <c r="E110" s="1193" t="s">
        <v>3606</v>
      </c>
      <c r="F110" s="1187" t="s">
        <v>547</v>
      </c>
      <c r="I110" s="1188"/>
      <c r="J110" s="1194"/>
      <c r="L110" s="1192" t="s">
        <v>4073</v>
      </c>
    </row>
    <row r="111" spans="1:12" s="1187" customFormat="1" ht="12" customHeight="1">
      <c r="A111" s="1245">
        <v>27</v>
      </c>
      <c r="B111" s="1209" t="s">
        <v>3885</v>
      </c>
      <c r="C111" s="1209"/>
      <c r="D111" s="1209"/>
      <c r="E111" s="1191" t="s">
        <v>3608</v>
      </c>
      <c r="F111" s="1214" t="s">
        <v>598</v>
      </c>
      <c r="G111" s="1214"/>
      <c r="H111" s="1214"/>
      <c r="I111" s="1211"/>
      <c r="J111" s="1212"/>
      <c r="K111" s="1214"/>
      <c r="L111" s="1192" t="s">
        <v>4074</v>
      </c>
    </row>
    <row r="112" spans="1:12" s="1187" customFormat="1" ht="23.25" customHeight="1">
      <c r="A112" s="1184"/>
      <c r="B112" s="1185"/>
      <c r="C112" s="1185"/>
      <c r="D112" s="1185"/>
      <c r="E112" s="1193" t="s">
        <v>3606</v>
      </c>
      <c r="F112" s="1232" t="s">
        <v>3886</v>
      </c>
      <c r="G112" s="1232"/>
      <c r="H112" s="1232"/>
      <c r="I112" s="1232"/>
      <c r="J112" s="1232"/>
      <c r="K112" s="1244"/>
      <c r="L112" s="1192" t="s">
        <v>4074</v>
      </c>
    </row>
    <row r="113" spans="1:12" s="1187" customFormat="1" ht="12" customHeight="1">
      <c r="A113" s="1184"/>
      <c r="B113" s="1185"/>
      <c r="C113" s="1185"/>
      <c r="D113" s="1185"/>
      <c r="E113" s="1193" t="s">
        <v>3607</v>
      </c>
      <c r="F113" s="1187" t="s">
        <v>3887</v>
      </c>
      <c r="I113" s="1188"/>
      <c r="J113" s="1194"/>
      <c r="L113" s="1192" t="s">
        <v>4074</v>
      </c>
    </row>
    <row r="114" spans="1:12" s="1187" customFormat="1" ht="12" customHeight="1">
      <c r="A114" s="1184"/>
      <c r="B114" s="1185"/>
      <c r="C114" s="1185"/>
      <c r="D114" s="1185"/>
      <c r="E114" s="1193" t="s">
        <v>3609</v>
      </c>
      <c r="F114" s="1187" t="s">
        <v>3888</v>
      </c>
      <c r="I114" s="1188"/>
      <c r="J114" s="1194"/>
      <c r="L114" s="1192" t="s">
        <v>4074</v>
      </c>
    </row>
    <row r="115" spans="1:12" s="1187" customFormat="1" ht="12" customHeight="1">
      <c r="A115" s="1184"/>
      <c r="B115" s="1185"/>
      <c r="C115" s="1185"/>
      <c r="D115" s="1185"/>
      <c r="E115" s="1218" t="s">
        <v>3610</v>
      </c>
      <c r="F115" s="1187" t="s">
        <v>3889</v>
      </c>
      <c r="I115" s="1188"/>
      <c r="J115" s="1194"/>
      <c r="L115" s="1192" t="s">
        <v>4074</v>
      </c>
    </row>
    <row r="116" spans="1:12" s="1187" customFormat="1" ht="12" customHeight="1">
      <c r="A116" s="1223">
        <v>28</v>
      </c>
      <c r="B116" s="1224" t="s">
        <v>3890</v>
      </c>
      <c r="C116" s="1224"/>
      <c r="D116" s="1209" t="s">
        <v>4054</v>
      </c>
      <c r="E116" s="1191" t="s">
        <v>3608</v>
      </c>
      <c r="F116" s="1214" t="s">
        <v>3990</v>
      </c>
      <c r="G116" s="1214"/>
      <c r="H116" s="1214"/>
      <c r="I116" s="1211"/>
      <c r="J116" s="1212"/>
      <c r="K116" s="1213"/>
      <c r="L116" s="1192" t="s">
        <v>4074</v>
      </c>
    </row>
    <row r="117" spans="1:12" s="1187" customFormat="1" ht="12" customHeight="1">
      <c r="B117" s="1225"/>
      <c r="C117" s="1225"/>
      <c r="D117" s="1185"/>
      <c r="E117" s="1193"/>
      <c r="F117" s="1187" t="s">
        <v>3991</v>
      </c>
      <c r="I117" s="1188"/>
      <c r="J117" s="1194"/>
      <c r="L117" s="1192" t="s">
        <v>4074</v>
      </c>
    </row>
    <row r="118" spans="1:12" s="1187" customFormat="1" ht="12" customHeight="1">
      <c r="A118" s="1184"/>
      <c r="C118" s="1185"/>
      <c r="D118" s="1185"/>
      <c r="E118" s="1193"/>
      <c r="F118" s="1187" t="s">
        <v>3992</v>
      </c>
      <c r="I118" s="1188"/>
      <c r="J118" s="1194"/>
      <c r="L118" s="1192" t="s">
        <v>4074</v>
      </c>
    </row>
    <row r="119" spans="1:12" s="1187" customFormat="1" ht="12" customHeight="1">
      <c r="A119" s="1184"/>
      <c r="C119" s="1185"/>
      <c r="D119" s="1185"/>
      <c r="E119" s="1193"/>
      <c r="F119" s="1246" t="s">
        <v>3993</v>
      </c>
      <c r="I119" s="1188"/>
      <c r="J119" s="1194"/>
      <c r="L119" s="1247"/>
    </row>
    <row r="120" spans="1:12" s="1187" customFormat="1" ht="12" customHeight="1">
      <c r="A120" s="1184"/>
      <c r="C120" s="1201"/>
      <c r="D120" s="1185" t="s">
        <v>4051</v>
      </c>
      <c r="E120" s="1193" t="s">
        <v>3606</v>
      </c>
      <c r="F120" s="1187" t="s">
        <v>3994</v>
      </c>
      <c r="I120" s="1188"/>
      <c r="J120" s="1194"/>
      <c r="L120" s="1192" t="s">
        <v>4074</v>
      </c>
    </row>
    <row r="121" spans="1:12" s="1187" customFormat="1" ht="12" customHeight="1">
      <c r="D121" s="1185"/>
      <c r="E121" s="1206"/>
      <c r="F121" s="1187" t="s">
        <v>3995</v>
      </c>
      <c r="I121" s="1188"/>
      <c r="J121" s="1194"/>
      <c r="L121" s="1192" t="s">
        <v>4074</v>
      </c>
    </row>
    <row r="122" spans="1:12" s="1187" customFormat="1" ht="12" customHeight="1">
      <c r="D122" s="1185"/>
      <c r="E122" s="1206"/>
      <c r="F122" s="1246" t="s">
        <v>3996</v>
      </c>
      <c r="I122" s="1188"/>
      <c r="J122" s="1194"/>
    </row>
    <row r="123" spans="1:12" s="1187" customFormat="1" ht="12" customHeight="1">
      <c r="A123" s="1184"/>
      <c r="C123" s="1201"/>
      <c r="D123" s="1185" t="s">
        <v>3805</v>
      </c>
      <c r="E123" s="1193" t="s">
        <v>3607</v>
      </c>
      <c r="F123" s="1187" t="s">
        <v>3997</v>
      </c>
      <c r="I123" s="1188"/>
      <c r="J123" s="1194"/>
      <c r="L123" s="1192" t="s">
        <v>4073</v>
      </c>
    </row>
    <row r="124" spans="1:12" s="1187" customFormat="1" ht="23.25" customHeight="1">
      <c r="A124" s="1184"/>
      <c r="B124" s="1185"/>
      <c r="C124" s="1185"/>
      <c r="D124" s="1185"/>
      <c r="E124" s="1206"/>
      <c r="F124" s="1202" t="s">
        <v>3998</v>
      </c>
      <c r="G124" s="1202"/>
      <c r="H124" s="1202"/>
      <c r="I124" s="1188"/>
      <c r="J124" s="1194"/>
      <c r="L124" s="1192" t="s">
        <v>4073</v>
      </c>
    </row>
    <row r="125" spans="1:12" s="1187" customFormat="1" ht="12" customHeight="1">
      <c r="A125" s="1223">
        <v>29</v>
      </c>
      <c r="B125" s="1224" t="s">
        <v>4044</v>
      </c>
      <c r="C125" s="1224"/>
      <c r="D125" s="1209" t="s">
        <v>3836</v>
      </c>
      <c r="E125" s="1191" t="s">
        <v>3608</v>
      </c>
      <c r="F125" s="1214" t="s">
        <v>3891</v>
      </c>
      <c r="G125" s="1214"/>
      <c r="H125" s="1214"/>
      <c r="I125" s="1211"/>
      <c r="J125" s="1212"/>
      <c r="K125" s="1213"/>
      <c r="L125" s="1192" t="s">
        <v>4073</v>
      </c>
    </row>
    <row r="126" spans="1:12" s="1187" customFormat="1" ht="12" customHeight="1">
      <c r="A126" s="1184"/>
      <c r="B126" s="1225"/>
      <c r="C126" s="1225"/>
      <c r="D126" s="1185" t="s">
        <v>4055</v>
      </c>
      <c r="E126" s="1193" t="s">
        <v>3606</v>
      </c>
      <c r="F126" s="1187" t="s">
        <v>4000</v>
      </c>
      <c r="I126" s="1188"/>
      <c r="J126" s="1194"/>
      <c r="L126" s="1192" t="s">
        <v>4074</v>
      </c>
    </row>
    <row r="127" spans="1:12" s="1187" customFormat="1" ht="12" customHeight="1">
      <c r="A127" s="1184"/>
      <c r="E127" s="1206"/>
      <c r="F127" s="1187" t="s">
        <v>4001</v>
      </c>
      <c r="I127" s="1188"/>
      <c r="J127" s="1194"/>
      <c r="L127" s="1192" t="s">
        <v>4074</v>
      </c>
    </row>
    <row r="128" spans="1:12" s="1187" customFormat="1" ht="12" customHeight="1">
      <c r="A128" s="1184"/>
      <c r="E128" s="1206"/>
      <c r="F128" s="1187" t="s">
        <v>4002</v>
      </c>
      <c r="I128" s="1188"/>
      <c r="J128" s="1194"/>
      <c r="L128" s="1192" t="s">
        <v>4074</v>
      </c>
    </row>
    <row r="129" spans="1:12" s="1187" customFormat="1" ht="12" customHeight="1">
      <c r="A129" s="1184"/>
      <c r="E129" s="1206"/>
      <c r="F129" s="1187" t="s">
        <v>4003</v>
      </c>
      <c r="I129" s="1188"/>
      <c r="J129" s="1194"/>
      <c r="L129" s="1192" t="s">
        <v>4074</v>
      </c>
    </row>
    <row r="130" spans="1:12" s="1187" customFormat="1" ht="12" customHeight="1">
      <c r="A130" s="1184"/>
      <c r="C130" s="1185"/>
      <c r="D130" s="1184"/>
      <c r="E130" s="1206"/>
      <c r="F130" s="1187" t="s">
        <v>4004</v>
      </c>
      <c r="I130" s="1188"/>
      <c r="J130" s="1194"/>
      <c r="L130" s="1192" t="s">
        <v>4074</v>
      </c>
    </row>
    <row r="131" spans="1:12" s="1187" customFormat="1" ht="12" customHeight="1">
      <c r="A131" s="1184"/>
      <c r="C131" s="1201"/>
      <c r="D131" s="1184" t="s">
        <v>4056</v>
      </c>
      <c r="E131" s="1193" t="s">
        <v>3607</v>
      </c>
      <c r="F131" s="1187" t="s">
        <v>4005</v>
      </c>
      <c r="I131" s="1188"/>
      <c r="J131" s="1194"/>
      <c r="L131" s="1192" t="s">
        <v>4074</v>
      </c>
    </row>
    <row r="132" spans="1:12" s="1187" customFormat="1" ht="12" customHeight="1">
      <c r="A132" s="1184"/>
      <c r="C132" s="1185"/>
      <c r="D132" s="1184"/>
      <c r="E132" s="1206"/>
      <c r="F132" s="1187" t="s">
        <v>4006</v>
      </c>
      <c r="I132" s="1188"/>
      <c r="J132" s="1194"/>
      <c r="L132" s="1192" t="s">
        <v>4074</v>
      </c>
    </row>
    <row r="133" spans="1:12" s="1187" customFormat="1" ht="12" customHeight="1">
      <c r="A133" s="1184"/>
      <c r="E133" s="1206"/>
      <c r="F133" s="1187" t="s">
        <v>4007</v>
      </c>
      <c r="I133" s="1188"/>
      <c r="J133" s="1194"/>
      <c r="L133" s="1192" t="s">
        <v>4074</v>
      </c>
    </row>
    <row r="134" spans="1:12" s="1187" customFormat="1" ht="12" customHeight="1">
      <c r="A134" s="1184"/>
      <c r="C134" s="1201"/>
      <c r="D134" s="1185" t="s">
        <v>3911</v>
      </c>
      <c r="E134" s="1193" t="s">
        <v>3609</v>
      </c>
      <c r="F134" s="1187" t="s">
        <v>4008</v>
      </c>
      <c r="I134" s="1188"/>
      <c r="J134" s="1194"/>
      <c r="L134" s="1192" t="s">
        <v>4074</v>
      </c>
    </row>
    <row r="135" spans="1:12" s="1187" customFormat="1" ht="12" customHeight="1">
      <c r="A135" s="1184"/>
      <c r="B135" s="1185"/>
      <c r="C135" s="1185"/>
      <c r="D135" s="1185"/>
      <c r="E135" s="1206"/>
      <c r="F135" s="1187" t="s">
        <v>4009</v>
      </c>
      <c r="I135" s="1188"/>
      <c r="J135" s="1194"/>
      <c r="L135" s="1192" t="s">
        <v>4074</v>
      </c>
    </row>
    <row r="136" spans="1:12" s="1187" customFormat="1" ht="12" customHeight="1">
      <c r="A136" s="1184"/>
      <c r="B136" s="1185"/>
      <c r="C136" s="1185"/>
      <c r="D136" s="1185"/>
      <c r="E136" s="1206"/>
      <c r="F136" s="1187" t="s">
        <v>4010</v>
      </c>
      <c r="I136" s="1188"/>
      <c r="J136" s="1194"/>
      <c r="L136" s="1192" t="s">
        <v>4074</v>
      </c>
    </row>
    <row r="137" spans="1:12" s="1187" customFormat="1" ht="12" customHeight="1">
      <c r="A137" s="1184"/>
      <c r="B137" s="1185"/>
      <c r="C137" s="1185"/>
      <c r="D137" s="1185"/>
      <c r="E137" s="1206"/>
      <c r="F137" s="1187" t="s">
        <v>4011</v>
      </c>
      <c r="I137" s="1188"/>
      <c r="J137" s="1194"/>
      <c r="L137" s="1192" t="s">
        <v>4074</v>
      </c>
    </row>
    <row r="138" spans="1:12" s="1187" customFormat="1" ht="12" customHeight="1">
      <c r="A138" s="1184"/>
      <c r="B138" s="1185"/>
      <c r="C138" s="1185"/>
      <c r="D138" s="1185"/>
      <c r="E138" s="1206"/>
      <c r="F138" s="1187" t="s">
        <v>4012</v>
      </c>
      <c r="I138" s="1188"/>
      <c r="J138" s="1194"/>
      <c r="L138" s="1192" t="s">
        <v>4074</v>
      </c>
    </row>
    <row r="139" spans="1:12" s="1187" customFormat="1" ht="12" customHeight="1">
      <c r="A139" s="1184"/>
      <c r="B139" s="1185"/>
      <c r="C139" s="1185"/>
      <c r="D139" s="1185"/>
      <c r="E139" s="1206"/>
      <c r="F139" s="1187" t="s">
        <v>4013</v>
      </c>
      <c r="I139" s="1188"/>
      <c r="J139" s="1194"/>
      <c r="L139" s="1192" t="s">
        <v>4074</v>
      </c>
    </row>
    <row r="140" spans="1:12" s="1187" customFormat="1" ht="12" customHeight="1">
      <c r="A140" s="1223">
        <v>30</v>
      </c>
      <c r="B140" s="1224" t="s">
        <v>4045</v>
      </c>
      <c r="C140" s="1248"/>
      <c r="D140" s="1209" t="s">
        <v>3836</v>
      </c>
      <c r="E140" s="1191" t="s">
        <v>3608</v>
      </c>
      <c r="F140" s="1214" t="s">
        <v>4014</v>
      </c>
      <c r="G140" s="1214"/>
      <c r="H140" s="1214"/>
      <c r="I140" s="1211"/>
      <c r="J140" s="1212"/>
      <c r="K140" s="1213"/>
      <c r="L140" s="1192" t="s">
        <v>4074</v>
      </c>
    </row>
    <row r="141" spans="1:12" s="1187" customFormat="1" ht="23.25" customHeight="1">
      <c r="A141" s="1184"/>
      <c r="B141" s="1225"/>
      <c r="C141" s="1249"/>
      <c r="D141" s="1185"/>
      <c r="E141" s="1193"/>
      <c r="F141" s="1232" t="s">
        <v>4015</v>
      </c>
      <c r="G141" s="1232"/>
      <c r="H141" s="1232"/>
      <c r="I141" s="1232"/>
      <c r="J141" s="1232"/>
      <c r="K141" s="1244"/>
      <c r="L141" s="1192" t="s">
        <v>4074</v>
      </c>
    </row>
    <row r="142" spans="1:12" s="1187" customFormat="1" ht="23.25" customHeight="1">
      <c r="A142" s="1184"/>
      <c r="C142" s="1201"/>
      <c r="D142" s="1185" t="s">
        <v>3805</v>
      </c>
      <c r="E142" s="1193" t="s">
        <v>3606</v>
      </c>
      <c r="F142" s="1202" t="s">
        <v>3892</v>
      </c>
      <c r="G142" s="1202"/>
      <c r="H142" s="1202"/>
      <c r="I142" s="1188"/>
      <c r="J142" s="1194"/>
      <c r="L142" s="1192" t="s">
        <v>4073</v>
      </c>
    </row>
    <row r="143" spans="1:12" s="1187" customFormat="1" ht="12" customHeight="1">
      <c r="A143" s="1223">
        <v>31</v>
      </c>
      <c r="B143" s="1209" t="s">
        <v>3893</v>
      </c>
      <c r="C143" s="1209"/>
      <c r="D143" s="1209"/>
      <c r="E143" s="1191" t="s">
        <v>3608</v>
      </c>
      <c r="F143" s="1214" t="s">
        <v>3894</v>
      </c>
      <c r="G143" s="1214"/>
      <c r="H143" s="1214"/>
      <c r="I143" s="1211"/>
      <c r="J143" s="1212"/>
      <c r="K143" s="1213"/>
      <c r="L143" s="1192" t="s">
        <v>4074</v>
      </c>
    </row>
    <row r="144" spans="1:12" s="1187" customFormat="1" ht="12" customHeight="1">
      <c r="A144" s="1223">
        <v>32</v>
      </c>
      <c r="B144" s="1209" t="s">
        <v>3895</v>
      </c>
      <c r="C144" s="1209"/>
      <c r="D144" s="1209"/>
      <c r="E144" s="1191" t="s">
        <v>3608</v>
      </c>
      <c r="F144" s="1214" t="s">
        <v>3896</v>
      </c>
      <c r="G144" s="1214"/>
      <c r="H144" s="1214"/>
      <c r="I144" s="1211"/>
      <c r="J144" s="1212"/>
      <c r="K144" s="1213"/>
      <c r="L144" s="1192" t="s">
        <v>4073</v>
      </c>
    </row>
    <row r="145" spans="1:12" s="1187" customFormat="1" ht="12" customHeight="1">
      <c r="A145" s="1184"/>
      <c r="B145" s="1185"/>
      <c r="C145" s="1185"/>
      <c r="D145" s="1185"/>
      <c r="E145" s="1193" t="s">
        <v>3606</v>
      </c>
      <c r="F145" s="1187" t="s">
        <v>3897</v>
      </c>
      <c r="I145" s="1188"/>
      <c r="J145" s="1194"/>
      <c r="L145" s="1192" t="s">
        <v>4073</v>
      </c>
    </row>
    <row r="146" spans="1:12" s="1187" customFormat="1" ht="12" customHeight="1">
      <c r="A146" s="1184"/>
      <c r="B146" s="1185"/>
      <c r="C146" s="1185"/>
      <c r="D146" s="1185"/>
      <c r="E146" s="1193" t="s">
        <v>3607</v>
      </c>
      <c r="F146" s="1187" t="s">
        <v>3898</v>
      </c>
      <c r="I146" s="1188"/>
      <c r="J146" s="1194"/>
      <c r="L146" s="1192" t="s">
        <v>4073</v>
      </c>
    </row>
    <row r="147" spans="1:12" s="1187" customFormat="1" ht="12" customHeight="1">
      <c r="A147" s="1184"/>
      <c r="B147" s="1185"/>
      <c r="C147" s="1185"/>
      <c r="D147" s="1185"/>
      <c r="E147" s="1193" t="s">
        <v>3609</v>
      </c>
      <c r="F147" s="1187" t="s">
        <v>3899</v>
      </c>
      <c r="I147" s="1188"/>
      <c r="J147" s="1194"/>
      <c r="L147" s="1192" t="s">
        <v>4073</v>
      </c>
    </row>
    <row r="148" spans="1:12" s="1187" customFormat="1" ht="12" customHeight="1">
      <c r="A148" s="1223">
        <v>33</v>
      </c>
      <c r="B148" s="1209" t="s">
        <v>4047</v>
      </c>
      <c r="C148" s="1209"/>
      <c r="D148" s="1209"/>
      <c r="E148" s="1250" t="s">
        <v>3608</v>
      </c>
      <c r="F148" s="1214" t="s">
        <v>3900</v>
      </c>
      <c r="G148" s="1214"/>
      <c r="H148" s="1214"/>
      <c r="I148" s="1211"/>
      <c r="J148" s="1212"/>
      <c r="K148" s="1213"/>
      <c r="L148" s="1192" t="s">
        <v>4074</v>
      </c>
    </row>
    <row r="149" spans="1:12" s="1187" customFormat="1" ht="12" customHeight="1">
      <c r="A149" s="1223">
        <v>34</v>
      </c>
      <c r="B149" s="1209" t="s">
        <v>4046</v>
      </c>
      <c r="C149" s="1209"/>
      <c r="D149" s="1209" t="s">
        <v>3839</v>
      </c>
      <c r="E149" s="1191" t="s">
        <v>3608</v>
      </c>
      <c r="F149" s="1214" t="s">
        <v>3901</v>
      </c>
      <c r="G149" s="1214"/>
      <c r="H149" s="1214"/>
      <c r="I149" s="1211"/>
      <c r="J149" s="1212"/>
      <c r="K149" s="1213"/>
      <c r="L149" s="1192" t="s">
        <v>4074</v>
      </c>
    </row>
    <row r="150" spans="1:12" s="1187" customFormat="1" ht="12" customHeight="1">
      <c r="A150" s="1184"/>
      <c r="B150" s="1185"/>
      <c r="C150" s="1185"/>
      <c r="D150" s="1185"/>
      <c r="E150" s="1193" t="s">
        <v>3606</v>
      </c>
      <c r="F150" s="1187" t="s">
        <v>3902</v>
      </c>
      <c r="I150" s="1188"/>
      <c r="J150" s="1194"/>
      <c r="L150" s="1192" t="s">
        <v>4074</v>
      </c>
    </row>
    <row r="151" spans="1:12" s="1187" customFormat="1" ht="12" customHeight="1">
      <c r="A151" s="1184"/>
      <c r="B151" s="1185"/>
      <c r="C151" s="1185"/>
      <c r="D151" s="1185"/>
      <c r="E151" s="1193" t="s">
        <v>3607</v>
      </c>
      <c r="F151" s="1187" t="s">
        <v>3903</v>
      </c>
      <c r="I151" s="1188"/>
      <c r="J151" s="1194"/>
      <c r="L151" s="1192" t="s">
        <v>4074</v>
      </c>
    </row>
    <row r="152" spans="1:12" s="1187" customFormat="1" ht="12" customHeight="1">
      <c r="A152" s="1184"/>
      <c r="B152" s="1185"/>
      <c r="C152" s="1185"/>
      <c r="D152" s="1185"/>
      <c r="E152" s="1193" t="s">
        <v>3609</v>
      </c>
      <c r="F152" s="1187" t="s">
        <v>3904</v>
      </c>
      <c r="I152" s="1188"/>
      <c r="J152" s="1194"/>
      <c r="L152" s="1192" t="s">
        <v>4074</v>
      </c>
    </row>
    <row r="153" spans="1:12" s="1187" customFormat="1" ht="12" customHeight="1">
      <c r="A153" s="1184"/>
      <c r="B153" s="1185"/>
      <c r="C153" s="1185"/>
      <c r="D153" s="1185"/>
      <c r="E153" s="1193" t="s">
        <v>3610</v>
      </c>
      <c r="F153" s="1187" t="s">
        <v>3905</v>
      </c>
      <c r="I153" s="1188"/>
      <c r="J153" s="1194"/>
      <c r="L153" s="1192" t="s">
        <v>4074</v>
      </c>
    </row>
    <row r="154" spans="1:12" s="1187" customFormat="1" ht="12" customHeight="1">
      <c r="A154" s="1184"/>
      <c r="B154" s="1185"/>
      <c r="C154" s="1185"/>
      <c r="D154" s="1185"/>
      <c r="E154" s="1193" t="s">
        <v>3611</v>
      </c>
      <c r="F154" s="1187" t="s">
        <v>34</v>
      </c>
      <c r="I154" s="1188"/>
      <c r="J154" s="1194"/>
      <c r="L154" s="1192" t="s">
        <v>4074</v>
      </c>
    </row>
    <row r="155" spans="1:12" s="1187" customFormat="1" ht="12" customHeight="1">
      <c r="A155" s="1184"/>
      <c r="B155" s="1185"/>
      <c r="C155" s="1185"/>
      <c r="D155" s="1185"/>
      <c r="E155" s="1193" t="s">
        <v>3612</v>
      </c>
      <c r="F155" s="1187" t="s">
        <v>3906</v>
      </c>
      <c r="I155" s="1188"/>
      <c r="J155" s="1194"/>
      <c r="L155" s="1192" t="s">
        <v>4074</v>
      </c>
    </row>
    <row r="156" spans="1:12" s="1187" customFormat="1" ht="12" customHeight="1">
      <c r="A156" s="1223">
        <v>35</v>
      </c>
      <c r="B156" s="1224" t="s">
        <v>3967</v>
      </c>
      <c r="C156" s="1209"/>
      <c r="D156" s="1209" t="s">
        <v>3836</v>
      </c>
      <c r="E156" s="1191" t="s">
        <v>3608</v>
      </c>
      <c r="F156" s="1214" t="s">
        <v>4016</v>
      </c>
      <c r="G156" s="1214"/>
      <c r="H156" s="1214"/>
      <c r="I156" s="1211"/>
      <c r="J156" s="1214"/>
      <c r="K156" s="1213"/>
      <c r="L156" s="1192" t="s">
        <v>4074</v>
      </c>
    </row>
    <row r="157" spans="1:12" s="1187" customFormat="1" ht="12" customHeight="1">
      <c r="A157" s="1184"/>
      <c r="B157" s="1225"/>
      <c r="C157" s="1185"/>
      <c r="D157" s="1185"/>
      <c r="E157" s="1206"/>
      <c r="F157" s="1187" t="s">
        <v>4017</v>
      </c>
      <c r="I157" s="1188"/>
      <c r="J157" s="1194"/>
      <c r="L157" s="1192" t="s">
        <v>4074</v>
      </c>
    </row>
    <row r="158" spans="1:12" s="1187" customFormat="1" ht="12" customHeight="1">
      <c r="A158" s="1184"/>
      <c r="B158" s="1225"/>
      <c r="C158" s="1185"/>
      <c r="D158" s="1185"/>
      <c r="E158" s="1206"/>
      <c r="F158" s="1187" t="s">
        <v>4018</v>
      </c>
      <c r="I158" s="1188"/>
      <c r="J158" s="1194"/>
      <c r="L158" s="1192" t="s">
        <v>4074</v>
      </c>
    </row>
    <row r="159" spans="1:12" s="1187" customFormat="1" ht="12" customHeight="1">
      <c r="A159" s="1184"/>
      <c r="B159" s="1185"/>
      <c r="C159" s="1185"/>
      <c r="D159" s="1185"/>
      <c r="E159" s="1206"/>
      <c r="F159" s="1187" t="s">
        <v>4019</v>
      </c>
      <c r="I159" s="1188"/>
      <c r="J159" s="1194"/>
      <c r="L159" s="1192" t="s">
        <v>4074</v>
      </c>
    </row>
    <row r="160" spans="1:12" s="1187" customFormat="1" ht="12" customHeight="1">
      <c r="A160" s="1184"/>
      <c r="B160" s="1185"/>
      <c r="C160" s="1185"/>
      <c r="D160" s="1185"/>
      <c r="E160" s="1206"/>
      <c r="F160" s="1187" t="s">
        <v>4020</v>
      </c>
      <c r="I160" s="1188"/>
      <c r="J160" s="1194"/>
      <c r="L160" s="1192" t="s">
        <v>4074</v>
      </c>
    </row>
    <row r="161" spans="1:12" s="1187" customFormat="1" ht="12" customHeight="1">
      <c r="A161" s="1184"/>
      <c r="B161" s="1185"/>
      <c r="C161" s="1185"/>
      <c r="D161" s="1185"/>
      <c r="E161" s="1206"/>
      <c r="F161" s="1187" t="s">
        <v>4021</v>
      </c>
      <c r="I161" s="1188"/>
      <c r="J161" s="1194"/>
      <c r="L161" s="1192" t="s">
        <v>4074</v>
      </c>
    </row>
    <row r="162" spans="1:12" s="1187" customFormat="1" ht="12" customHeight="1">
      <c r="A162" s="1184"/>
      <c r="C162" s="1201"/>
      <c r="D162" s="1185" t="s">
        <v>3805</v>
      </c>
      <c r="E162" s="1193" t="s">
        <v>3606</v>
      </c>
      <c r="F162" s="1187" t="s">
        <v>4022</v>
      </c>
      <c r="I162" s="1188"/>
      <c r="J162" s="1194"/>
      <c r="L162" s="1192" t="s">
        <v>4074</v>
      </c>
    </row>
    <row r="163" spans="1:12" s="1187" customFormat="1" ht="12" customHeight="1">
      <c r="A163" s="1184"/>
      <c r="B163" s="1185"/>
      <c r="C163" s="1185"/>
      <c r="D163" s="1185"/>
      <c r="E163" s="1206"/>
      <c r="F163" s="1187" t="s">
        <v>4023</v>
      </c>
      <c r="I163" s="1188"/>
      <c r="J163" s="1194"/>
      <c r="L163" s="1192" t="s">
        <v>4074</v>
      </c>
    </row>
    <row r="164" spans="1:12" s="1187" customFormat="1" ht="12" customHeight="1">
      <c r="A164" s="1223">
        <v>36</v>
      </c>
      <c r="B164" s="1224" t="s">
        <v>4048</v>
      </c>
      <c r="C164" s="1224"/>
      <c r="D164" s="1209" t="s">
        <v>3805</v>
      </c>
      <c r="E164" s="1191" t="s">
        <v>3608</v>
      </c>
      <c r="F164" s="1235" t="s">
        <v>3907</v>
      </c>
      <c r="G164" s="1235"/>
      <c r="H164" s="1235"/>
      <c r="I164" s="1211"/>
      <c r="J164" s="1212"/>
      <c r="K164" s="1213"/>
      <c r="L164" s="1192" t="s">
        <v>4073</v>
      </c>
    </row>
    <row r="165" spans="1:12" s="1187" customFormat="1" ht="12" customHeight="1">
      <c r="A165" s="1184"/>
      <c r="B165" s="1228"/>
      <c r="C165" s="1228"/>
      <c r="D165" s="1185"/>
      <c r="E165" s="1193" t="s">
        <v>3606</v>
      </c>
      <c r="F165" s="1251" t="s">
        <v>3908</v>
      </c>
      <c r="G165" s="1251"/>
      <c r="H165" s="1251"/>
      <c r="I165" s="1188"/>
      <c r="J165" s="1194"/>
      <c r="L165" s="1192" t="s">
        <v>4073</v>
      </c>
    </row>
    <row r="166" spans="1:12" s="1187" customFormat="1" ht="12" customHeight="1">
      <c r="A166" s="1223">
        <v>37</v>
      </c>
      <c r="B166" s="1224" t="s">
        <v>4049</v>
      </c>
      <c r="C166" s="1224"/>
      <c r="D166" s="1209" t="s">
        <v>3836</v>
      </c>
      <c r="E166" s="1191" t="s">
        <v>3608</v>
      </c>
      <c r="F166" s="1214" t="s">
        <v>597</v>
      </c>
      <c r="G166" s="1214"/>
      <c r="H166" s="1214"/>
      <c r="I166" s="1211"/>
      <c r="J166" s="1212"/>
      <c r="K166" s="1213"/>
      <c r="L166" s="1192" t="s">
        <v>4074</v>
      </c>
    </row>
    <row r="167" spans="1:12" s="1187" customFormat="1" ht="12" customHeight="1">
      <c r="A167" s="1184"/>
      <c r="B167" s="1225"/>
      <c r="C167" s="1225"/>
      <c r="D167" s="1185"/>
      <c r="E167" s="1193" t="s">
        <v>3606</v>
      </c>
      <c r="F167" s="1187" t="s">
        <v>548</v>
      </c>
      <c r="I167" s="1188"/>
      <c r="J167" s="1194"/>
      <c r="L167" s="1192" t="s">
        <v>4074</v>
      </c>
    </row>
    <row r="168" spans="1:12" s="1187" customFormat="1" ht="12" customHeight="1">
      <c r="A168" s="1184"/>
      <c r="B168" s="1185"/>
      <c r="C168" s="1185"/>
      <c r="D168" s="1185"/>
      <c r="E168" s="1193" t="s">
        <v>3607</v>
      </c>
      <c r="F168" s="1187" t="s">
        <v>3909</v>
      </c>
      <c r="I168" s="1188"/>
      <c r="J168" s="1194"/>
      <c r="L168" s="1192" t="s">
        <v>4074</v>
      </c>
    </row>
    <row r="169" spans="1:12" s="1187" customFormat="1" ht="12" customHeight="1">
      <c r="A169" s="1184"/>
      <c r="C169" s="1201"/>
      <c r="D169" s="1185" t="s">
        <v>4052</v>
      </c>
      <c r="E169" s="1193" t="s">
        <v>3609</v>
      </c>
      <c r="F169" s="1187" t="s">
        <v>3910</v>
      </c>
      <c r="I169" s="1188"/>
      <c r="J169" s="1194"/>
      <c r="L169" s="1192" t="s">
        <v>4074</v>
      </c>
    </row>
    <row r="170" spans="1:12" s="1187" customFormat="1" ht="12" customHeight="1">
      <c r="A170" s="1223">
        <v>38</v>
      </c>
      <c r="B170" s="1209" t="s">
        <v>4050</v>
      </c>
      <c r="C170" s="1209"/>
      <c r="D170" s="1209" t="s">
        <v>4051</v>
      </c>
      <c r="E170" s="1191" t="s">
        <v>3608</v>
      </c>
      <c r="F170" s="1214" t="s">
        <v>4024</v>
      </c>
      <c r="G170" s="1214"/>
      <c r="H170" s="1214"/>
      <c r="I170" s="1211"/>
      <c r="J170" s="1212"/>
      <c r="K170" s="1213"/>
      <c r="L170" s="1192" t="s">
        <v>4074</v>
      </c>
    </row>
    <row r="171" spans="1:12" s="1187" customFormat="1" ht="12" customHeight="1">
      <c r="A171" s="1184"/>
      <c r="B171" s="1185"/>
      <c r="C171" s="1185"/>
      <c r="D171" s="1185"/>
      <c r="E171" s="1252"/>
      <c r="F171" s="1187" t="s">
        <v>4025</v>
      </c>
      <c r="I171" s="1188"/>
      <c r="J171" s="1194"/>
      <c r="L171" s="1192" t="s">
        <v>4074</v>
      </c>
    </row>
    <row r="172" spans="1:12" s="1187" customFormat="1" ht="12" customHeight="1">
      <c r="A172" s="1184"/>
      <c r="C172" s="1201"/>
      <c r="D172" s="1185" t="s">
        <v>3911</v>
      </c>
      <c r="E172" s="1193" t="s">
        <v>3606</v>
      </c>
      <c r="F172" s="1187" t="s">
        <v>4026</v>
      </c>
      <c r="I172" s="1188"/>
      <c r="J172" s="1194"/>
      <c r="L172" s="1192" t="s">
        <v>4074</v>
      </c>
    </row>
    <row r="173" spans="1:12" s="1187" customFormat="1" ht="12" customHeight="1">
      <c r="A173" s="1184"/>
      <c r="C173" s="1201"/>
      <c r="D173" s="1185" t="s">
        <v>3912</v>
      </c>
      <c r="E173" s="1193"/>
      <c r="F173" s="1187" t="s">
        <v>4027</v>
      </c>
      <c r="I173" s="1188"/>
      <c r="J173" s="1194"/>
      <c r="L173" s="1192" t="s">
        <v>4074</v>
      </c>
    </row>
    <row r="174" spans="1:12" s="1187" customFormat="1" ht="12" customHeight="1">
      <c r="A174" s="1184"/>
      <c r="C174" s="1201"/>
      <c r="D174" s="1185" t="s">
        <v>3913</v>
      </c>
      <c r="E174" s="1193"/>
      <c r="F174" s="1187" t="s">
        <v>4028</v>
      </c>
      <c r="I174" s="1188"/>
      <c r="J174" s="1194"/>
      <c r="L174" s="1192" t="s">
        <v>4074</v>
      </c>
    </row>
    <row r="175" spans="1:12" s="1187" customFormat="1" ht="12" customHeight="1">
      <c r="A175" s="1184"/>
      <c r="B175" s="1185"/>
      <c r="C175" s="1185"/>
      <c r="D175" s="1185"/>
      <c r="E175" s="1196"/>
      <c r="F175" s="1187" t="s">
        <v>4029</v>
      </c>
      <c r="I175" s="1188"/>
      <c r="L175" s="1192" t="s">
        <v>4074</v>
      </c>
    </row>
    <row r="176" spans="1:12" s="1187" customFormat="1" ht="12" customHeight="1">
      <c r="A176" s="1253">
        <v>39</v>
      </c>
      <c r="B176" s="1254" t="s">
        <v>4059</v>
      </c>
      <c r="C176" s="1254"/>
      <c r="D176" s="1254"/>
      <c r="E176" s="1255"/>
      <c r="F176" s="1255"/>
      <c r="G176" s="1255"/>
      <c r="H176" s="1255"/>
      <c r="I176" s="1255"/>
      <c r="J176" s="1255"/>
      <c r="K176" s="1255"/>
    </row>
    <row r="177" spans="1:12" s="1187" customFormat="1" ht="23.25" customHeight="1">
      <c r="A177" s="1199"/>
      <c r="B177" s="1256" t="s">
        <v>4057</v>
      </c>
      <c r="C177" s="1256"/>
      <c r="D177" s="1257" t="s">
        <v>4058</v>
      </c>
      <c r="E177" s="1258" t="s">
        <v>3775</v>
      </c>
      <c r="F177" s="1259" t="s">
        <v>4060</v>
      </c>
      <c r="G177" s="1260"/>
      <c r="H177" s="1260"/>
      <c r="I177" s="1260"/>
      <c r="J177" s="1260"/>
      <c r="K177" s="1260"/>
    </row>
    <row r="178" spans="1:12" s="1187" customFormat="1" ht="12" customHeight="1">
      <c r="A178" s="1199"/>
      <c r="B178" s="1261"/>
      <c r="C178" s="1262"/>
      <c r="D178" s="1263"/>
      <c r="E178" s="1264" t="s">
        <v>3608</v>
      </c>
      <c r="F178" s="1265"/>
      <c r="G178" s="1265"/>
      <c r="H178" s="1265"/>
      <c r="I178" s="1265"/>
      <c r="J178" s="1265"/>
      <c r="K178" s="1265"/>
      <c r="L178" s="1192"/>
    </row>
    <row r="179" spans="1:12" s="1187" customFormat="1" ht="12" customHeight="1">
      <c r="A179" s="1184"/>
      <c r="B179" s="1266"/>
      <c r="C179" s="1267"/>
      <c r="D179" s="1268"/>
      <c r="E179" s="1269" t="s">
        <v>3606</v>
      </c>
      <c r="F179" s="1270"/>
      <c r="G179" s="1270"/>
      <c r="H179" s="1270"/>
      <c r="I179" s="1270"/>
      <c r="J179" s="1270"/>
      <c r="K179" s="1270"/>
      <c r="L179" s="1192"/>
    </row>
    <row r="180" spans="1:12" s="1187" customFormat="1" ht="12" customHeight="1">
      <c r="A180" s="1184"/>
      <c r="B180" s="1266"/>
      <c r="C180" s="1267"/>
      <c r="D180" s="1268"/>
      <c r="E180" s="1269" t="s">
        <v>3607</v>
      </c>
      <c r="F180" s="1270"/>
      <c r="G180" s="1270"/>
      <c r="H180" s="1270"/>
      <c r="I180" s="1270"/>
      <c r="J180" s="1270"/>
      <c r="K180" s="1270"/>
      <c r="L180" s="1192"/>
    </row>
    <row r="181" spans="1:12" s="1187" customFormat="1" ht="12" customHeight="1">
      <c r="A181" s="1184"/>
      <c r="B181" s="1266"/>
      <c r="C181" s="1267"/>
      <c r="D181" s="1268"/>
      <c r="E181" s="1269" t="s">
        <v>3609</v>
      </c>
      <c r="F181" s="1270"/>
      <c r="G181" s="1270"/>
      <c r="H181" s="1270"/>
      <c r="I181" s="1270"/>
      <c r="J181" s="1270"/>
      <c r="K181" s="1270"/>
      <c r="L181" s="1192"/>
    </row>
    <row r="182" spans="1:12" s="1187" customFormat="1" ht="12" customHeight="1">
      <c r="A182" s="1184"/>
      <c r="B182" s="1266"/>
      <c r="C182" s="1267"/>
      <c r="D182" s="1268"/>
      <c r="E182" s="1269" t="s">
        <v>3610</v>
      </c>
      <c r="F182" s="1270"/>
      <c r="G182" s="1270"/>
      <c r="H182" s="1270"/>
      <c r="I182" s="1270"/>
      <c r="J182" s="1270"/>
      <c r="K182" s="1270"/>
      <c r="L182" s="1192"/>
    </row>
    <row r="183" spans="1:12" s="1187" customFormat="1" ht="12" customHeight="1">
      <c r="A183" s="1184"/>
      <c r="B183" s="1266"/>
      <c r="C183" s="1267"/>
      <c r="D183" s="1268"/>
      <c r="E183" s="1269" t="s">
        <v>3611</v>
      </c>
      <c r="F183" s="1270"/>
      <c r="G183" s="1270"/>
      <c r="H183" s="1270"/>
      <c r="I183" s="1270"/>
      <c r="J183" s="1270"/>
      <c r="K183" s="1270"/>
      <c r="L183" s="1192"/>
    </row>
    <row r="184" spans="1:12" s="1187" customFormat="1" ht="12" customHeight="1">
      <c r="A184" s="1184"/>
      <c r="B184" s="1266"/>
      <c r="C184" s="1267"/>
      <c r="D184" s="1268"/>
      <c r="E184" s="1269" t="s">
        <v>3612</v>
      </c>
      <c r="F184" s="1270"/>
      <c r="G184" s="1270"/>
      <c r="H184" s="1270"/>
      <c r="I184" s="1270"/>
      <c r="J184" s="1270"/>
      <c r="K184" s="1270"/>
      <c r="L184" s="1192"/>
    </row>
    <row r="185" spans="1:12" s="1187" customFormat="1" ht="12" customHeight="1">
      <c r="A185" s="1184"/>
      <c r="B185" s="1266"/>
      <c r="C185" s="1267"/>
      <c r="D185" s="1268"/>
      <c r="E185" s="1269" t="s">
        <v>3945</v>
      </c>
      <c r="F185" s="1270"/>
      <c r="G185" s="1270"/>
      <c r="H185" s="1270"/>
      <c r="I185" s="1270"/>
      <c r="J185" s="1270"/>
      <c r="K185" s="1270"/>
      <c r="L185" s="1192"/>
    </row>
    <row r="186" spans="1:12" s="1187" customFormat="1" ht="12" customHeight="1">
      <c r="A186" s="1184"/>
      <c r="B186" s="1266"/>
      <c r="C186" s="1267"/>
      <c r="D186" s="1268"/>
      <c r="E186" s="1269" t="s">
        <v>3946</v>
      </c>
      <c r="F186" s="1270"/>
      <c r="G186" s="1270"/>
      <c r="H186" s="1270"/>
      <c r="I186" s="1270"/>
      <c r="J186" s="1270"/>
      <c r="K186" s="1270"/>
      <c r="L186" s="1192"/>
    </row>
    <row r="187" spans="1:12" s="1187" customFormat="1" ht="12" customHeight="1">
      <c r="A187" s="1184"/>
      <c r="B187" s="1271"/>
      <c r="C187" s="1272"/>
      <c r="D187" s="1273"/>
      <c r="E187" s="1274" t="s">
        <v>4053</v>
      </c>
      <c r="F187" s="1275"/>
      <c r="G187" s="1275"/>
      <c r="H187" s="1275"/>
      <c r="I187" s="1275"/>
      <c r="J187" s="1275"/>
      <c r="K187" s="1275"/>
      <c r="L187" s="1192"/>
    </row>
    <row r="188" spans="1:12" s="1187" customFormat="1">
      <c r="A188" s="1184"/>
      <c r="B188" s="1185"/>
      <c r="C188" s="1185"/>
      <c r="D188" s="1185"/>
      <c r="E188" s="1207"/>
      <c r="I188" s="1188"/>
    </row>
    <row r="189" spans="1:12" s="1187" customFormat="1">
      <c r="A189" s="1184"/>
      <c r="B189" s="1185"/>
      <c r="C189" s="1185"/>
      <c r="D189" s="1185"/>
      <c r="E189" s="1207"/>
      <c r="I189" s="1188"/>
    </row>
    <row r="190" spans="1:12" s="1187" customFormat="1">
      <c r="A190" s="1184"/>
      <c r="B190" s="1185"/>
      <c r="C190" s="1185"/>
      <c r="D190" s="1185"/>
      <c r="E190" s="1207"/>
      <c r="I190" s="1188"/>
    </row>
    <row r="191" spans="1:12" s="1187" customFormat="1">
      <c r="A191" s="1184"/>
      <c r="B191" s="1185"/>
      <c r="C191" s="1185"/>
      <c r="D191" s="1185"/>
      <c r="E191" s="1207"/>
      <c r="I191" s="1188"/>
    </row>
    <row r="192" spans="1:12" s="1187" customFormat="1">
      <c r="A192" s="1184"/>
      <c r="B192" s="1185"/>
      <c r="C192" s="1185"/>
      <c r="D192" s="1185"/>
      <c r="E192" s="1207"/>
      <c r="I192" s="1188"/>
    </row>
    <row r="193" spans="1:9" s="1187" customFormat="1">
      <c r="A193" s="1184"/>
      <c r="B193" s="1185"/>
      <c r="C193" s="1185"/>
      <c r="D193" s="1185"/>
      <c r="E193" s="1207"/>
      <c r="I193" s="1188"/>
    </row>
    <row r="194" spans="1:9" s="1187" customFormat="1">
      <c r="A194" s="1184"/>
      <c r="B194" s="1185"/>
      <c r="C194" s="1185"/>
      <c r="D194" s="1185"/>
      <c r="E194" s="1207"/>
      <c r="I194" s="1188"/>
    </row>
    <row r="195" spans="1:9" s="1187" customFormat="1">
      <c r="A195" s="1184"/>
      <c r="B195" s="1185"/>
      <c r="C195" s="1185"/>
      <c r="D195" s="1185"/>
      <c r="E195" s="1207"/>
      <c r="I195" s="1188"/>
    </row>
    <row r="196" spans="1:9" s="1187" customFormat="1">
      <c r="A196" s="1184"/>
      <c r="B196" s="1185"/>
      <c r="C196" s="1185"/>
      <c r="D196" s="1185"/>
      <c r="E196" s="1207"/>
      <c r="I196" s="1188"/>
    </row>
    <row r="197" spans="1:9" s="1187" customFormat="1">
      <c r="A197" s="1184"/>
      <c r="B197" s="1185"/>
      <c r="C197" s="1185"/>
      <c r="D197" s="1185"/>
      <c r="E197" s="1207"/>
      <c r="I197" s="1188"/>
    </row>
    <row r="198" spans="1:9" s="1187" customFormat="1">
      <c r="A198" s="1184"/>
      <c r="B198" s="1185"/>
      <c r="C198" s="1185"/>
      <c r="D198" s="1185"/>
      <c r="E198" s="1207"/>
      <c r="I198" s="1188"/>
    </row>
    <row r="199" spans="1:9" s="1187" customFormat="1">
      <c r="A199" s="1184"/>
      <c r="B199" s="1185"/>
      <c r="C199" s="1185"/>
      <c r="D199" s="1185"/>
      <c r="E199" s="1207"/>
      <c r="I199" s="1188"/>
    </row>
    <row r="200" spans="1:9" s="1187" customFormat="1">
      <c r="A200" s="1184"/>
      <c r="B200" s="1185"/>
      <c r="C200" s="1185"/>
      <c r="D200" s="1185"/>
      <c r="E200" s="1207"/>
      <c r="I200" s="1188"/>
    </row>
    <row r="201" spans="1:9" s="1187" customFormat="1">
      <c r="A201" s="1184"/>
      <c r="B201" s="1185"/>
      <c r="C201" s="1185"/>
      <c r="D201" s="1185"/>
      <c r="E201" s="1207"/>
      <c r="I201" s="1188"/>
    </row>
    <row r="202" spans="1:9" s="1187" customFormat="1">
      <c r="A202" s="1184"/>
      <c r="B202" s="1185"/>
      <c r="C202" s="1185"/>
      <c r="D202" s="1185"/>
      <c r="E202" s="1207"/>
      <c r="I202" s="1188"/>
    </row>
    <row r="203" spans="1:9" s="1187" customFormat="1">
      <c r="A203" s="1184"/>
      <c r="B203" s="1185"/>
      <c r="C203" s="1185"/>
      <c r="D203" s="1185"/>
      <c r="E203" s="1207"/>
      <c r="I203" s="1188"/>
    </row>
    <row r="204" spans="1:9" s="1187" customFormat="1">
      <c r="A204" s="1184"/>
      <c r="B204" s="1185"/>
      <c r="C204" s="1185"/>
      <c r="D204" s="1185"/>
      <c r="E204" s="1207"/>
      <c r="I204" s="1188"/>
    </row>
    <row r="205" spans="1:9" s="1187" customFormat="1">
      <c r="A205" s="1184"/>
      <c r="B205" s="1185"/>
      <c r="C205" s="1185"/>
      <c r="D205" s="1185"/>
      <c r="E205" s="1207"/>
      <c r="I205" s="1188"/>
    </row>
    <row r="206" spans="1:9" s="1187" customFormat="1">
      <c r="A206" s="1184"/>
      <c r="B206" s="1185"/>
      <c r="C206" s="1185"/>
      <c r="D206" s="1185"/>
      <c r="E206" s="1207"/>
      <c r="I206" s="1188"/>
    </row>
    <row r="207" spans="1:9" s="1187" customFormat="1">
      <c r="A207" s="1184"/>
      <c r="B207" s="1185"/>
      <c r="C207" s="1185"/>
      <c r="D207" s="1185"/>
      <c r="E207" s="1207"/>
      <c r="I207" s="1188"/>
    </row>
    <row r="208" spans="1:9" s="1187" customFormat="1">
      <c r="A208" s="1184"/>
      <c r="B208" s="1185"/>
      <c r="C208" s="1185"/>
      <c r="D208" s="1185"/>
      <c r="E208" s="1207"/>
      <c r="I208" s="1188"/>
    </row>
    <row r="209" spans="1:9" s="1187" customFormat="1">
      <c r="A209" s="1184"/>
      <c r="B209" s="1185"/>
      <c r="C209" s="1185"/>
      <c r="D209" s="1185"/>
      <c r="E209" s="1207"/>
      <c r="I209" s="1188"/>
    </row>
    <row r="210" spans="1:9" s="1187" customFormat="1">
      <c r="A210" s="1184"/>
      <c r="B210" s="1185"/>
      <c r="C210" s="1185"/>
      <c r="D210" s="1185"/>
      <c r="E210" s="1207"/>
      <c r="I210" s="1188"/>
    </row>
    <row r="211" spans="1:9" s="1187" customFormat="1">
      <c r="A211" s="1184"/>
      <c r="B211" s="1185"/>
      <c r="C211" s="1185"/>
      <c r="D211" s="1185"/>
      <c r="E211" s="1207"/>
      <c r="I211" s="1188"/>
    </row>
    <row r="212" spans="1:9" s="1187" customFormat="1">
      <c r="A212" s="1184"/>
      <c r="B212" s="1185"/>
      <c r="C212" s="1185"/>
      <c r="D212" s="1185"/>
      <c r="E212" s="1207"/>
      <c r="I212" s="1188"/>
    </row>
    <row r="213" spans="1:9" s="1187" customFormat="1">
      <c r="A213" s="1184"/>
      <c r="B213" s="1185"/>
      <c r="C213" s="1185"/>
      <c r="D213" s="1185"/>
      <c r="E213" s="1207"/>
      <c r="I213" s="1188"/>
    </row>
    <row r="214" spans="1:9" s="1187" customFormat="1">
      <c r="A214" s="1184"/>
      <c r="B214" s="1185"/>
      <c r="C214" s="1185"/>
      <c r="D214" s="1185"/>
      <c r="E214" s="1207"/>
      <c r="I214" s="1188"/>
    </row>
    <row r="215" spans="1:9" s="1187" customFormat="1">
      <c r="A215" s="1184"/>
      <c r="B215" s="1185"/>
      <c r="C215" s="1185"/>
      <c r="D215" s="1185"/>
      <c r="E215" s="1207"/>
      <c r="I215" s="1188"/>
    </row>
    <row r="216" spans="1:9" s="1187" customFormat="1">
      <c r="A216" s="1184"/>
      <c r="B216" s="1185"/>
      <c r="C216" s="1185"/>
      <c r="D216" s="1185"/>
      <c r="E216" s="1207"/>
      <c r="I216" s="1188"/>
    </row>
    <row r="217" spans="1:9" s="1187" customFormat="1">
      <c r="A217" s="1184"/>
      <c r="B217" s="1185"/>
      <c r="C217" s="1185"/>
      <c r="D217" s="1185"/>
      <c r="E217" s="1207"/>
      <c r="I217" s="1188"/>
    </row>
    <row r="218" spans="1:9" s="1187" customFormat="1">
      <c r="A218" s="1184"/>
      <c r="B218" s="1185"/>
      <c r="C218" s="1185"/>
      <c r="D218" s="1185"/>
      <c r="E218" s="1207"/>
      <c r="I218" s="1188"/>
    </row>
    <row r="219" spans="1:9" s="1187" customFormat="1">
      <c r="A219" s="1184"/>
      <c r="B219" s="1185"/>
      <c r="C219" s="1185"/>
      <c r="D219" s="1185"/>
      <c r="E219" s="1207"/>
      <c r="I219" s="1188"/>
    </row>
    <row r="220" spans="1:9" s="1187" customFormat="1">
      <c r="A220" s="1184"/>
      <c r="B220" s="1185"/>
      <c r="C220" s="1185"/>
      <c r="D220" s="1185"/>
      <c r="E220" s="1207"/>
      <c r="I220" s="1188"/>
    </row>
    <row r="221" spans="1:9" s="1187" customFormat="1">
      <c r="A221" s="1184"/>
      <c r="B221" s="1185"/>
      <c r="C221" s="1185"/>
      <c r="D221" s="1185"/>
      <c r="E221" s="1207"/>
      <c r="I221" s="1188"/>
    </row>
    <row r="222" spans="1:9" s="1187" customFormat="1">
      <c r="A222" s="1184"/>
      <c r="B222" s="1185"/>
      <c r="C222" s="1185"/>
      <c r="D222" s="1185"/>
      <c r="E222" s="1207"/>
      <c r="I222" s="1188"/>
    </row>
    <row r="223" spans="1:9" s="1187" customFormat="1">
      <c r="A223" s="1184"/>
      <c r="B223" s="1185"/>
      <c r="C223" s="1185"/>
      <c r="D223" s="1185"/>
      <c r="E223" s="1207"/>
      <c r="I223" s="1188"/>
    </row>
    <row r="224" spans="1:9" s="1187" customFormat="1">
      <c r="A224" s="1184"/>
      <c r="B224" s="1185"/>
      <c r="C224" s="1185"/>
      <c r="D224" s="1185"/>
      <c r="E224" s="1207"/>
      <c r="I224" s="1188"/>
    </row>
    <row r="225" spans="1:9" s="1187" customFormat="1">
      <c r="A225" s="1184"/>
      <c r="B225" s="1185"/>
      <c r="C225" s="1185"/>
      <c r="D225" s="1185"/>
      <c r="E225" s="1207"/>
      <c r="I225" s="1188"/>
    </row>
    <row r="226" spans="1:9" s="1187" customFormat="1">
      <c r="A226" s="1184"/>
      <c r="B226" s="1185"/>
      <c r="C226" s="1185"/>
      <c r="D226" s="1185"/>
      <c r="E226" s="1207"/>
      <c r="I226" s="1188"/>
    </row>
    <row r="227" spans="1:9" s="1187" customFormat="1">
      <c r="A227" s="1184"/>
      <c r="B227" s="1185"/>
      <c r="C227" s="1185"/>
      <c r="D227" s="1185"/>
      <c r="E227" s="1207"/>
      <c r="I227" s="1188"/>
    </row>
    <row r="228" spans="1:9" s="1187" customFormat="1">
      <c r="A228" s="1184"/>
      <c r="B228" s="1185"/>
      <c r="C228" s="1185"/>
      <c r="D228" s="1185"/>
      <c r="E228" s="1207"/>
      <c r="I228" s="1188"/>
    </row>
    <row r="229" spans="1:9" s="1187" customFormat="1">
      <c r="A229" s="1184"/>
      <c r="B229" s="1185"/>
      <c r="C229" s="1185"/>
      <c r="D229" s="1185"/>
      <c r="E229" s="1207"/>
      <c r="I229" s="1188"/>
    </row>
    <row r="230" spans="1:9" s="1187" customFormat="1">
      <c r="A230" s="1184"/>
      <c r="B230" s="1185"/>
      <c r="C230" s="1185"/>
      <c r="D230" s="1185"/>
      <c r="E230" s="1207"/>
      <c r="I230" s="1188"/>
    </row>
    <row r="231" spans="1:9" s="1187" customFormat="1">
      <c r="A231" s="1184"/>
      <c r="B231" s="1185"/>
      <c r="C231" s="1185"/>
      <c r="D231" s="1185"/>
      <c r="E231" s="1207"/>
      <c r="I231" s="1188"/>
    </row>
    <row r="232" spans="1:9" s="1187" customFormat="1">
      <c r="A232" s="1184"/>
      <c r="B232" s="1185"/>
      <c r="C232" s="1185"/>
      <c r="D232" s="1185"/>
      <c r="E232" s="1207"/>
      <c r="I232" s="1188"/>
    </row>
    <row r="233" spans="1:9" s="1187" customFormat="1">
      <c r="A233" s="1184"/>
      <c r="B233" s="1185"/>
      <c r="C233" s="1185"/>
      <c r="D233" s="1185"/>
      <c r="E233" s="1207"/>
      <c r="I233" s="1188"/>
    </row>
    <row r="234" spans="1:9" s="1187" customFormat="1">
      <c r="A234" s="1184"/>
      <c r="B234" s="1185"/>
      <c r="C234" s="1185"/>
      <c r="D234" s="1185"/>
      <c r="E234" s="1207"/>
      <c r="I234" s="1188"/>
    </row>
    <row r="235" spans="1:9" s="1187" customFormat="1">
      <c r="A235" s="1184"/>
      <c r="B235" s="1185"/>
      <c r="C235" s="1185"/>
      <c r="D235" s="1185"/>
      <c r="E235" s="1207"/>
      <c r="I235" s="1188"/>
    </row>
    <row r="236" spans="1:9" s="1187" customFormat="1">
      <c r="A236" s="1184"/>
      <c r="B236" s="1185"/>
      <c r="C236" s="1185"/>
      <c r="D236" s="1185"/>
      <c r="E236" s="1207"/>
      <c r="I236" s="1188"/>
    </row>
    <row r="237" spans="1:9" s="1187" customFormat="1">
      <c r="A237" s="1184"/>
      <c r="B237" s="1185"/>
      <c r="C237" s="1185"/>
      <c r="D237" s="1185"/>
      <c r="E237" s="1207"/>
      <c r="I237" s="1188"/>
    </row>
    <row r="238" spans="1:9" s="1187" customFormat="1">
      <c r="A238" s="1184"/>
      <c r="B238" s="1185"/>
      <c r="C238" s="1185"/>
      <c r="D238" s="1185"/>
      <c r="E238" s="1207"/>
      <c r="I238" s="1188"/>
    </row>
    <row r="239" spans="1:9" s="1187" customFormat="1">
      <c r="A239" s="1184"/>
      <c r="B239" s="1185"/>
      <c r="C239" s="1185"/>
      <c r="D239" s="1185"/>
      <c r="E239" s="1207"/>
      <c r="I239" s="1188"/>
    </row>
    <row r="240" spans="1:9" s="1187" customFormat="1">
      <c r="A240" s="1184"/>
      <c r="B240" s="1185"/>
      <c r="C240" s="1185"/>
      <c r="D240" s="1185"/>
      <c r="E240" s="1207"/>
      <c r="I240" s="1188"/>
    </row>
    <row r="241" spans="1:9" s="1187" customFormat="1">
      <c r="A241" s="1184"/>
      <c r="B241" s="1185"/>
      <c r="C241" s="1185"/>
      <c r="D241" s="1185"/>
      <c r="E241" s="1207"/>
      <c r="I241" s="1188"/>
    </row>
    <row r="242" spans="1:9" s="1187" customFormat="1">
      <c r="A242" s="1184"/>
      <c r="B242" s="1185"/>
      <c r="C242" s="1185"/>
      <c r="D242" s="1185"/>
      <c r="E242" s="1207"/>
      <c r="I242" s="1188"/>
    </row>
    <row r="243" spans="1:9" s="1187" customFormat="1">
      <c r="A243" s="1184"/>
      <c r="B243" s="1185"/>
      <c r="C243" s="1185"/>
      <c r="D243" s="1185"/>
      <c r="E243" s="1207"/>
      <c r="I243" s="1188"/>
    </row>
    <row r="244" spans="1:9" s="1187" customFormat="1">
      <c r="A244" s="1184"/>
      <c r="B244" s="1185"/>
      <c r="C244" s="1185"/>
      <c r="D244" s="1185"/>
      <c r="E244" s="1207"/>
      <c r="I244" s="1188"/>
    </row>
    <row r="245" spans="1:9" s="1187" customFormat="1">
      <c r="A245" s="1184"/>
      <c r="B245" s="1185"/>
      <c r="C245" s="1185"/>
      <c r="D245" s="1185"/>
      <c r="E245" s="1207"/>
      <c r="I245" s="1188"/>
    </row>
    <row r="246" spans="1:9" s="1187" customFormat="1">
      <c r="A246" s="1184"/>
      <c r="B246" s="1185"/>
      <c r="C246" s="1185"/>
      <c r="D246" s="1185"/>
      <c r="E246" s="1207"/>
      <c r="I246" s="1188"/>
    </row>
    <row r="247" spans="1:9" s="1187" customFormat="1">
      <c r="A247" s="1184"/>
      <c r="B247" s="1185"/>
      <c r="C247" s="1185"/>
      <c r="D247" s="1185"/>
      <c r="E247" s="1207"/>
      <c r="I247" s="1188"/>
    </row>
    <row r="248" spans="1:9">
      <c r="A248" s="1276"/>
      <c r="B248" s="1277"/>
      <c r="C248" s="1277"/>
      <c r="D248" s="1277"/>
      <c r="E248" s="1278"/>
    </row>
    <row r="249" spans="1:9">
      <c r="A249" s="1276"/>
      <c r="B249" s="1277"/>
      <c r="C249" s="1277"/>
      <c r="D249" s="1277"/>
      <c r="E249" s="1278"/>
    </row>
    <row r="250" spans="1:9">
      <c r="A250" s="1276"/>
      <c r="B250" s="1277"/>
      <c r="C250" s="1277"/>
      <c r="D250" s="1277"/>
      <c r="E250" s="1278"/>
    </row>
    <row r="251" spans="1:9">
      <c r="A251" s="1276"/>
      <c r="B251" s="1277"/>
      <c r="C251" s="1277"/>
      <c r="D251" s="1277"/>
      <c r="E251" s="1278"/>
    </row>
    <row r="252" spans="1:9">
      <c r="A252" s="1276"/>
      <c r="B252" s="1277"/>
      <c r="C252" s="1277"/>
      <c r="D252" s="1277"/>
      <c r="E252" s="1278"/>
    </row>
    <row r="253" spans="1:9">
      <c r="A253" s="1276"/>
      <c r="B253" s="1277"/>
      <c r="C253" s="1277"/>
      <c r="D253" s="1277"/>
      <c r="E253" s="1278"/>
    </row>
  </sheetData>
  <sheetProtection password="BD88" sheet="1" objects="1" scenarios="1"/>
  <mergeCells count="55">
    <mergeCell ref="B183:C183"/>
    <mergeCell ref="B184:C184"/>
    <mergeCell ref="B185:C185"/>
    <mergeCell ref="B186:C186"/>
    <mergeCell ref="B187:C187"/>
    <mergeCell ref="B140:B141"/>
    <mergeCell ref="B156:B158"/>
    <mergeCell ref="B164:C165"/>
    <mergeCell ref="B116:C117"/>
    <mergeCell ref="F182:K182"/>
    <mergeCell ref="B178:C178"/>
    <mergeCell ref="B179:C179"/>
    <mergeCell ref="B180:C180"/>
    <mergeCell ref="B181:C181"/>
    <mergeCell ref="B182:C182"/>
    <mergeCell ref="B177:C177"/>
    <mergeCell ref="B166:C167"/>
    <mergeCell ref="B104:C105"/>
    <mergeCell ref="B125:C126"/>
    <mergeCell ref="F76:K76"/>
    <mergeCell ref="F112:K112"/>
    <mergeCell ref="F107:K107"/>
    <mergeCell ref="F80:H80"/>
    <mergeCell ref="A103:L103"/>
    <mergeCell ref="B95:C96"/>
    <mergeCell ref="B84:C85"/>
    <mergeCell ref="F185:K185"/>
    <mergeCell ref="F186:K186"/>
    <mergeCell ref="F187:K187"/>
    <mergeCell ref="F124:H124"/>
    <mergeCell ref="F142:H142"/>
    <mergeCell ref="F178:K178"/>
    <mergeCell ref="F179:K179"/>
    <mergeCell ref="F180:K180"/>
    <mergeCell ref="F181:K181"/>
    <mergeCell ref="F141:K141"/>
    <mergeCell ref="F183:K183"/>
    <mergeCell ref="F184:K184"/>
    <mergeCell ref="A1:L1"/>
    <mergeCell ref="A3:A4"/>
    <mergeCell ref="E3:E4"/>
    <mergeCell ref="L3:L4"/>
    <mergeCell ref="A13:L13"/>
    <mergeCell ref="F15:H18"/>
    <mergeCell ref="F74:H74"/>
    <mergeCell ref="F75:H75"/>
    <mergeCell ref="A2:L2"/>
    <mergeCell ref="F42:K42"/>
    <mergeCell ref="F32:H32"/>
    <mergeCell ref="F43:H43"/>
    <mergeCell ref="F71:H71"/>
    <mergeCell ref="B40:C42"/>
    <mergeCell ref="B60:C62"/>
    <mergeCell ref="B64:C65"/>
    <mergeCell ref="B66:C67"/>
  </mergeCells>
  <dataValidations count="1">
    <dataValidation type="list" allowBlank="1" showInputMessage="1" showErrorMessage="1" sqref="L14:L15 L178:L187 L123:L175 L120:L121 L5:L12 L19:L102 L104:L118">
      <formula1>"Yes, No"</formula1>
    </dataValidation>
  </dataValidations>
  <printOptions horizontalCentered="1"/>
  <pageMargins left="0.2" right="0.2" top="0.5" bottom="0.5" header="0.3" footer="0.3"/>
  <pageSetup fitToHeight="0" orientation="landscape" r:id="rId1"/>
  <headerFooter>
    <oddHeader>&amp;LGeorgia Department of Community Affairs&amp;RHousing  Finance and Development Division</oddHeader>
    <oddFooter>&amp;C&amp;9&amp;P of &amp;N</oddFooter>
  </headerFooter>
  <rowBreaks count="4" manualBreakCount="4">
    <brk id="42" max="16383" man="1"/>
    <brk id="80" max="16383" man="1"/>
    <brk id="115" max="16383" man="1"/>
    <brk id="148"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Normal="100" workbookViewId="0">
      <selection activeCell="A158"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9" customWidth="1"/>
    <col min="17" max="19" width="7.7109375" style="99" customWidth="1"/>
    <col min="20" max="20" width="59.28515625" style="99" customWidth="1"/>
    <col min="21" max="21" width="47.7109375" style="99" customWidth="1"/>
    <col min="22" max="75" width="9.140625" style="624" customWidth="1"/>
    <col min="76" max="81" width="12.5703125" style="624" customWidth="1"/>
    <col min="82" max="180" width="9.140625" style="624" customWidth="1"/>
    <col min="181" max="197" width="9.140625" style="635" customWidth="1"/>
    <col min="198" max="203" width="9.140625" style="624" customWidth="1"/>
    <col min="204" max="204" width="9.140625" style="640" customWidth="1"/>
    <col min="205" max="219" width="9.140625" style="624" customWidth="1"/>
    <col min="220" max="221" width="9.140625" style="640" customWidth="1"/>
    <col min="222" max="223" width="9.140625" style="624"/>
    <col min="224" max="255" width="9.140625" style="181"/>
    <col min="256" max="16384" width="9.140625" style="99"/>
  </cols>
  <sheetData>
    <row r="1" spans="1:255" s="108" customFormat="1" ht="13.9" customHeight="1">
      <c r="A1" s="919" t="str">
        <f>CONCATENATE("PART SIX - PROJECTED REVENUES &amp; EXPENSES","  -  ",'Part I-Project Information'!$O$4," ",'Part I-Project Information'!$F$23,", ",'Part I-Project Information'!F26,", ",'Part I-Project Information'!J27," County")</f>
        <v>PART SIX - PROJECTED REVENUES &amp; EXPENSES  -  2013-011 Mountain View Senior Residences, Stone Mountain, DeKalb County</v>
      </c>
      <c r="B1" s="920"/>
      <c r="C1" s="920"/>
      <c r="D1" s="920"/>
      <c r="E1" s="920"/>
      <c r="F1" s="920"/>
      <c r="G1" s="920"/>
      <c r="H1" s="920"/>
      <c r="I1" s="920"/>
      <c r="J1" s="920"/>
      <c r="K1" s="920"/>
      <c r="L1" s="920"/>
      <c r="M1" s="920"/>
      <c r="N1" s="920"/>
      <c r="O1" s="920"/>
      <c r="P1" s="921"/>
      <c r="T1" s="1036" t="str">
        <f>A1</f>
        <v>PART SIX - PROJECTED REVENUES &amp; EXPENSES  -  2013-011 Mountain View Senior Residences, Stone Mountain, DeKalb County</v>
      </c>
      <c r="U1" s="1036"/>
      <c r="V1" s="628"/>
      <c r="W1" s="628"/>
      <c r="X1" s="628"/>
      <c r="Y1" s="628"/>
      <c r="Z1" s="628"/>
      <c r="AA1" s="628"/>
      <c r="AB1" s="628"/>
      <c r="AC1" s="628"/>
      <c r="AD1" s="628"/>
      <c r="AE1" s="628"/>
      <c r="AF1" s="628"/>
      <c r="AG1" s="628"/>
      <c r="AH1" s="628"/>
      <c r="AI1" s="628"/>
      <c r="AJ1" s="628"/>
      <c r="AK1" s="628"/>
      <c r="AL1" s="628"/>
      <c r="AM1" s="628"/>
      <c r="AN1" s="628"/>
      <c r="AO1" s="628"/>
      <c r="AP1" s="628"/>
      <c r="AQ1" s="628"/>
      <c r="AR1" s="628"/>
      <c r="AS1" s="628"/>
      <c r="AT1" s="628"/>
      <c r="AU1" s="628"/>
      <c r="AV1" s="628"/>
      <c r="AW1" s="628"/>
      <c r="AX1" s="628"/>
      <c r="AY1" s="628"/>
      <c r="AZ1" s="628"/>
      <c r="BA1" s="628"/>
      <c r="BB1" s="628"/>
      <c r="BC1" s="628"/>
      <c r="BD1" s="628"/>
      <c r="BE1" s="628"/>
      <c r="BF1" s="628"/>
      <c r="BG1" s="628"/>
      <c r="BH1" s="628"/>
      <c r="BI1" s="628"/>
      <c r="BJ1" s="628"/>
      <c r="BK1" s="628"/>
      <c r="BL1" s="628"/>
      <c r="BM1" s="628"/>
      <c r="BN1" s="628"/>
      <c r="BO1" s="628"/>
      <c r="BP1" s="628"/>
      <c r="BQ1" s="628"/>
      <c r="BR1" s="628"/>
      <c r="BS1" s="628"/>
      <c r="BT1" s="628"/>
      <c r="BU1" s="628"/>
      <c r="BV1" s="628"/>
      <c r="BW1" s="628"/>
      <c r="BX1" s="628"/>
      <c r="BY1" s="628"/>
      <c r="BZ1" s="628"/>
      <c r="CA1" s="628"/>
      <c r="CB1" s="628"/>
      <c r="CC1" s="628"/>
      <c r="CD1" s="628"/>
      <c r="CE1" s="628"/>
      <c r="CF1" s="628"/>
      <c r="CG1" s="628"/>
      <c r="CH1" s="628"/>
      <c r="CI1" s="628"/>
      <c r="CJ1" s="628"/>
      <c r="CK1" s="628"/>
      <c r="CL1" s="628"/>
      <c r="CM1" s="628"/>
      <c r="CN1" s="628"/>
      <c r="CO1" s="628"/>
      <c r="CP1" s="628"/>
      <c r="CQ1" s="628"/>
      <c r="CR1" s="628"/>
      <c r="CS1" s="628"/>
      <c r="CT1" s="628"/>
      <c r="CU1" s="628"/>
      <c r="CV1" s="628"/>
      <c r="CW1" s="628"/>
      <c r="CX1" s="628"/>
      <c r="CY1" s="628"/>
      <c r="CZ1" s="628"/>
      <c r="DA1" s="628"/>
      <c r="DB1" s="628"/>
      <c r="DC1" s="628"/>
      <c r="DD1" s="628"/>
      <c r="DE1" s="628"/>
      <c r="DF1" s="628"/>
      <c r="DG1" s="628"/>
      <c r="DH1" s="628"/>
      <c r="DI1" s="628"/>
      <c r="DJ1" s="628"/>
      <c r="DK1" s="628"/>
      <c r="DL1" s="628"/>
      <c r="DM1" s="628"/>
      <c r="DN1" s="628"/>
      <c r="DO1" s="628"/>
      <c r="DP1" s="628"/>
      <c r="DQ1" s="628"/>
      <c r="DR1" s="628"/>
      <c r="DS1" s="628"/>
      <c r="DT1" s="628"/>
      <c r="DU1" s="628"/>
      <c r="DV1" s="628"/>
      <c r="DW1" s="628"/>
      <c r="DX1" s="628"/>
      <c r="DY1" s="628"/>
      <c r="DZ1" s="628"/>
      <c r="EA1" s="628"/>
      <c r="EB1" s="628"/>
      <c r="EC1" s="628"/>
      <c r="ED1" s="628"/>
      <c r="EE1" s="628"/>
      <c r="EF1" s="628"/>
      <c r="EG1" s="628"/>
      <c r="EH1" s="628"/>
      <c r="EI1" s="628"/>
      <c r="EJ1" s="628"/>
      <c r="EK1" s="628"/>
      <c r="EL1" s="628"/>
      <c r="EM1" s="628"/>
      <c r="EN1" s="628"/>
      <c r="EO1" s="628"/>
      <c r="EP1" s="628"/>
      <c r="EQ1" s="628"/>
      <c r="ER1" s="628"/>
      <c r="ES1" s="628"/>
      <c r="ET1" s="629"/>
      <c r="EU1" s="629"/>
      <c r="EV1" s="629"/>
      <c r="EW1" s="629"/>
      <c r="EX1" s="629"/>
      <c r="EY1" s="629"/>
      <c r="EZ1" s="629"/>
      <c r="FA1" s="629"/>
      <c r="FB1" s="629"/>
      <c r="FC1" s="629"/>
      <c r="FD1" s="629"/>
      <c r="FE1" s="629"/>
      <c r="FF1" s="629"/>
      <c r="FG1" s="629"/>
      <c r="FH1" s="629"/>
      <c r="FI1" s="629"/>
      <c r="FJ1" s="629"/>
      <c r="FK1" s="629"/>
      <c r="FL1" s="629"/>
      <c r="FM1" s="629"/>
      <c r="FN1" s="629"/>
      <c r="FO1" s="629"/>
      <c r="FP1" s="629"/>
      <c r="FQ1" s="629"/>
      <c r="FR1" s="629"/>
      <c r="FS1" s="629"/>
      <c r="FT1" s="629"/>
      <c r="FU1" s="629"/>
      <c r="FV1" s="629"/>
      <c r="FW1" s="629"/>
      <c r="FX1" s="629"/>
      <c r="FY1" s="629"/>
      <c r="FZ1" s="629"/>
      <c r="GA1" s="629"/>
      <c r="GB1" s="629"/>
      <c r="GC1" s="629"/>
      <c r="GD1" s="629"/>
      <c r="GE1" s="629"/>
      <c r="GF1" s="629"/>
      <c r="GG1" s="629"/>
      <c r="GH1" s="628"/>
      <c r="GI1" s="628"/>
      <c r="GJ1" s="628"/>
      <c r="GK1" s="628"/>
      <c r="GL1" s="630"/>
      <c r="GM1" s="628"/>
      <c r="GN1" s="628"/>
      <c r="GO1" s="628"/>
      <c r="GP1" s="628"/>
      <c r="GQ1" s="628"/>
      <c r="GR1" s="628"/>
      <c r="GS1" s="628"/>
      <c r="GT1" s="628"/>
      <c r="GU1" s="628"/>
      <c r="GV1" s="628"/>
      <c r="GW1" s="628"/>
      <c r="GX1" s="628"/>
      <c r="GY1" s="628"/>
      <c r="GZ1" s="628"/>
      <c r="HA1" s="628"/>
      <c r="HB1" s="628"/>
      <c r="HC1" s="628"/>
      <c r="HD1" s="628"/>
      <c r="HE1" s="628"/>
      <c r="HF1" s="628"/>
      <c r="HG1" s="628"/>
      <c r="HH1" s="628"/>
      <c r="HI1" s="628"/>
      <c r="HJ1" s="628"/>
      <c r="HK1" s="628"/>
      <c r="HL1" s="628"/>
      <c r="HM1" s="628"/>
      <c r="HN1" s="628"/>
      <c r="HO1" s="628"/>
      <c r="HP1" s="115"/>
      <c r="HQ1" s="115"/>
      <c r="HR1" s="115"/>
      <c r="HS1" s="115"/>
      <c r="HT1" s="115"/>
      <c r="HU1" s="115"/>
      <c r="HV1" s="115"/>
      <c r="HW1" s="115"/>
      <c r="HX1" s="115"/>
      <c r="HY1" s="115"/>
      <c r="HZ1" s="115"/>
      <c r="IA1" s="115"/>
      <c r="IB1" s="115"/>
      <c r="IC1" s="115"/>
      <c r="ID1" s="115"/>
      <c r="IE1" s="115"/>
      <c r="IF1" s="115"/>
      <c r="IG1" s="115"/>
      <c r="IH1" s="115"/>
      <c r="II1" s="115"/>
      <c r="IJ1" s="115"/>
      <c r="IK1" s="115"/>
      <c r="IL1" s="115"/>
      <c r="IM1" s="115"/>
      <c r="IN1" s="115"/>
      <c r="IO1" s="115"/>
      <c r="IP1" s="115"/>
      <c r="IQ1" s="115"/>
      <c r="IR1" s="115"/>
      <c r="IS1" s="115"/>
      <c r="IT1" s="115"/>
      <c r="IU1" s="115"/>
    </row>
    <row r="2" spans="1:255" ht="9" customHeight="1">
      <c r="V2" s="631"/>
      <c r="W2" s="631"/>
      <c r="X2" s="631"/>
      <c r="Y2" s="631"/>
      <c r="Z2" s="631"/>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631"/>
      <c r="BW2" s="631"/>
      <c r="BX2" s="631"/>
      <c r="BY2" s="631"/>
      <c r="BZ2" s="631"/>
      <c r="CA2" s="631"/>
      <c r="CB2" s="631"/>
      <c r="CC2" s="631"/>
      <c r="CD2" s="631"/>
      <c r="CE2" s="631"/>
      <c r="CF2" s="631"/>
      <c r="CG2" s="631"/>
      <c r="CH2" s="631"/>
      <c r="CI2" s="631"/>
      <c r="CJ2" s="631"/>
      <c r="CK2" s="631"/>
      <c r="CL2" s="631"/>
      <c r="CM2" s="631"/>
      <c r="CN2" s="631"/>
      <c r="CO2" s="631"/>
      <c r="CP2" s="631"/>
      <c r="CQ2" s="631"/>
      <c r="CR2" s="631"/>
      <c r="CS2" s="631"/>
      <c r="CT2" s="631"/>
      <c r="CU2" s="631"/>
      <c r="CV2" s="631"/>
      <c r="CW2" s="631"/>
      <c r="CX2" s="631"/>
      <c r="CY2" s="631"/>
      <c r="CZ2" s="631"/>
      <c r="DA2" s="631"/>
      <c r="DB2" s="631"/>
      <c r="DC2" s="631"/>
      <c r="DD2" s="631"/>
      <c r="DE2" s="631"/>
      <c r="DF2" s="631"/>
      <c r="DG2" s="631"/>
      <c r="DH2" s="631"/>
      <c r="DI2" s="631"/>
      <c r="DJ2" s="631"/>
      <c r="DK2" s="631"/>
      <c r="DL2" s="631"/>
      <c r="DM2" s="631"/>
      <c r="DN2" s="631"/>
      <c r="DO2" s="631"/>
      <c r="DP2" s="631"/>
      <c r="DQ2" s="631"/>
      <c r="DR2" s="631"/>
      <c r="DS2" s="631"/>
      <c r="DT2" s="631"/>
      <c r="DU2" s="631"/>
      <c r="DV2" s="631"/>
      <c r="DW2" s="631"/>
      <c r="DX2" s="631"/>
      <c r="DY2" s="631"/>
      <c r="DZ2" s="631"/>
      <c r="EA2" s="631"/>
      <c r="EB2" s="631"/>
      <c r="EC2" s="631"/>
      <c r="ED2" s="631"/>
      <c r="EE2" s="631"/>
      <c r="EF2" s="631"/>
      <c r="EG2" s="631"/>
      <c r="EH2" s="631"/>
      <c r="EI2" s="631"/>
      <c r="EJ2" s="631"/>
      <c r="EK2" s="631"/>
      <c r="EL2" s="631"/>
      <c r="EM2" s="631"/>
      <c r="EN2" s="631"/>
      <c r="EO2" s="631"/>
      <c r="EP2" s="631"/>
      <c r="EQ2" s="631"/>
      <c r="ER2" s="631"/>
      <c r="ES2" s="631"/>
      <c r="ET2" s="631"/>
      <c r="EU2" s="631"/>
      <c r="EV2" s="632"/>
      <c r="EW2" s="632"/>
      <c r="EX2" s="632"/>
      <c r="EY2" s="632"/>
      <c r="EZ2" s="632"/>
      <c r="FA2" s="632"/>
      <c r="FB2" s="632"/>
      <c r="FC2" s="632"/>
      <c r="FD2" s="632"/>
      <c r="FE2" s="632"/>
      <c r="FF2" s="632"/>
      <c r="FG2" s="632"/>
      <c r="FH2" s="632"/>
      <c r="FI2" s="632"/>
      <c r="FJ2" s="632"/>
      <c r="FK2" s="632"/>
      <c r="FL2" s="632"/>
      <c r="FM2" s="632"/>
      <c r="FN2" s="632"/>
      <c r="FO2" s="632"/>
      <c r="FP2" s="632"/>
      <c r="FQ2" s="632"/>
      <c r="FR2" s="632"/>
      <c r="FS2" s="632"/>
      <c r="FT2" s="632"/>
      <c r="FU2" s="632"/>
      <c r="FV2" s="632"/>
      <c r="FW2" s="632"/>
      <c r="FX2" s="632"/>
      <c r="FY2" s="632"/>
      <c r="FZ2" s="632"/>
      <c r="GA2" s="632"/>
      <c r="GB2" s="632"/>
      <c r="GC2" s="632"/>
      <c r="GD2" s="632"/>
      <c r="GE2" s="632"/>
      <c r="GF2" s="632"/>
      <c r="GG2" s="632"/>
      <c r="GH2" s="632"/>
      <c r="GI2" s="632"/>
      <c r="GJ2" s="631"/>
      <c r="GK2" s="631"/>
      <c r="GL2" s="631"/>
      <c r="GM2" s="631"/>
      <c r="GN2" s="631"/>
      <c r="GO2" s="624"/>
      <c r="GT2" s="631"/>
      <c r="GU2" s="631"/>
      <c r="GV2" s="631"/>
      <c r="GW2" s="631"/>
      <c r="GX2" s="631"/>
      <c r="GY2" s="631"/>
      <c r="GZ2" s="631"/>
      <c r="HA2" s="631"/>
      <c r="HB2" s="631"/>
      <c r="HC2" s="631"/>
      <c r="HD2" s="631"/>
      <c r="HE2" s="631"/>
      <c r="HF2" s="631"/>
      <c r="HG2" s="631"/>
      <c r="HH2" s="631"/>
      <c r="HI2" s="631"/>
      <c r="HJ2" s="631"/>
      <c r="HK2" s="631"/>
      <c r="HL2" s="631"/>
      <c r="HM2" s="631"/>
    </row>
    <row r="3" spans="1:255" s="108" customFormat="1" ht="12.6" customHeight="1">
      <c r="A3" s="5" t="s">
        <v>796</v>
      </c>
      <c r="B3" s="5" t="s">
        <v>3120</v>
      </c>
      <c r="C3" s="1"/>
      <c r="E3" s="168" t="s">
        <v>3565</v>
      </c>
      <c r="F3" s="1"/>
      <c r="G3" s="150"/>
      <c r="H3" s="150"/>
      <c r="I3" s="150"/>
      <c r="J3" s="150"/>
      <c r="K3" s="150"/>
      <c r="L3" s="150"/>
      <c r="Q3" s="378"/>
      <c r="R3" s="378"/>
      <c r="S3" s="378"/>
      <c r="T3" s="5" t="str">
        <f>B3</f>
        <v>RENT SCHEDULE</v>
      </c>
      <c r="V3" s="633"/>
      <c r="W3" s="633"/>
      <c r="X3" s="633"/>
      <c r="Y3" s="633"/>
      <c r="Z3" s="633"/>
      <c r="AA3" s="633"/>
      <c r="AB3" s="633"/>
      <c r="AC3" s="633"/>
      <c r="AD3" s="633"/>
      <c r="AE3" s="633"/>
      <c r="AF3" s="633"/>
      <c r="AG3" s="633"/>
      <c r="AH3" s="633"/>
      <c r="AI3" s="633"/>
      <c r="AJ3" s="633"/>
      <c r="AK3" s="633"/>
      <c r="AL3" s="633"/>
      <c r="AM3" s="633"/>
      <c r="AN3" s="633"/>
      <c r="AO3" s="633"/>
      <c r="AP3" s="633"/>
      <c r="AQ3" s="633"/>
      <c r="AR3" s="633"/>
      <c r="AS3" s="633"/>
      <c r="AT3" s="633"/>
      <c r="AU3" s="633"/>
      <c r="AV3" s="633"/>
      <c r="AW3" s="633"/>
      <c r="AX3" s="633"/>
      <c r="AY3" s="633"/>
      <c r="AZ3" s="633"/>
      <c r="BA3" s="633"/>
      <c r="BB3" s="633"/>
      <c r="BC3" s="633"/>
      <c r="BD3" s="633"/>
      <c r="BE3" s="633"/>
      <c r="BF3" s="633"/>
      <c r="BG3" s="633"/>
      <c r="BH3" s="633"/>
      <c r="BI3" s="633"/>
      <c r="BJ3" s="633"/>
      <c r="BK3" s="633"/>
      <c r="BL3" s="633"/>
      <c r="BM3" s="633"/>
      <c r="BN3" s="633"/>
      <c r="BO3" s="633"/>
      <c r="BP3" s="633"/>
      <c r="BQ3" s="633"/>
      <c r="BR3" s="633"/>
      <c r="BS3" s="633"/>
      <c r="BT3" s="633"/>
      <c r="BU3" s="633"/>
      <c r="BV3" s="633"/>
      <c r="BW3" s="633"/>
      <c r="BX3" s="633"/>
      <c r="BY3" s="633"/>
      <c r="BZ3" s="633"/>
      <c r="CA3" s="633"/>
      <c r="CB3" s="633"/>
      <c r="CC3" s="633"/>
      <c r="CD3" s="633"/>
      <c r="CE3" s="633"/>
      <c r="CF3" s="633"/>
      <c r="CG3" s="633"/>
      <c r="CH3" s="633"/>
      <c r="CI3" s="633"/>
      <c r="CJ3" s="633"/>
      <c r="CK3" s="633"/>
      <c r="CL3" s="633"/>
      <c r="CM3" s="633"/>
      <c r="CN3" s="633"/>
      <c r="CO3" s="633"/>
      <c r="CP3" s="633"/>
      <c r="CQ3" s="633"/>
      <c r="CR3" s="633"/>
      <c r="CS3" s="633"/>
      <c r="CT3" s="633"/>
      <c r="CU3" s="633"/>
      <c r="CV3" s="633"/>
      <c r="CW3" s="633"/>
      <c r="CX3" s="633"/>
      <c r="CY3" s="633"/>
      <c r="CZ3" s="633"/>
      <c r="DA3" s="633"/>
      <c r="DB3" s="633"/>
      <c r="DC3" s="633"/>
      <c r="DD3" s="633"/>
      <c r="DE3" s="633"/>
      <c r="DF3" s="633"/>
      <c r="DG3" s="633"/>
      <c r="DH3" s="633"/>
      <c r="DI3" s="633"/>
      <c r="DJ3" s="633"/>
      <c r="DK3" s="633"/>
      <c r="DL3" s="633"/>
      <c r="DM3" s="633"/>
      <c r="DN3" s="633"/>
      <c r="DO3" s="633"/>
      <c r="DP3" s="633"/>
      <c r="DQ3" s="633"/>
      <c r="DR3" s="633"/>
      <c r="DS3" s="633"/>
      <c r="DT3" s="633"/>
      <c r="DU3" s="633"/>
      <c r="DV3" s="633"/>
      <c r="DW3" s="633"/>
      <c r="DX3" s="633"/>
      <c r="DY3" s="633"/>
      <c r="DZ3" s="633"/>
      <c r="EA3" s="633"/>
      <c r="EB3" s="633"/>
      <c r="EC3" s="633"/>
      <c r="ED3" s="633"/>
      <c r="EE3" s="633"/>
      <c r="EF3" s="633"/>
      <c r="EG3" s="633"/>
      <c r="EH3" s="633"/>
      <c r="EI3" s="633"/>
      <c r="EJ3" s="633"/>
      <c r="EK3" s="633"/>
      <c r="EL3" s="633"/>
      <c r="EM3" s="633"/>
      <c r="EN3" s="633"/>
      <c r="EO3" s="633"/>
      <c r="EP3" s="633"/>
      <c r="EQ3" s="633"/>
      <c r="ER3" s="633"/>
      <c r="ES3" s="633"/>
      <c r="ET3" s="633"/>
      <c r="EU3" s="633"/>
      <c r="EV3" s="634"/>
      <c r="EW3" s="634"/>
      <c r="EX3" s="634"/>
      <c r="EY3" s="634"/>
      <c r="EZ3" s="634"/>
      <c r="FA3" s="632" t="s">
        <v>619</v>
      </c>
      <c r="FB3" s="632" t="s">
        <v>3206</v>
      </c>
      <c r="FC3" s="632" t="s">
        <v>3207</v>
      </c>
      <c r="FD3" s="632" t="s">
        <v>3208</v>
      </c>
      <c r="FE3" s="632" t="s">
        <v>3209</v>
      </c>
      <c r="FF3" s="634"/>
      <c r="FG3" s="634"/>
      <c r="FH3" s="634"/>
      <c r="FI3" s="634"/>
      <c r="FJ3" s="634"/>
      <c r="FK3" s="632" t="s">
        <v>619</v>
      </c>
      <c r="FL3" s="632" t="s">
        <v>3206</v>
      </c>
      <c r="FM3" s="632" t="s">
        <v>3207</v>
      </c>
      <c r="FN3" s="632" t="s">
        <v>3208</v>
      </c>
      <c r="FO3" s="632" t="s">
        <v>3209</v>
      </c>
      <c r="FP3" s="632" t="s">
        <v>619</v>
      </c>
      <c r="FQ3" s="632" t="s">
        <v>3206</v>
      </c>
      <c r="FR3" s="632" t="s">
        <v>3207</v>
      </c>
      <c r="FS3" s="632" t="s">
        <v>3208</v>
      </c>
      <c r="FT3" s="632" t="s">
        <v>3209</v>
      </c>
      <c r="FU3" s="632" t="s">
        <v>619</v>
      </c>
      <c r="FV3" s="632" t="s">
        <v>3206</v>
      </c>
      <c r="FW3" s="632" t="s">
        <v>3207</v>
      </c>
      <c r="FX3" s="632" t="s">
        <v>3208</v>
      </c>
      <c r="FY3" s="632" t="s">
        <v>3209</v>
      </c>
      <c r="FZ3" s="632" t="s">
        <v>619</v>
      </c>
      <c r="GA3" s="632" t="s">
        <v>3206</v>
      </c>
      <c r="GB3" s="632" t="s">
        <v>3207</v>
      </c>
      <c r="GC3" s="632" t="s">
        <v>3208</v>
      </c>
      <c r="GD3" s="632" t="s">
        <v>3209</v>
      </c>
      <c r="GE3" s="632" t="s">
        <v>619</v>
      </c>
      <c r="GF3" s="632" t="s">
        <v>3206</v>
      </c>
      <c r="GG3" s="632" t="s">
        <v>3207</v>
      </c>
      <c r="GH3" s="632" t="s">
        <v>3208</v>
      </c>
      <c r="GI3" s="632" t="s">
        <v>3209</v>
      </c>
      <c r="GJ3" s="632" t="s">
        <v>619</v>
      </c>
      <c r="GK3" s="632" t="s">
        <v>3206</v>
      </c>
      <c r="GL3" s="632" t="s">
        <v>3207</v>
      </c>
      <c r="GM3" s="632" t="s">
        <v>3208</v>
      </c>
      <c r="GN3" s="632" t="s">
        <v>3209</v>
      </c>
      <c r="GO3" s="628"/>
      <c r="GP3" s="628"/>
      <c r="GQ3" s="628"/>
      <c r="GR3" s="628"/>
      <c r="GS3" s="628"/>
      <c r="GT3" s="633"/>
      <c r="GU3" s="633"/>
      <c r="GV3" s="633"/>
      <c r="GW3" s="633"/>
      <c r="GX3" s="633"/>
      <c r="GY3" s="633"/>
      <c r="GZ3" s="633"/>
      <c r="HA3" s="633"/>
      <c r="HB3" s="633"/>
      <c r="HC3" s="633"/>
      <c r="HD3" s="633"/>
      <c r="HE3" s="633"/>
      <c r="HF3" s="633"/>
      <c r="HG3" s="633"/>
      <c r="HH3" s="633"/>
      <c r="HI3" s="633"/>
      <c r="HJ3" s="633"/>
      <c r="HK3" s="633"/>
      <c r="HL3" s="633"/>
      <c r="HM3" s="633"/>
      <c r="HN3" s="628"/>
      <c r="HO3" s="628"/>
      <c r="HP3" s="115"/>
      <c r="HQ3" s="115"/>
      <c r="HR3" s="115"/>
      <c r="HS3" s="115"/>
      <c r="HT3" s="115"/>
      <c r="HU3" s="115"/>
      <c r="HV3" s="115"/>
      <c r="HW3" s="115"/>
      <c r="HX3" s="115"/>
      <c r="HY3" s="115"/>
      <c r="HZ3" s="115"/>
      <c r="IA3" s="115"/>
      <c r="IB3" s="115"/>
      <c r="IC3" s="115"/>
      <c r="ID3" s="115"/>
      <c r="IE3" s="115"/>
      <c r="IF3" s="115"/>
      <c r="IG3" s="115"/>
      <c r="IH3" s="115"/>
      <c r="II3" s="115"/>
      <c r="IJ3" s="115"/>
      <c r="IK3" s="115"/>
      <c r="IL3" s="115"/>
      <c r="IM3" s="115"/>
      <c r="IN3" s="115"/>
      <c r="IO3" s="115"/>
      <c r="IP3" s="115"/>
      <c r="IQ3" s="115"/>
      <c r="IR3" s="115"/>
      <c r="IS3" s="115"/>
      <c r="IT3" s="115"/>
      <c r="IU3" s="115"/>
    </row>
    <row r="4" spans="1:255" s="108" customFormat="1" ht="6" customHeight="1">
      <c r="B4" s="5"/>
      <c r="C4" s="1"/>
      <c r="D4" s="5"/>
      <c r="E4" s="1"/>
      <c r="F4" s="1"/>
      <c r="G4" s="1"/>
      <c r="H4" s="1"/>
      <c r="I4" s="1"/>
      <c r="J4" s="1"/>
      <c r="K4" s="1"/>
      <c r="L4" s="1"/>
      <c r="M4" s="1"/>
      <c r="P4" s="553"/>
      <c r="Q4" s="554"/>
      <c r="R4" s="554"/>
      <c r="S4" s="554"/>
      <c r="T4" s="554"/>
      <c r="U4" s="555"/>
      <c r="V4" s="1011" t="s">
        <v>1315</v>
      </c>
      <c r="W4" s="1011" t="s">
        <v>1061</v>
      </c>
      <c r="X4" s="1011" t="s">
        <v>1062</v>
      </c>
      <c r="Y4" s="1011" t="s">
        <v>1063</v>
      </c>
      <c r="Z4" s="1011" t="s">
        <v>1064</v>
      </c>
      <c r="AA4" s="1011" t="s">
        <v>1316</v>
      </c>
      <c r="AB4" s="1011" t="s">
        <v>3040</v>
      </c>
      <c r="AC4" s="1011" t="s">
        <v>3041</v>
      </c>
      <c r="AD4" s="1011" t="s">
        <v>3042</v>
      </c>
      <c r="AE4" s="1011" t="s">
        <v>3043</v>
      </c>
      <c r="AF4" s="1011" t="s">
        <v>1317</v>
      </c>
      <c r="AG4" s="1011" t="s">
        <v>3044</v>
      </c>
      <c r="AH4" s="1011" t="s">
        <v>3045</v>
      </c>
      <c r="AI4" s="1011" t="s">
        <v>3046</v>
      </c>
      <c r="AJ4" s="1011" t="s">
        <v>3047</v>
      </c>
      <c r="AK4" s="1011" t="s">
        <v>136</v>
      </c>
      <c r="AL4" s="1011" t="s">
        <v>3048</v>
      </c>
      <c r="AM4" s="1011" t="s">
        <v>3049</v>
      </c>
      <c r="AN4" s="1011" t="s">
        <v>3050</v>
      </c>
      <c r="AO4" s="1011" t="s">
        <v>1561</v>
      </c>
      <c r="AP4" s="1011" t="s">
        <v>724</v>
      </c>
      <c r="AQ4" s="1011" t="s">
        <v>725</v>
      </c>
      <c r="AR4" s="1011" t="s">
        <v>750</v>
      </c>
      <c r="AS4" s="1011" t="s">
        <v>751</v>
      </c>
      <c r="AT4" s="1011" t="s">
        <v>752</v>
      </c>
      <c r="AU4" s="1011" t="s">
        <v>753</v>
      </c>
      <c r="AV4" s="1011" t="s">
        <v>754</v>
      </c>
      <c r="AW4" s="1011" t="s">
        <v>755</v>
      </c>
      <c r="AX4" s="1011" t="s">
        <v>756</v>
      </c>
      <c r="AY4" s="1011" t="s">
        <v>757</v>
      </c>
      <c r="AZ4" s="1011" t="s">
        <v>758</v>
      </c>
      <c r="BA4" s="1011" t="s">
        <v>759</v>
      </c>
      <c r="BB4" s="1011" t="s">
        <v>1327</v>
      </c>
      <c r="BC4" s="1011" t="s">
        <v>1328</v>
      </c>
      <c r="BD4" s="1011" t="s">
        <v>1329</v>
      </c>
      <c r="BE4" s="1011" t="s">
        <v>631</v>
      </c>
      <c r="BF4" s="1011" t="s">
        <v>632</v>
      </c>
      <c r="BG4" s="1011" t="s">
        <v>633</v>
      </c>
      <c r="BH4" s="1011" t="s">
        <v>634</v>
      </c>
      <c r="BI4" s="1011" t="s">
        <v>635</v>
      </c>
      <c r="BJ4" s="1011" t="s">
        <v>1275</v>
      </c>
      <c r="BK4" s="1011" t="s">
        <v>1276</v>
      </c>
      <c r="BL4" s="1011" t="s">
        <v>1277</v>
      </c>
      <c r="BM4" s="1011" t="s">
        <v>1278</v>
      </c>
      <c r="BN4" s="1011" t="s">
        <v>1279</v>
      </c>
      <c r="BO4" s="1011" t="s">
        <v>1280</v>
      </c>
      <c r="BP4" s="1011" t="s">
        <v>1281</v>
      </c>
      <c r="BQ4" s="1011" t="s">
        <v>1282</v>
      </c>
      <c r="BR4" s="1011" t="s">
        <v>1283</v>
      </c>
      <c r="BS4" s="1011" t="s">
        <v>1284</v>
      </c>
      <c r="BT4" s="1011" t="s">
        <v>3196</v>
      </c>
      <c r="BU4" s="1011" t="s">
        <v>3197</v>
      </c>
      <c r="BV4" s="1011" t="s">
        <v>3198</v>
      </c>
      <c r="BW4" s="1011" t="s">
        <v>3199</v>
      </c>
      <c r="BX4" s="1011" t="s">
        <v>3200</v>
      </c>
      <c r="BY4" s="1011" t="s">
        <v>123</v>
      </c>
      <c r="BZ4" s="1011" t="s">
        <v>1564</v>
      </c>
      <c r="CA4" s="1011" t="s">
        <v>1565</v>
      </c>
      <c r="CB4" s="1011" t="s">
        <v>1634</v>
      </c>
      <c r="CC4" s="1011" t="s">
        <v>1635</v>
      </c>
      <c r="CD4" s="1012" t="s">
        <v>139</v>
      </c>
      <c r="CE4" s="1012" t="s">
        <v>1636</v>
      </c>
      <c r="CF4" s="1012" t="s">
        <v>1637</v>
      </c>
      <c r="CG4" s="1012" t="s">
        <v>1638</v>
      </c>
      <c r="CH4" s="1012" t="s">
        <v>1639</v>
      </c>
      <c r="CI4" s="1012" t="s">
        <v>138</v>
      </c>
      <c r="CJ4" s="1012" t="s">
        <v>1307</v>
      </c>
      <c r="CK4" s="1012" t="s">
        <v>1308</v>
      </c>
      <c r="CL4" s="1012" t="s">
        <v>1309</v>
      </c>
      <c r="CM4" s="1012" t="s">
        <v>1310</v>
      </c>
      <c r="CN4" s="1012" t="s">
        <v>137</v>
      </c>
      <c r="CO4" s="1012" t="s">
        <v>1311</v>
      </c>
      <c r="CP4" s="1012" t="s">
        <v>1312</v>
      </c>
      <c r="CQ4" s="1012" t="s">
        <v>1313</v>
      </c>
      <c r="CR4" s="1012" t="s">
        <v>1314</v>
      </c>
      <c r="CS4" s="1012" t="s">
        <v>1202</v>
      </c>
      <c r="CT4" s="1012" t="s">
        <v>1203</v>
      </c>
      <c r="CU4" s="1012" t="s">
        <v>1204</v>
      </c>
      <c r="CV4" s="1012" t="s">
        <v>1205</v>
      </c>
      <c r="CW4" s="1012" t="s">
        <v>1206</v>
      </c>
      <c r="CX4" s="1012" t="s">
        <v>1354</v>
      </c>
      <c r="CY4" s="1012" t="s">
        <v>1355</v>
      </c>
      <c r="CZ4" s="1012" t="s">
        <v>1356</v>
      </c>
      <c r="DA4" s="1012" t="s">
        <v>1357</v>
      </c>
      <c r="DB4" s="1012" t="s">
        <v>3195</v>
      </c>
      <c r="DC4" s="1012" t="s">
        <v>1876</v>
      </c>
      <c r="DD4" s="1012" t="s">
        <v>1877</v>
      </c>
      <c r="DE4" s="1012" t="s">
        <v>1878</v>
      </c>
      <c r="DF4" s="1012" t="s">
        <v>1879</v>
      </c>
      <c r="DG4" s="1012" t="s">
        <v>1880</v>
      </c>
      <c r="DH4" s="1012" t="s">
        <v>560</v>
      </c>
      <c r="DI4" s="1012" t="s">
        <v>561</v>
      </c>
      <c r="DJ4" s="1012" t="s">
        <v>562</v>
      </c>
      <c r="DK4" s="1012" t="s">
        <v>563</v>
      </c>
      <c r="DL4" s="1012" t="s">
        <v>564</v>
      </c>
      <c r="DM4" s="1012" t="s">
        <v>18</v>
      </c>
      <c r="DN4" s="1012" t="s">
        <v>19</v>
      </c>
      <c r="DO4" s="1012" t="s">
        <v>20</v>
      </c>
      <c r="DP4" s="1012" t="s">
        <v>21</v>
      </c>
      <c r="DQ4" s="1012" t="s">
        <v>22</v>
      </c>
      <c r="DR4" s="1012" t="s">
        <v>243</v>
      </c>
      <c r="DS4" s="1012" t="s">
        <v>244</v>
      </c>
      <c r="DT4" s="1012" t="s">
        <v>245</v>
      </c>
      <c r="DU4" s="1012" t="s">
        <v>2510</v>
      </c>
      <c r="DV4" s="1012" t="s">
        <v>2511</v>
      </c>
      <c r="DW4" s="1012" t="s">
        <v>2512</v>
      </c>
      <c r="DX4" s="1012" t="s">
        <v>766</v>
      </c>
      <c r="DY4" s="1012" t="s">
        <v>767</v>
      </c>
      <c r="DZ4" s="1012" t="s">
        <v>768</v>
      </c>
      <c r="EA4" s="1012" t="s">
        <v>769</v>
      </c>
      <c r="EB4" s="1012" t="s">
        <v>23</v>
      </c>
      <c r="EC4" s="1012" t="s">
        <v>24</v>
      </c>
      <c r="ED4" s="1012" t="s">
        <v>25</v>
      </c>
      <c r="EE4" s="1012" t="s">
        <v>26</v>
      </c>
      <c r="EF4" s="1012" t="s">
        <v>27</v>
      </c>
      <c r="EG4" s="1012" t="s">
        <v>630</v>
      </c>
      <c r="EH4" s="1012" t="s">
        <v>556</v>
      </c>
      <c r="EI4" s="1012" t="s">
        <v>557</v>
      </c>
      <c r="EJ4" s="1012" t="s">
        <v>558</v>
      </c>
      <c r="EK4" s="1012" t="s">
        <v>559</v>
      </c>
      <c r="EL4" s="1012" t="s">
        <v>2929</v>
      </c>
      <c r="EM4" s="1012" t="s">
        <v>2930</v>
      </c>
      <c r="EN4" s="1012" t="s">
        <v>2931</v>
      </c>
      <c r="EO4" s="1012" t="s">
        <v>1928</v>
      </c>
      <c r="EP4" s="1012" t="s">
        <v>1929</v>
      </c>
      <c r="EQ4" s="1012" t="s">
        <v>28</v>
      </c>
      <c r="ER4" s="1012" t="s">
        <v>29</v>
      </c>
      <c r="ES4" s="1012" t="s">
        <v>30</v>
      </c>
      <c r="ET4" s="1012" t="s">
        <v>31</v>
      </c>
      <c r="EU4" s="1012" t="s">
        <v>32</v>
      </c>
      <c r="EV4" s="629"/>
      <c r="EW4" s="629"/>
      <c r="EX4" s="629"/>
      <c r="EY4" s="629"/>
      <c r="EZ4" s="629"/>
      <c r="FA4" s="629"/>
      <c r="FB4" s="629"/>
      <c r="FC4" s="629"/>
      <c r="FD4" s="629"/>
      <c r="FE4" s="629"/>
      <c r="FF4" s="629"/>
      <c r="FG4" s="629"/>
      <c r="FH4" s="629"/>
      <c r="FI4" s="629"/>
      <c r="FJ4" s="629"/>
      <c r="FK4" s="629"/>
      <c r="FL4" s="629"/>
      <c r="FM4" s="629"/>
      <c r="FN4" s="629"/>
      <c r="FO4" s="629"/>
      <c r="FP4" s="629"/>
      <c r="FQ4" s="629"/>
      <c r="FR4" s="629"/>
      <c r="FS4" s="629"/>
      <c r="FT4" s="629"/>
      <c r="FU4" s="629"/>
      <c r="FV4" s="629"/>
      <c r="FW4" s="629"/>
      <c r="FX4" s="629"/>
      <c r="FY4" s="629"/>
      <c r="FZ4" s="629"/>
      <c r="GA4" s="629"/>
      <c r="GB4" s="629"/>
      <c r="GC4" s="629"/>
      <c r="GD4" s="629"/>
      <c r="GE4" s="629"/>
      <c r="GF4" s="629"/>
      <c r="GG4" s="629"/>
      <c r="GH4" s="629"/>
      <c r="GI4" s="629"/>
      <c r="GJ4" s="628"/>
      <c r="GK4" s="628"/>
      <c r="GL4" s="628"/>
      <c r="GM4" s="628"/>
      <c r="GN4" s="628"/>
      <c r="GO4" s="1012" t="s">
        <v>2227</v>
      </c>
      <c r="GP4" s="1012" t="s">
        <v>3311</v>
      </c>
      <c r="GQ4" s="1012" t="s">
        <v>3312</v>
      </c>
      <c r="GR4" s="1012" t="s">
        <v>420</v>
      </c>
      <c r="GS4" s="1012" t="s">
        <v>421</v>
      </c>
      <c r="GT4" s="1012" t="s">
        <v>422</v>
      </c>
      <c r="GU4" s="1012" t="s">
        <v>423</v>
      </c>
      <c r="GV4" s="1012" t="s">
        <v>424</v>
      </c>
      <c r="GW4" s="1012" t="s">
        <v>425</v>
      </c>
      <c r="GX4" s="1012" t="s">
        <v>426</v>
      </c>
      <c r="GY4" s="1012" t="s">
        <v>220</v>
      </c>
      <c r="GZ4" s="1012" t="s">
        <v>221</v>
      </c>
      <c r="HA4" s="1012" t="s">
        <v>222</v>
      </c>
      <c r="HB4" s="1012" t="s">
        <v>223</v>
      </c>
      <c r="HC4" s="1012" t="s">
        <v>224</v>
      </c>
      <c r="HD4" s="1012" t="s">
        <v>225</v>
      </c>
      <c r="HE4" s="1012" t="s">
        <v>226</v>
      </c>
      <c r="HF4" s="1012" t="s">
        <v>227</v>
      </c>
      <c r="HG4" s="1012" t="s">
        <v>228</v>
      </c>
      <c r="HH4" s="1012" t="s">
        <v>229</v>
      </c>
      <c r="HI4" s="1012" t="s">
        <v>230</v>
      </c>
      <c r="HJ4" s="1012" t="s">
        <v>231</v>
      </c>
      <c r="HK4" s="1012" t="s">
        <v>232</v>
      </c>
      <c r="HL4" s="1012" t="s">
        <v>233</v>
      </c>
      <c r="HM4" s="1012" t="s">
        <v>234</v>
      </c>
      <c r="HN4" s="628"/>
      <c r="HO4" s="628"/>
      <c r="HP4" s="115"/>
      <c r="HQ4" s="115"/>
      <c r="HR4" s="115"/>
      <c r="HS4" s="115"/>
      <c r="HT4" s="115"/>
      <c r="HU4" s="115"/>
      <c r="HV4" s="115"/>
      <c r="HW4" s="115"/>
      <c r="HX4" s="115"/>
      <c r="HY4" s="115"/>
      <c r="HZ4" s="115"/>
      <c r="IA4" s="115"/>
      <c r="IB4" s="115"/>
      <c r="IC4" s="115"/>
      <c r="ID4" s="115"/>
      <c r="IE4" s="115"/>
      <c r="IF4" s="115"/>
      <c r="IG4" s="115"/>
      <c r="IH4" s="115"/>
      <c r="II4" s="115"/>
      <c r="IJ4" s="115"/>
      <c r="IK4" s="115"/>
      <c r="IL4" s="115"/>
      <c r="IM4" s="115"/>
      <c r="IN4" s="115"/>
      <c r="IO4" s="115"/>
      <c r="IP4" s="115"/>
      <c r="IQ4" s="115"/>
      <c r="IR4" s="115"/>
      <c r="IS4" s="115"/>
      <c r="IT4" s="115"/>
      <c r="IU4" s="115"/>
    </row>
    <row r="5" spans="1:255" s="108" customFormat="1" ht="13.15" customHeight="1">
      <c r="B5" s="5" t="s">
        <v>2550</v>
      </c>
      <c r="D5" s="1"/>
      <c r="E5" s="5"/>
      <c r="F5" s="1"/>
      <c r="G5" s="1545"/>
      <c r="N5" s="811" t="s">
        <v>749</v>
      </c>
      <c r="P5" s="804" t="s">
        <v>1439</v>
      </c>
      <c r="Q5" s="555"/>
      <c r="R5" s="555"/>
      <c r="S5" s="555"/>
      <c r="V5" s="1011"/>
      <c r="W5" s="1011"/>
      <c r="X5" s="1011"/>
      <c r="Y5" s="1011"/>
      <c r="Z5" s="1011"/>
      <c r="AA5" s="1011"/>
      <c r="AB5" s="1011"/>
      <c r="AC5" s="1011"/>
      <c r="AD5" s="1011"/>
      <c r="AE5" s="1011"/>
      <c r="AF5" s="1011"/>
      <c r="AG5" s="1011"/>
      <c r="AH5" s="1011"/>
      <c r="AI5" s="1011"/>
      <c r="AJ5" s="1011"/>
      <c r="AK5" s="1011"/>
      <c r="AL5" s="1011"/>
      <c r="AM5" s="1011"/>
      <c r="AN5" s="1011"/>
      <c r="AO5" s="1011"/>
      <c r="AP5" s="1011"/>
      <c r="AQ5" s="1011"/>
      <c r="AR5" s="1011"/>
      <c r="AS5" s="1011"/>
      <c r="AT5" s="1011"/>
      <c r="AU5" s="1011"/>
      <c r="AV5" s="1011"/>
      <c r="AW5" s="1011"/>
      <c r="AX5" s="1011"/>
      <c r="AY5" s="1011"/>
      <c r="AZ5" s="1011"/>
      <c r="BA5" s="1011"/>
      <c r="BB5" s="1011"/>
      <c r="BC5" s="1011"/>
      <c r="BD5" s="1011"/>
      <c r="BE5" s="1011"/>
      <c r="BF5" s="1011"/>
      <c r="BG5" s="1011"/>
      <c r="BH5" s="1011"/>
      <c r="BI5" s="1011"/>
      <c r="BJ5" s="1011"/>
      <c r="BK5" s="1011"/>
      <c r="BL5" s="1011"/>
      <c r="BM5" s="1011"/>
      <c r="BN5" s="1011"/>
      <c r="BO5" s="1011"/>
      <c r="BP5" s="1011"/>
      <c r="BQ5" s="1011"/>
      <c r="BR5" s="1011"/>
      <c r="BS5" s="1011"/>
      <c r="BT5" s="1011"/>
      <c r="BU5" s="1011"/>
      <c r="BV5" s="1011"/>
      <c r="BW5" s="1011"/>
      <c r="BX5" s="1011"/>
      <c r="BY5" s="1011"/>
      <c r="BZ5" s="1011"/>
      <c r="CA5" s="1011"/>
      <c r="CB5" s="1011"/>
      <c r="CC5" s="1011"/>
      <c r="CD5" s="1012"/>
      <c r="CE5" s="1012"/>
      <c r="CF5" s="1012"/>
      <c r="CG5" s="1012"/>
      <c r="CH5" s="1012"/>
      <c r="CI5" s="1012"/>
      <c r="CJ5" s="1012"/>
      <c r="CK5" s="1012"/>
      <c r="CL5" s="1012"/>
      <c r="CM5" s="1012"/>
      <c r="CN5" s="1012"/>
      <c r="CO5" s="1012"/>
      <c r="CP5" s="1012"/>
      <c r="CQ5" s="1012"/>
      <c r="CR5" s="1012"/>
      <c r="CS5" s="1012"/>
      <c r="CT5" s="1012"/>
      <c r="CU5" s="1012"/>
      <c r="CV5" s="1012"/>
      <c r="CW5" s="1012"/>
      <c r="CX5" s="1012"/>
      <c r="CY5" s="1012"/>
      <c r="CZ5" s="1012"/>
      <c r="DA5" s="1012"/>
      <c r="DB5" s="1012"/>
      <c r="DC5" s="1012"/>
      <c r="DD5" s="1012"/>
      <c r="DE5" s="1012"/>
      <c r="DF5" s="1012"/>
      <c r="DG5" s="1012"/>
      <c r="DH5" s="1012"/>
      <c r="DI5" s="1012"/>
      <c r="DJ5" s="1012"/>
      <c r="DK5" s="1012"/>
      <c r="DL5" s="1012"/>
      <c r="DM5" s="1012"/>
      <c r="DN5" s="1012"/>
      <c r="DO5" s="1012"/>
      <c r="DP5" s="1012"/>
      <c r="DQ5" s="1012"/>
      <c r="DR5" s="1012"/>
      <c r="DS5" s="1012"/>
      <c r="DT5" s="1012"/>
      <c r="DU5" s="1012"/>
      <c r="DV5" s="1012"/>
      <c r="DW5" s="1012"/>
      <c r="DX5" s="1012"/>
      <c r="DY5" s="1012"/>
      <c r="DZ5" s="1012"/>
      <c r="EA5" s="1012"/>
      <c r="EB5" s="1012"/>
      <c r="EC5" s="1012"/>
      <c r="ED5" s="1012"/>
      <c r="EE5" s="1012"/>
      <c r="EF5" s="1012"/>
      <c r="EG5" s="1012"/>
      <c r="EH5" s="1012"/>
      <c r="EI5" s="1012"/>
      <c r="EJ5" s="1012"/>
      <c r="EK5" s="1012"/>
      <c r="EL5" s="1012"/>
      <c r="EM5" s="1012"/>
      <c r="EN5" s="1012"/>
      <c r="EO5" s="1012"/>
      <c r="EP5" s="1012"/>
      <c r="EQ5" s="1012"/>
      <c r="ER5" s="1012"/>
      <c r="ES5" s="1012"/>
      <c r="ET5" s="1012"/>
      <c r="EU5" s="1012"/>
      <c r="EV5" s="629"/>
      <c r="EW5" s="629"/>
      <c r="EX5" s="629"/>
      <c r="EY5" s="629"/>
      <c r="EZ5" s="629"/>
      <c r="FA5" s="629"/>
      <c r="FB5" s="629"/>
      <c r="FC5" s="629"/>
      <c r="FD5" s="629"/>
      <c r="FE5" s="629"/>
      <c r="FF5" s="629"/>
      <c r="FG5" s="629"/>
      <c r="FH5" s="629"/>
      <c r="FI5" s="629"/>
      <c r="FJ5" s="629"/>
      <c r="FK5" s="629"/>
      <c r="FL5" s="629"/>
      <c r="FM5" s="629"/>
      <c r="FN5" s="629"/>
      <c r="FO5" s="629"/>
      <c r="FP5" s="629"/>
      <c r="FQ5" s="629"/>
      <c r="FR5" s="629"/>
      <c r="FS5" s="629"/>
      <c r="FT5" s="629"/>
      <c r="FU5" s="629"/>
      <c r="FV5" s="629"/>
      <c r="FW5" s="629"/>
      <c r="FX5" s="629"/>
      <c r="FY5" s="629"/>
      <c r="FZ5" s="629"/>
      <c r="GA5" s="629"/>
      <c r="GB5" s="629"/>
      <c r="GC5" s="629"/>
      <c r="GD5" s="629"/>
      <c r="GE5" s="629"/>
      <c r="GF5" s="629"/>
      <c r="GG5" s="629"/>
      <c r="GH5" s="629"/>
      <c r="GI5" s="629"/>
      <c r="GJ5" s="628"/>
      <c r="GK5" s="628"/>
      <c r="GL5" s="628"/>
      <c r="GM5" s="628"/>
      <c r="GN5" s="628"/>
      <c r="GO5" s="1012"/>
      <c r="GP5" s="1012"/>
      <c r="GQ5" s="1012"/>
      <c r="GR5" s="1012"/>
      <c r="GS5" s="1012"/>
      <c r="GT5" s="1012"/>
      <c r="GU5" s="1012"/>
      <c r="GV5" s="1012"/>
      <c r="GW5" s="1012"/>
      <c r="GX5" s="1012"/>
      <c r="GY5" s="1012"/>
      <c r="GZ5" s="1012"/>
      <c r="HA5" s="1012"/>
      <c r="HB5" s="1012"/>
      <c r="HC5" s="1012"/>
      <c r="HD5" s="1012"/>
      <c r="HE5" s="1012"/>
      <c r="HF5" s="1012"/>
      <c r="HG5" s="1012"/>
      <c r="HH5" s="1012"/>
      <c r="HI5" s="1012"/>
      <c r="HJ5" s="1012"/>
      <c r="HK5" s="1012"/>
      <c r="HL5" s="1012"/>
      <c r="HM5" s="1012"/>
      <c r="HN5" s="628"/>
      <c r="HO5" s="628"/>
      <c r="HP5" s="115"/>
      <c r="HQ5" s="115"/>
      <c r="HR5" s="115"/>
      <c r="HS5" s="115"/>
      <c r="HT5" s="115"/>
      <c r="HU5" s="115"/>
      <c r="HV5" s="115"/>
      <c r="HW5" s="115"/>
      <c r="HX5" s="115"/>
      <c r="HY5" s="115"/>
      <c r="HZ5" s="115"/>
      <c r="IA5" s="115"/>
      <c r="IB5" s="115"/>
      <c r="IC5" s="115"/>
      <c r="ID5" s="115"/>
      <c r="IE5" s="115"/>
      <c r="IF5" s="115"/>
      <c r="IG5" s="115"/>
      <c r="IH5" s="115"/>
      <c r="II5" s="115"/>
      <c r="IJ5" s="115"/>
      <c r="IK5" s="115"/>
      <c r="IL5" s="115"/>
      <c r="IM5" s="115"/>
      <c r="IN5" s="115"/>
      <c r="IO5" s="115"/>
      <c r="IP5" s="115"/>
      <c r="IQ5" s="115"/>
      <c r="IR5" s="115"/>
      <c r="IS5" s="115"/>
      <c r="IT5" s="115"/>
      <c r="IU5" s="115"/>
    </row>
    <row r="6" spans="1:255" s="108" customFormat="1" ht="13.15" customHeight="1">
      <c r="B6" s="33" t="s">
        <v>2503</v>
      </c>
      <c r="D6" s="1"/>
      <c r="E6" s="5"/>
      <c r="G6" s="1546" t="s">
        <v>4074</v>
      </c>
      <c r="J6" s="802" t="s">
        <v>3168</v>
      </c>
      <c r="N6" s="1030" t="str">
        <f>'Part I-Project Information'!$J$28</f>
        <v>Atlanta-Sandy Springs-Marietta</v>
      </c>
      <c r="O6" s="1030"/>
      <c r="P6" s="558">
        <f>VLOOKUP('Part I-Project Information'!$J$28,'DCA Underwriting Assumptions'!$C$81:$D$191,2)</f>
        <v>66300</v>
      </c>
      <c r="Q6" s="628"/>
      <c r="R6" s="1032" t="s">
        <v>3601</v>
      </c>
      <c r="S6" s="1032"/>
      <c r="V6" s="1011"/>
      <c r="W6" s="1011"/>
      <c r="X6" s="1011"/>
      <c r="Y6" s="1011"/>
      <c r="Z6" s="1011"/>
      <c r="AA6" s="1011"/>
      <c r="AB6" s="1011"/>
      <c r="AC6" s="1011"/>
      <c r="AD6" s="1011"/>
      <c r="AE6" s="1011"/>
      <c r="AF6" s="1011"/>
      <c r="AG6" s="1011"/>
      <c r="AH6" s="1011"/>
      <c r="AI6" s="1011"/>
      <c r="AJ6" s="1011"/>
      <c r="AK6" s="1011"/>
      <c r="AL6" s="1011"/>
      <c r="AM6" s="1011"/>
      <c r="AN6" s="1011"/>
      <c r="AO6" s="1011"/>
      <c r="AP6" s="1011"/>
      <c r="AQ6" s="1011"/>
      <c r="AR6" s="1011"/>
      <c r="AS6" s="1011"/>
      <c r="AT6" s="1011"/>
      <c r="AU6" s="1011"/>
      <c r="AV6" s="1011"/>
      <c r="AW6" s="1011"/>
      <c r="AX6" s="1011"/>
      <c r="AY6" s="1011"/>
      <c r="AZ6" s="1011"/>
      <c r="BA6" s="1011"/>
      <c r="BB6" s="1011"/>
      <c r="BC6" s="1011"/>
      <c r="BD6" s="1011"/>
      <c r="BE6" s="1011"/>
      <c r="BF6" s="1011"/>
      <c r="BG6" s="1011"/>
      <c r="BH6" s="1011"/>
      <c r="BI6" s="1011"/>
      <c r="BJ6" s="1011"/>
      <c r="BK6" s="1011"/>
      <c r="BL6" s="1011"/>
      <c r="BM6" s="1011"/>
      <c r="BN6" s="1011"/>
      <c r="BO6" s="1011"/>
      <c r="BP6" s="1011"/>
      <c r="BQ6" s="1011"/>
      <c r="BR6" s="1011"/>
      <c r="BS6" s="1011"/>
      <c r="BT6" s="1011"/>
      <c r="BU6" s="1011"/>
      <c r="BV6" s="1011"/>
      <c r="BW6" s="1011"/>
      <c r="BX6" s="1011"/>
      <c r="BY6" s="1011"/>
      <c r="BZ6" s="1011"/>
      <c r="CA6" s="1011"/>
      <c r="CB6" s="1011"/>
      <c r="CC6" s="1011"/>
      <c r="CD6" s="1012"/>
      <c r="CE6" s="1012"/>
      <c r="CF6" s="1012"/>
      <c r="CG6" s="1012"/>
      <c r="CH6" s="1012"/>
      <c r="CI6" s="1012"/>
      <c r="CJ6" s="1012"/>
      <c r="CK6" s="1012"/>
      <c r="CL6" s="1012"/>
      <c r="CM6" s="1012"/>
      <c r="CN6" s="1012"/>
      <c r="CO6" s="1012"/>
      <c r="CP6" s="1012"/>
      <c r="CQ6" s="1012"/>
      <c r="CR6" s="1012"/>
      <c r="CS6" s="1012"/>
      <c r="CT6" s="1012"/>
      <c r="CU6" s="1012"/>
      <c r="CV6" s="1012"/>
      <c r="CW6" s="1012"/>
      <c r="CX6" s="1012"/>
      <c r="CY6" s="1012"/>
      <c r="CZ6" s="1012"/>
      <c r="DA6" s="1012"/>
      <c r="DB6" s="1012"/>
      <c r="DC6" s="1012"/>
      <c r="DD6" s="1012"/>
      <c r="DE6" s="1012"/>
      <c r="DF6" s="1012"/>
      <c r="DG6" s="1012"/>
      <c r="DH6" s="1012"/>
      <c r="DI6" s="1012"/>
      <c r="DJ6" s="1012"/>
      <c r="DK6" s="1012"/>
      <c r="DL6" s="1012"/>
      <c r="DM6" s="1012"/>
      <c r="DN6" s="1012"/>
      <c r="DO6" s="1012"/>
      <c r="DP6" s="1012"/>
      <c r="DQ6" s="1012"/>
      <c r="DR6" s="1012"/>
      <c r="DS6" s="1012"/>
      <c r="DT6" s="1012"/>
      <c r="DU6" s="1012"/>
      <c r="DV6" s="1012"/>
      <c r="DW6" s="1012"/>
      <c r="DX6" s="1012"/>
      <c r="DY6" s="1012"/>
      <c r="DZ6" s="1012"/>
      <c r="EA6" s="1012"/>
      <c r="EB6" s="1012"/>
      <c r="EC6" s="1012"/>
      <c r="ED6" s="1012"/>
      <c r="EE6" s="1012"/>
      <c r="EF6" s="1012"/>
      <c r="EG6" s="1012"/>
      <c r="EH6" s="1012"/>
      <c r="EI6" s="1012"/>
      <c r="EJ6" s="1012"/>
      <c r="EK6" s="1012"/>
      <c r="EL6" s="1012"/>
      <c r="EM6" s="1012"/>
      <c r="EN6" s="1012"/>
      <c r="EO6" s="1012"/>
      <c r="EP6" s="1012"/>
      <c r="EQ6" s="1012"/>
      <c r="ER6" s="1012"/>
      <c r="ES6" s="1012"/>
      <c r="ET6" s="1012"/>
      <c r="EU6" s="1012"/>
      <c r="EV6" s="629"/>
      <c r="EW6" s="629"/>
      <c r="EX6" s="629"/>
      <c r="EY6" s="629"/>
      <c r="EZ6" s="629"/>
      <c r="FA6" s="629"/>
      <c r="FB6" s="629"/>
      <c r="FC6" s="629"/>
      <c r="FD6" s="629"/>
      <c r="FE6" s="629"/>
      <c r="FF6" s="629"/>
      <c r="FG6" s="629"/>
      <c r="FH6" s="629"/>
      <c r="FI6" s="629"/>
      <c r="FJ6" s="629"/>
      <c r="FK6" s="629"/>
      <c r="FL6" s="629"/>
      <c r="FM6" s="629"/>
      <c r="FN6" s="629"/>
      <c r="FO6" s="629"/>
      <c r="FP6" s="629"/>
      <c r="FQ6" s="629"/>
      <c r="FR6" s="629"/>
      <c r="FS6" s="629"/>
      <c r="FT6" s="629"/>
      <c r="FU6" s="629"/>
      <c r="FV6" s="629"/>
      <c r="FW6" s="629"/>
      <c r="FX6" s="629"/>
      <c r="FY6" s="629"/>
      <c r="FZ6" s="629"/>
      <c r="GA6" s="629"/>
      <c r="GB6" s="629"/>
      <c r="GC6" s="629"/>
      <c r="GD6" s="629"/>
      <c r="GE6" s="629"/>
      <c r="GF6" s="629"/>
      <c r="GG6" s="629"/>
      <c r="GH6" s="629"/>
      <c r="GI6" s="629"/>
      <c r="GJ6" s="628"/>
      <c r="GK6" s="628"/>
      <c r="GL6" s="628"/>
      <c r="GM6" s="628"/>
      <c r="GN6" s="628"/>
      <c r="GO6" s="1012"/>
      <c r="GP6" s="1012"/>
      <c r="GQ6" s="1012"/>
      <c r="GR6" s="1012"/>
      <c r="GS6" s="1012"/>
      <c r="GT6" s="1012"/>
      <c r="GU6" s="1012"/>
      <c r="GV6" s="1012"/>
      <c r="GW6" s="1012"/>
      <c r="GX6" s="1012"/>
      <c r="GY6" s="1012"/>
      <c r="GZ6" s="1012"/>
      <c r="HA6" s="1012"/>
      <c r="HB6" s="1012"/>
      <c r="HC6" s="1012"/>
      <c r="HD6" s="1012"/>
      <c r="HE6" s="1012"/>
      <c r="HF6" s="1012"/>
      <c r="HG6" s="1012"/>
      <c r="HH6" s="1012"/>
      <c r="HI6" s="1012"/>
      <c r="HJ6" s="1012"/>
      <c r="HK6" s="1012"/>
      <c r="HL6" s="1012"/>
      <c r="HM6" s="1012"/>
      <c r="HN6" s="628"/>
      <c r="HO6" s="628"/>
      <c r="HP6" s="115"/>
      <c r="HQ6" s="115"/>
      <c r="HR6" s="115"/>
      <c r="HS6" s="115"/>
      <c r="HT6" s="115"/>
      <c r="HU6" s="115"/>
      <c r="HV6" s="115"/>
      <c r="HW6" s="115"/>
      <c r="HX6" s="115"/>
      <c r="HY6" s="115"/>
      <c r="HZ6" s="115"/>
      <c r="IA6" s="115"/>
      <c r="IB6" s="115"/>
      <c r="IC6" s="115"/>
      <c r="ID6" s="115"/>
      <c r="IE6" s="115"/>
      <c r="IF6" s="115"/>
      <c r="IG6" s="115"/>
      <c r="IH6" s="115"/>
      <c r="II6" s="115"/>
      <c r="IJ6" s="115"/>
      <c r="IK6" s="115"/>
      <c r="IL6" s="115"/>
      <c r="IM6" s="115"/>
      <c r="IN6" s="115"/>
      <c r="IO6" s="115"/>
      <c r="IP6" s="115"/>
      <c r="IQ6" s="115"/>
      <c r="IR6" s="115"/>
      <c r="IS6" s="115"/>
      <c r="IT6" s="115"/>
      <c r="IU6" s="115"/>
    </row>
    <row r="7" spans="1:255" s="108" customFormat="1" ht="13.9" customHeight="1">
      <c r="A7" s="1029" t="str">
        <f>IF(A48&gt;0,"Finish!","")</f>
        <v>Finish!</v>
      </c>
      <c r="B7" s="5"/>
      <c r="C7" s="1"/>
      <c r="D7" s="5"/>
      <c r="E7" s="1"/>
      <c r="F7" s="1"/>
      <c r="G7" s="1"/>
      <c r="H7" s="1"/>
      <c r="I7" s="1"/>
      <c r="J7" s="802" t="s">
        <v>3169</v>
      </c>
      <c r="K7" s="1"/>
      <c r="L7" s="1"/>
      <c r="M7" s="1"/>
      <c r="N7" s="37"/>
      <c r="O7" s="37"/>
      <c r="P7" s="664"/>
      <c r="Q7" s="664"/>
      <c r="R7" s="665"/>
      <c r="S7" s="666" t="s">
        <v>3598</v>
      </c>
      <c r="T7" s="554"/>
      <c r="U7" s="555"/>
      <c r="V7" s="1011"/>
      <c r="W7" s="1011"/>
      <c r="X7" s="1011"/>
      <c r="Y7" s="1011"/>
      <c r="Z7" s="1011"/>
      <c r="AA7" s="1011"/>
      <c r="AB7" s="1011"/>
      <c r="AC7" s="1011"/>
      <c r="AD7" s="1011"/>
      <c r="AE7" s="1011"/>
      <c r="AF7" s="1011"/>
      <c r="AG7" s="1011"/>
      <c r="AH7" s="1011"/>
      <c r="AI7" s="1011"/>
      <c r="AJ7" s="1011"/>
      <c r="AK7" s="1011"/>
      <c r="AL7" s="1011"/>
      <c r="AM7" s="1011"/>
      <c r="AN7" s="1011"/>
      <c r="AO7" s="1011"/>
      <c r="AP7" s="1011"/>
      <c r="AQ7" s="1011"/>
      <c r="AR7" s="1011"/>
      <c r="AS7" s="1011"/>
      <c r="AT7" s="1011"/>
      <c r="AU7" s="1011"/>
      <c r="AV7" s="1011"/>
      <c r="AW7" s="1011"/>
      <c r="AX7" s="1011"/>
      <c r="AY7" s="1011"/>
      <c r="AZ7" s="1011"/>
      <c r="BA7" s="1011"/>
      <c r="BB7" s="1011"/>
      <c r="BC7" s="1011"/>
      <c r="BD7" s="1011"/>
      <c r="BE7" s="1011"/>
      <c r="BF7" s="1011"/>
      <c r="BG7" s="1011"/>
      <c r="BH7" s="1011"/>
      <c r="BI7" s="1011"/>
      <c r="BJ7" s="1011"/>
      <c r="BK7" s="1011"/>
      <c r="BL7" s="1011"/>
      <c r="BM7" s="1011"/>
      <c r="BN7" s="1011"/>
      <c r="BO7" s="1011"/>
      <c r="BP7" s="1011"/>
      <c r="BQ7" s="1011"/>
      <c r="BR7" s="1011"/>
      <c r="BS7" s="1011"/>
      <c r="BT7" s="1011"/>
      <c r="BU7" s="1011"/>
      <c r="BV7" s="1011"/>
      <c r="BW7" s="1011"/>
      <c r="BX7" s="1011"/>
      <c r="BY7" s="1011"/>
      <c r="BZ7" s="1011"/>
      <c r="CA7" s="1011"/>
      <c r="CB7" s="1011"/>
      <c r="CC7" s="1011"/>
      <c r="CD7" s="1012"/>
      <c r="CE7" s="1012"/>
      <c r="CF7" s="1012"/>
      <c r="CG7" s="1012"/>
      <c r="CH7" s="1012"/>
      <c r="CI7" s="1012"/>
      <c r="CJ7" s="1012"/>
      <c r="CK7" s="1012"/>
      <c r="CL7" s="1012"/>
      <c r="CM7" s="1012"/>
      <c r="CN7" s="1012"/>
      <c r="CO7" s="1012"/>
      <c r="CP7" s="1012"/>
      <c r="CQ7" s="1012"/>
      <c r="CR7" s="1012"/>
      <c r="CS7" s="1012"/>
      <c r="CT7" s="1012"/>
      <c r="CU7" s="1012"/>
      <c r="CV7" s="1012"/>
      <c r="CW7" s="1012"/>
      <c r="CX7" s="1012"/>
      <c r="CY7" s="1012"/>
      <c r="CZ7" s="1012"/>
      <c r="DA7" s="1012"/>
      <c r="DB7" s="1012"/>
      <c r="DC7" s="1012"/>
      <c r="DD7" s="1012"/>
      <c r="DE7" s="1012"/>
      <c r="DF7" s="1012"/>
      <c r="DG7" s="1012"/>
      <c r="DH7" s="1012"/>
      <c r="DI7" s="1012"/>
      <c r="DJ7" s="1012"/>
      <c r="DK7" s="1012"/>
      <c r="DL7" s="1012"/>
      <c r="DM7" s="1012"/>
      <c r="DN7" s="1012"/>
      <c r="DO7" s="1012"/>
      <c r="DP7" s="1012"/>
      <c r="DQ7" s="1012"/>
      <c r="DR7" s="1012"/>
      <c r="DS7" s="1012"/>
      <c r="DT7" s="1012"/>
      <c r="DU7" s="1012"/>
      <c r="DV7" s="1012"/>
      <c r="DW7" s="1012"/>
      <c r="DX7" s="1012"/>
      <c r="DY7" s="1012"/>
      <c r="DZ7" s="1012"/>
      <c r="EA7" s="1012"/>
      <c r="EB7" s="1012"/>
      <c r="EC7" s="1012"/>
      <c r="ED7" s="1012"/>
      <c r="EE7" s="1012"/>
      <c r="EF7" s="1012"/>
      <c r="EG7" s="1012"/>
      <c r="EH7" s="1012"/>
      <c r="EI7" s="1012"/>
      <c r="EJ7" s="1012"/>
      <c r="EK7" s="1012"/>
      <c r="EL7" s="1012"/>
      <c r="EM7" s="1012"/>
      <c r="EN7" s="1012"/>
      <c r="EO7" s="1012"/>
      <c r="EP7" s="1012"/>
      <c r="EQ7" s="1012"/>
      <c r="ER7" s="1012"/>
      <c r="ES7" s="1012"/>
      <c r="ET7" s="1012"/>
      <c r="EU7" s="1012"/>
      <c r="EV7" s="629"/>
      <c r="EW7" s="629"/>
      <c r="EX7" s="629"/>
      <c r="EY7" s="629"/>
      <c r="EZ7" s="629"/>
      <c r="FA7" s="629"/>
      <c r="FB7" s="629"/>
      <c r="FC7" s="629"/>
      <c r="FD7" s="629"/>
      <c r="FE7" s="629"/>
      <c r="FF7" s="629"/>
      <c r="FG7" s="629"/>
      <c r="FH7" s="629"/>
      <c r="FI7" s="629"/>
      <c r="FJ7" s="629"/>
      <c r="FK7" s="629"/>
      <c r="FL7" s="629"/>
      <c r="FM7" s="629"/>
      <c r="FN7" s="629"/>
      <c r="FO7" s="629"/>
      <c r="FP7" s="629"/>
      <c r="FQ7" s="629"/>
      <c r="FR7" s="629"/>
      <c r="FS7" s="629"/>
      <c r="FT7" s="629"/>
      <c r="FU7" s="629"/>
      <c r="FV7" s="629"/>
      <c r="FW7" s="629"/>
      <c r="FX7" s="629"/>
      <c r="FY7" s="629"/>
      <c r="FZ7" s="629"/>
      <c r="GA7" s="629"/>
      <c r="GB7" s="629"/>
      <c r="GC7" s="629"/>
      <c r="GD7" s="629"/>
      <c r="GE7" s="629"/>
      <c r="GF7" s="629"/>
      <c r="GG7" s="629"/>
      <c r="GH7" s="629"/>
      <c r="GI7" s="629"/>
      <c r="GJ7" s="628"/>
      <c r="GK7" s="628"/>
      <c r="GL7" s="628"/>
      <c r="GM7" s="628"/>
      <c r="GN7" s="628"/>
      <c r="GO7" s="1012"/>
      <c r="GP7" s="1012"/>
      <c r="GQ7" s="1012"/>
      <c r="GR7" s="1012"/>
      <c r="GS7" s="1012"/>
      <c r="GT7" s="1012"/>
      <c r="GU7" s="1012"/>
      <c r="GV7" s="1012"/>
      <c r="GW7" s="1012"/>
      <c r="GX7" s="1012"/>
      <c r="GY7" s="1012"/>
      <c r="GZ7" s="1012"/>
      <c r="HA7" s="1012"/>
      <c r="HB7" s="1012"/>
      <c r="HC7" s="1012"/>
      <c r="HD7" s="1012"/>
      <c r="HE7" s="1012"/>
      <c r="HF7" s="1012"/>
      <c r="HG7" s="1012"/>
      <c r="HH7" s="1012"/>
      <c r="HI7" s="1012"/>
      <c r="HJ7" s="1012"/>
      <c r="HK7" s="1012"/>
      <c r="HL7" s="1012"/>
      <c r="HM7" s="1012"/>
      <c r="HN7" s="628"/>
      <c r="HO7" s="628"/>
      <c r="HP7" s="115"/>
      <c r="HQ7" s="115"/>
      <c r="HR7" s="115"/>
      <c r="HS7" s="115"/>
      <c r="HT7" s="115"/>
      <c r="HU7" s="115"/>
      <c r="HV7" s="115"/>
      <c r="HW7" s="115"/>
      <c r="HX7" s="115"/>
      <c r="HY7" s="115"/>
      <c r="HZ7" s="115"/>
      <c r="IA7" s="115"/>
      <c r="IB7" s="115"/>
      <c r="IC7" s="115"/>
      <c r="ID7" s="115"/>
      <c r="IE7" s="115"/>
      <c r="IF7" s="115"/>
      <c r="IG7" s="115"/>
      <c r="IH7" s="115"/>
      <c r="II7" s="115"/>
      <c r="IJ7" s="115"/>
      <c r="IK7" s="115"/>
      <c r="IL7" s="115"/>
      <c r="IM7" s="115"/>
      <c r="IN7" s="115"/>
      <c r="IO7" s="115"/>
      <c r="IP7" s="115"/>
      <c r="IQ7" s="115"/>
      <c r="IR7" s="115"/>
      <c r="IS7" s="115"/>
      <c r="IT7" s="115"/>
      <c r="IU7" s="115"/>
    </row>
    <row r="8" spans="1:255" s="133" customFormat="1" ht="13.9" customHeight="1">
      <c r="A8" s="1029"/>
      <c r="B8" s="198" t="s">
        <v>1927</v>
      </c>
      <c r="C8" s="802" t="s">
        <v>188</v>
      </c>
      <c r="D8" s="802" t="s">
        <v>712</v>
      </c>
      <c r="E8" s="802" t="s">
        <v>1925</v>
      </c>
      <c r="F8" s="802" t="s">
        <v>1925</v>
      </c>
      <c r="G8" s="802" t="s">
        <v>3145</v>
      </c>
      <c r="H8" s="802" t="s">
        <v>3143</v>
      </c>
      <c r="I8" s="802" t="s">
        <v>1191</v>
      </c>
      <c r="J8" s="802" t="s">
        <v>3170</v>
      </c>
      <c r="K8" s="1028" t="s">
        <v>152</v>
      </c>
      <c r="L8" s="1028"/>
      <c r="M8" s="802" t="s">
        <v>3121</v>
      </c>
      <c r="N8" s="802" t="s">
        <v>699</v>
      </c>
      <c r="O8" s="802" t="s">
        <v>417</v>
      </c>
      <c r="P8" s="1031" t="s">
        <v>1446</v>
      </c>
      <c r="Q8" s="1031"/>
      <c r="R8" s="803" t="s">
        <v>3597</v>
      </c>
      <c r="S8" s="803" t="s">
        <v>3599</v>
      </c>
      <c r="T8" s="556"/>
      <c r="U8" s="557"/>
      <c r="V8" s="1011"/>
      <c r="W8" s="1011"/>
      <c r="X8" s="1011"/>
      <c r="Y8" s="1011"/>
      <c r="Z8" s="1011"/>
      <c r="AA8" s="1011"/>
      <c r="AB8" s="1011"/>
      <c r="AC8" s="1011"/>
      <c r="AD8" s="1011"/>
      <c r="AE8" s="1011"/>
      <c r="AF8" s="1011"/>
      <c r="AG8" s="1011"/>
      <c r="AH8" s="1011"/>
      <c r="AI8" s="1011"/>
      <c r="AJ8" s="1011"/>
      <c r="AK8" s="1011"/>
      <c r="AL8" s="1011"/>
      <c r="AM8" s="1011"/>
      <c r="AN8" s="1011"/>
      <c r="AO8" s="1011"/>
      <c r="AP8" s="1011"/>
      <c r="AQ8" s="1011"/>
      <c r="AR8" s="1011"/>
      <c r="AS8" s="1011"/>
      <c r="AT8" s="1011"/>
      <c r="AU8" s="1011"/>
      <c r="AV8" s="1011"/>
      <c r="AW8" s="1011"/>
      <c r="AX8" s="1011"/>
      <c r="AY8" s="1011"/>
      <c r="AZ8" s="1011"/>
      <c r="BA8" s="1011"/>
      <c r="BB8" s="1011"/>
      <c r="BC8" s="1011"/>
      <c r="BD8" s="1011"/>
      <c r="BE8" s="1011"/>
      <c r="BF8" s="1011"/>
      <c r="BG8" s="1011"/>
      <c r="BH8" s="1011"/>
      <c r="BI8" s="1011"/>
      <c r="BJ8" s="1011"/>
      <c r="BK8" s="1011"/>
      <c r="BL8" s="1011"/>
      <c r="BM8" s="1011"/>
      <c r="BN8" s="1011"/>
      <c r="BO8" s="1011"/>
      <c r="BP8" s="1011"/>
      <c r="BQ8" s="1011"/>
      <c r="BR8" s="1011"/>
      <c r="BS8" s="1011"/>
      <c r="BT8" s="1011"/>
      <c r="BU8" s="1011"/>
      <c r="BV8" s="1011"/>
      <c r="BW8" s="1011"/>
      <c r="BX8" s="1011"/>
      <c r="BY8" s="1011"/>
      <c r="BZ8" s="1011"/>
      <c r="CA8" s="1011"/>
      <c r="CB8" s="1011"/>
      <c r="CC8" s="1011"/>
      <c r="CD8" s="1012"/>
      <c r="CE8" s="1012"/>
      <c r="CF8" s="1012"/>
      <c r="CG8" s="1012"/>
      <c r="CH8" s="1012"/>
      <c r="CI8" s="1012"/>
      <c r="CJ8" s="1012"/>
      <c r="CK8" s="1012"/>
      <c r="CL8" s="1012"/>
      <c r="CM8" s="1012"/>
      <c r="CN8" s="1012"/>
      <c r="CO8" s="1012"/>
      <c r="CP8" s="1012"/>
      <c r="CQ8" s="1012"/>
      <c r="CR8" s="1012"/>
      <c r="CS8" s="1012"/>
      <c r="CT8" s="1012"/>
      <c r="CU8" s="1012"/>
      <c r="CV8" s="1012"/>
      <c r="CW8" s="1012"/>
      <c r="CX8" s="1012"/>
      <c r="CY8" s="1012"/>
      <c r="CZ8" s="1012"/>
      <c r="DA8" s="1012"/>
      <c r="DB8" s="1012"/>
      <c r="DC8" s="1012"/>
      <c r="DD8" s="1012"/>
      <c r="DE8" s="1012"/>
      <c r="DF8" s="1012"/>
      <c r="DG8" s="1012"/>
      <c r="DH8" s="1012"/>
      <c r="DI8" s="1012"/>
      <c r="DJ8" s="1012"/>
      <c r="DK8" s="1012"/>
      <c r="DL8" s="1012"/>
      <c r="DM8" s="1012"/>
      <c r="DN8" s="1012"/>
      <c r="DO8" s="1012"/>
      <c r="DP8" s="1012"/>
      <c r="DQ8" s="1012"/>
      <c r="DR8" s="1012"/>
      <c r="DS8" s="1012"/>
      <c r="DT8" s="1012"/>
      <c r="DU8" s="1012"/>
      <c r="DV8" s="1012"/>
      <c r="DW8" s="1012"/>
      <c r="DX8" s="1012"/>
      <c r="DY8" s="1012"/>
      <c r="DZ8" s="1012"/>
      <c r="EA8" s="1012"/>
      <c r="EB8" s="1012"/>
      <c r="EC8" s="1012"/>
      <c r="ED8" s="1012"/>
      <c r="EE8" s="1012"/>
      <c r="EF8" s="1012"/>
      <c r="EG8" s="1012"/>
      <c r="EH8" s="1012"/>
      <c r="EI8" s="1012"/>
      <c r="EJ8" s="1012"/>
      <c r="EK8" s="1012"/>
      <c r="EL8" s="1012"/>
      <c r="EM8" s="1012"/>
      <c r="EN8" s="1012"/>
      <c r="EO8" s="1012"/>
      <c r="EP8" s="1012"/>
      <c r="EQ8" s="1012"/>
      <c r="ER8" s="1012"/>
      <c r="ES8" s="1012"/>
      <c r="ET8" s="1012"/>
      <c r="EU8" s="1012"/>
      <c r="EV8" s="1012" t="s">
        <v>1908</v>
      </c>
      <c r="EW8" s="635" t="s">
        <v>3206</v>
      </c>
      <c r="EX8" s="635" t="s">
        <v>3207</v>
      </c>
      <c r="EY8" s="635" t="s">
        <v>3208</v>
      </c>
      <c r="EZ8" s="635" t="s">
        <v>3209</v>
      </c>
      <c r="FA8" s="1012" t="s">
        <v>3278</v>
      </c>
      <c r="FB8" s="1012" t="s">
        <v>3278</v>
      </c>
      <c r="FC8" s="1012" t="s">
        <v>3278</v>
      </c>
      <c r="FD8" s="1012" t="s">
        <v>3278</v>
      </c>
      <c r="FE8" s="1012" t="s">
        <v>3278</v>
      </c>
      <c r="FF8" s="635" t="s">
        <v>619</v>
      </c>
      <c r="FG8" s="635" t="s">
        <v>3206</v>
      </c>
      <c r="FH8" s="635" t="s">
        <v>3207</v>
      </c>
      <c r="FI8" s="635" t="s">
        <v>3208</v>
      </c>
      <c r="FJ8" s="635" t="s">
        <v>3209</v>
      </c>
      <c r="FK8" s="1012" t="s">
        <v>3280</v>
      </c>
      <c r="FL8" s="1012" t="s">
        <v>3280</v>
      </c>
      <c r="FM8" s="1012" t="s">
        <v>3280</v>
      </c>
      <c r="FN8" s="1012" t="s">
        <v>3280</v>
      </c>
      <c r="FO8" s="1012" t="s">
        <v>3280</v>
      </c>
      <c r="FP8" s="1012" t="s">
        <v>392</v>
      </c>
      <c r="FQ8" s="1012" t="s">
        <v>392</v>
      </c>
      <c r="FR8" s="1012" t="s">
        <v>392</v>
      </c>
      <c r="FS8" s="1012" t="s">
        <v>392</v>
      </c>
      <c r="FT8" s="1012" t="s">
        <v>392</v>
      </c>
      <c r="FU8" s="1012" t="s">
        <v>393</v>
      </c>
      <c r="FV8" s="1012" t="s">
        <v>393</v>
      </c>
      <c r="FW8" s="1012" t="s">
        <v>393</v>
      </c>
      <c r="FX8" s="1012" t="s">
        <v>393</v>
      </c>
      <c r="FY8" s="1012" t="s">
        <v>393</v>
      </c>
      <c r="FZ8" s="1012" t="s">
        <v>394</v>
      </c>
      <c r="GA8" s="1012" t="s">
        <v>394</v>
      </c>
      <c r="GB8" s="1012" t="s">
        <v>394</v>
      </c>
      <c r="GC8" s="1012" t="s">
        <v>394</v>
      </c>
      <c r="GD8" s="1012" t="s">
        <v>394</v>
      </c>
      <c r="GE8" s="1012" t="s">
        <v>395</v>
      </c>
      <c r="GF8" s="1012" t="s">
        <v>395</v>
      </c>
      <c r="GG8" s="1012" t="s">
        <v>395</v>
      </c>
      <c r="GH8" s="1012" t="s">
        <v>395</v>
      </c>
      <c r="GI8" s="1012" t="s">
        <v>395</v>
      </c>
      <c r="GJ8" s="1012" t="s">
        <v>1907</v>
      </c>
      <c r="GK8" s="1012" t="s">
        <v>1907</v>
      </c>
      <c r="GL8" s="1012" t="s">
        <v>1907</v>
      </c>
      <c r="GM8" s="1012" t="s">
        <v>1907</v>
      </c>
      <c r="GN8" s="1012" t="s">
        <v>1907</v>
      </c>
      <c r="GO8" s="1012"/>
      <c r="GP8" s="1012"/>
      <c r="GQ8" s="1012"/>
      <c r="GR8" s="1012"/>
      <c r="GS8" s="1012"/>
      <c r="GT8" s="1012"/>
      <c r="GU8" s="1012"/>
      <c r="GV8" s="1012"/>
      <c r="GW8" s="1012"/>
      <c r="GX8" s="1012"/>
      <c r="GY8" s="1012"/>
      <c r="GZ8" s="1012"/>
      <c r="HA8" s="1012"/>
      <c r="HB8" s="1012"/>
      <c r="HC8" s="1012"/>
      <c r="HD8" s="1012"/>
      <c r="HE8" s="1012"/>
      <c r="HF8" s="1012"/>
      <c r="HG8" s="1012"/>
      <c r="HH8" s="1012"/>
      <c r="HI8" s="1012"/>
      <c r="HJ8" s="1012"/>
      <c r="HK8" s="1012"/>
      <c r="HL8" s="1012"/>
      <c r="HM8" s="1012"/>
      <c r="HN8" s="631"/>
      <c r="HO8" s="631"/>
      <c r="HP8" s="107"/>
      <c r="HQ8" s="107"/>
      <c r="HR8" s="107"/>
      <c r="HS8" s="107"/>
      <c r="HT8" s="107"/>
      <c r="HU8" s="107"/>
      <c r="HV8" s="107"/>
      <c r="HW8" s="107"/>
      <c r="HX8" s="107"/>
      <c r="HY8" s="107"/>
      <c r="HZ8" s="107"/>
      <c r="IA8" s="107"/>
      <c r="IB8" s="107"/>
      <c r="IC8" s="107"/>
      <c r="ID8" s="107"/>
      <c r="IE8" s="107"/>
      <c r="IF8" s="107"/>
      <c r="IG8" s="107"/>
      <c r="IH8" s="107"/>
      <c r="II8" s="107"/>
      <c r="IJ8" s="107"/>
      <c r="IK8" s="107"/>
      <c r="IL8" s="107"/>
      <c r="IM8" s="107"/>
      <c r="IN8" s="107"/>
      <c r="IO8" s="107"/>
      <c r="IP8" s="107"/>
      <c r="IQ8" s="107"/>
      <c r="IR8" s="107"/>
      <c r="IS8" s="107"/>
      <c r="IT8" s="107"/>
      <c r="IU8" s="107"/>
    </row>
    <row r="9" spans="1:255" s="133" customFormat="1" ht="13.9" customHeight="1">
      <c r="A9" s="1029"/>
      <c r="B9" s="198" t="s">
        <v>1730</v>
      </c>
      <c r="C9" s="802" t="s">
        <v>187</v>
      </c>
      <c r="D9" s="802" t="s">
        <v>189</v>
      </c>
      <c r="E9" s="802" t="s">
        <v>1926</v>
      </c>
      <c r="F9" s="802" t="s">
        <v>1704</v>
      </c>
      <c r="G9" s="802" t="s">
        <v>1705</v>
      </c>
      <c r="H9" s="802" t="s">
        <v>3144</v>
      </c>
      <c r="I9" s="802" t="s">
        <v>1192</v>
      </c>
      <c r="J9" s="625" t="s">
        <v>383</v>
      </c>
      <c r="K9" s="802" t="s">
        <v>1987</v>
      </c>
      <c r="L9" s="802" t="s">
        <v>706</v>
      </c>
      <c r="M9" s="802" t="s">
        <v>1925</v>
      </c>
      <c r="N9" s="802" t="s">
        <v>1730</v>
      </c>
      <c r="O9" s="802" t="s">
        <v>418</v>
      </c>
      <c r="P9" s="803" t="s">
        <v>1444</v>
      </c>
      <c r="Q9" s="803" t="s">
        <v>1445</v>
      </c>
      <c r="R9" s="803" t="s">
        <v>1927</v>
      </c>
      <c r="S9" s="803" t="s">
        <v>3600</v>
      </c>
      <c r="T9" s="906" t="s">
        <v>2549</v>
      </c>
      <c r="U9" s="906"/>
      <c r="V9" s="1011"/>
      <c r="W9" s="1011"/>
      <c r="X9" s="1011"/>
      <c r="Y9" s="1011"/>
      <c r="Z9" s="1011"/>
      <c r="AA9" s="1011"/>
      <c r="AB9" s="1011"/>
      <c r="AC9" s="1011"/>
      <c r="AD9" s="1011"/>
      <c r="AE9" s="1011"/>
      <c r="AF9" s="1011"/>
      <c r="AG9" s="1011"/>
      <c r="AH9" s="1011"/>
      <c r="AI9" s="1011"/>
      <c r="AJ9" s="1011"/>
      <c r="AK9" s="1011"/>
      <c r="AL9" s="1011"/>
      <c r="AM9" s="1011"/>
      <c r="AN9" s="1011"/>
      <c r="AO9" s="1011"/>
      <c r="AP9" s="1011"/>
      <c r="AQ9" s="1011"/>
      <c r="AR9" s="1011"/>
      <c r="AS9" s="1011"/>
      <c r="AT9" s="1011"/>
      <c r="AU9" s="1011"/>
      <c r="AV9" s="1011"/>
      <c r="AW9" s="1011"/>
      <c r="AX9" s="1011"/>
      <c r="AY9" s="1011"/>
      <c r="AZ9" s="1011"/>
      <c r="BA9" s="1011"/>
      <c r="BB9" s="1011"/>
      <c r="BC9" s="1011"/>
      <c r="BD9" s="1011"/>
      <c r="BE9" s="1011"/>
      <c r="BF9" s="1011"/>
      <c r="BG9" s="1011"/>
      <c r="BH9" s="1011"/>
      <c r="BI9" s="1011"/>
      <c r="BJ9" s="1011"/>
      <c r="BK9" s="1011"/>
      <c r="BL9" s="1011"/>
      <c r="BM9" s="1011"/>
      <c r="BN9" s="1011"/>
      <c r="BO9" s="1011"/>
      <c r="BP9" s="1011"/>
      <c r="BQ9" s="1011"/>
      <c r="BR9" s="1011"/>
      <c r="BS9" s="1011"/>
      <c r="BT9" s="1011"/>
      <c r="BU9" s="1011"/>
      <c r="BV9" s="1011"/>
      <c r="BW9" s="1011"/>
      <c r="BX9" s="1011"/>
      <c r="BY9" s="1011"/>
      <c r="BZ9" s="1011"/>
      <c r="CA9" s="1011"/>
      <c r="CB9" s="1011"/>
      <c r="CC9" s="1011"/>
      <c r="CD9" s="1012"/>
      <c r="CE9" s="1012"/>
      <c r="CF9" s="1012"/>
      <c r="CG9" s="1012"/>
      <c r="CH9" s="1012"/>
      <c r="CI9" s="1012"/>
      <c r="CJ9" s="1012"/>
      <c r="CK9" s="1012"/>
      <c r="CL9" s="1012"/>
      <c r="CM9" s="1012"/>
      <c r="CN9" s="1012"/>
      <c r="CO9" s="1012"/>
      <c r="CP9" s="1012"/>
      <c r="CQ9" s="1012"/>
      <c r="CR9" s="1012"/>
      <c r="CS9" s="1012"/>
      <c r="CT9" s="1012"/>
      <c r="CU9" s="1012"/>
      <c r="CV9" s="1012"/>
      <c r="CW9" s="1012"/>
      <c r="CX9" s="1012"/>
      <c r="CY9" s="1012"/>
      <c r="CZ9" s="1012"/>
      <c r="DA9" s="1012"/>
      <c r="DB9" s="1012"/>
      <c r="DC9" s="1012"/>
      <c r="DD9" s="1012"/>
      <c r="DE9" s="1012"/>
      <c r="DF9" s="1012"/>
      <c r="DG9" s="1012"/>
      <c r="DH9" s="1012"/>
      <c r="DI9" s="1012"/>
      <c r="DJ9" s="1012"/>
      <c r="DK9" s="1012"/>
      <c r="DL9" s="1012"/>
      <c r="DM9" s="1012"/>
      <c r="DN9" s="1012"/>
      <c r="DO9" s="1012"/>
      <c r="DP9" s="1012"/>
      <c r="DQ9" s="1012"/>
      <c r="DR9" s="1012"/>
      <c r="DS9" s="1012"/>
      <c r="DT9" s="1012"/>
      <c r="DU9" s="1012"/>
      <c r="DV9" s="1012"/>
      <c r="DW9" s="1012"/>
      <c r="DX9" s="1012"/>
      <c r="DY9" s="1012"/>
      <c r="DZ9" s="1012"/>
      <c r="EA9" s="1012"/>
      <c r="EB9" s="1012"/>
      <c r="EC9" s="1012"/>
      <c r="ED9" s="1012"/>
      <c r="EE9" s="1012"/>
      <c r="EF9" s="1012"/>
      <c r="EG9" s="1012"/>
      <c r="EH9" s="1012"/>
      <c r="EI9" s="1012"/>
      <c r="EJ9" s="1012"/>
      <c r="EK9" s="1012"/>
      <c r="EL9" s="1012"/>
      <c r="EM9" s="1012"/>
      <c r="EN9" s="1012"/>
      <c r="EO9" s="1012"/>
      <c r="EP9" s="1012"/>
      <c r="EQ9" s="1012"/>
      <c r="ER9" s="1012"/>
      <c r="ES9" s="1012"/>
      <c r="ET9" s="1012"/>
      <c r="EU9" s="1012"/>
      <c r="EV9" s="1012"/>
      <c r="EW9" s="635" t="s">
        <v>3277</v>
      </c>
      <c r="EX9" s="635" t="s">
        <v>3277</v>
      </c>
      <c r="EY9" s="635" t="s">
        <v>3277</v>
      </c>
      <c r="EZ9" s="635" t="s">
        <v>3277</v>
      </c>
      <c r="FA9" s="1012"/>
      <c r="FB9" s="1012"/>
      <c r="FC9" s="1012"/>
      <c r="FD9" s="1012"/>
      <c r="FE9" s="1012"/>
      <c r="FF9" s="635" t="s">
        <v>3279</v>
      </c>
      <c r="FG9" s="635" t="s">
        <v>3279</v>
      </c>
      <c r="FH9" s="635" t="s">
        <v>3279</v>
      </c>
      <c r="FI9" s="635" t="s">
        <v>3279</v>
      </c>
      <c r="FJ9" s="635" t="s">
        <v>3279</v>
      </c>
      <c r="FK9" s="1012"/>
      <c r="FL9" s="1012"/>
      <c r="FM9" s="1012"/>
      <c r="FN9" s="1012"/>
      <c r="FO9" s="1012"/>
      <c r="FP9" s="1012"/>
      <c r="FQ9" s="1012"/>
      <c r="FR9" s="1012"/>
      <c r="FS9" s="1012"/>
      <c r="FT9" s="1012"/>
      <c r="FU9" s="1012"/>
      <c r="FV9" s="1012"/>
      <c r="FW9" s="1012"/>
      <c r="FX9" s="1012"/>
      <c r="FY9" s="1012"/>
      <c r="FZ9" s="1012"/>
      <c r="GA9" s="1012"/>
      <c r="GB9" s="1012"/>
      <c r="GC9" s="1012"/>
      <c r="GD9" s="1012"/>
      <c r="GE9" s="1012"/>
      <c r="GF9" s="1012"/>
      <c r="GG9" s="1012"/>
      <c r="GH9" s="1012"/>
      <c r="GI9" s="1012"/>
      <c r="GJ9" s="1012"/>
      <c r="GK9" s="1012"/>
      <c r="GL9" s="1012"/>
      <c r="GM9" s="1012"/>
      <c r="GN9" s="1012"/>
      <c r="GO9" s="1012"/>
      <c r="GP9" s="1012"/>
      <c r="GQ9" s="1012"/>
      <c r="GR9" s="1012"/>
      <c r="GS9" s="1012"/>
      <c r="GT9" s="1012"/>
      <c r="GU9" s="1012"/>
      <c r="GV9" s="1012"/>
      <c r="GW9" s="1012"/>
      <c r="GX9" s="1012"/>
      <c r="GY9" s="1012"/>
      <c r="GZ9" s="1012"/>
      <c r="HA9" s="1012"/>
      <c r="HB9" s="1012"/>
      <c r="HC9" s="1012"/>
      <c r="HD9" s="1012"/>
      <c r="HE9" s="1012"/>
      <c r="HF9" s="1012"/>
      <c r="HG9" s="1012"/>
      <c r="HH9" s="1012"/>
      <c r="HI9" s="1012"/>
      <c r="HJ9" s="1012"/>
      <c r="HK9" s="1012"/>
      <c r="HL9" s="1012"/>
      <c r="HM9" s="1012"/>
      <c r="HN9" s="631"/>
      <c r="HO9" s="631"/>
      <c r="HP9" s="107"/>
      <c r="HQ9" s="107"/>
      <c r="HR9" s="107"/>
      <c r="HS9" s="107"/>
      <c r="HT9" s="107"/>
      <c r="HU9" s="107"/>
      <c r="HV9" s="107"/>
      <c r="HW9" s="107"/>
      <c r="HX9" s="107"/>
      <c r="HY9" s="107"/>
      <c r="HZ9" s="107"/>
      <c r="IA9" s="107"/>
      <c r="IB9" s="107"/>
      <c r="IC9" s="107"/>
      <c r="ID9" s="107"/>
      <c r="IE9" s="107"/>
      <c r="IF9" s="107"/>
      <c r="IG9" s="107"/>
      <c r="IH9" s="107"/>
      <c r="II9" s="107"/>
      <c r="IJ9" s="107"/>
      <c r="IK9" s="107"/>
      <c r="IL9" s="107"/>
      <c r="IM9" s="107"/>
      <c r="IN9" s="107"/>
      <c r="IO9" s="107"/>
      <c r="IP9" s="107"/>
      <c r="IQ9" s="107"/>
      <c r="IR9" s="107"/>
      <c r="IS9" s="107"/>
      <c r="IT9" s="107"/>
      <c r="IU9" s="107"/>
    </row>
    <row r="10" spans="1:255" ht="13.15" customHeight="1">
      <c r="A10" s="130">
        <f>IF(AND(E10&gt;0,OR(B10="",C10="",D10="",F10="",G10="", H10="",M10="",N10="",O10="")),1,"")</f>
        <v>1</v>
      </c>
      <c r="B10" s="1547" t="s">
        <v>1562</v>
      </c>
      <c r="C10" s="1548">
        <v>1</v>
      </c>
      <c r="D10" s="1549">
        <v>1</v>
      </c>
      <c r="E10" s="1550">
        <v>15</v>
      </c>
      <c r="F10" s="1550">
        <v>750</v>
      </c>
      <c r="G10" s="1550"/>
      <c r="H10" s="1550">
        <v>631</v>
      </c>
      <c r="I10" s="1550">
        <v>129</v>
      </c>
      <c r="J10" s="1551" t="s">
        <v>4164</v>
      </c>
      <c r="K10" s="204">
        <f>MAX(0,H10-I10)</f>
        <v>502</v>
      </c>
      <c r="L10" s="204">
        <f t="shared" ref="L10:L47" si="0">MAX(0,E10*K10)</f>
        <v>7530</v>
      </c>
      <c r="M10" s="1552"/>
      <c r="N10" s="1552" t="s">
        <v>4103</v>
      </c>
      <c r="O10" s="1552" t="s">
        <v>3023</v>
      </c>
      <c r="P10" s="559">
        <f>IF(H10="","",H10*12/0.3)</f>
        <v>25240</v>
      </c>
      <c r="Q10" s="560">
        <f>IF(H10="","",P10/($P$6*VLOOKUP(C10,'DCA Underwriting Assumptions'!$J$81:$K$86,2,FALSE)))</f>
        <v>0.50759175465057815</v>
      </c>
      <c r="R10" s="667"/>
      <c r="S10" s="560"/>
      <c r="T10" s="1495"/>
      <c r="U10" s="1496"/>
      <c r="V10" s="624" t="str">
        <f t="shared" ref="V10:V47" si="1">IF(AND(C10="Efficiency",B10="60% AMI",NOT(M10="Common")),E10,"")</f>
        <v/>
      </c>
      <c r="W10" s="624">
        <f t="shared" ref="W10:W47" si="2">IF(AND(C10=1,B10="60% AMI",NOT(M10="Common")),E10,"")</f>
        <v>15</v>
      </c>
      <c r="X10" s="624" t="str">
        <f t="shared" ref="X10:X47" si="3">IF(AND(C10=2,B10="60% AMI",NOT(M10="Common")),E10,"")</f>
        <v/>
      </c>
      <c r="Y10" s="624" t="str">
        <f t="shared" ref="Y10:Y47" si="4">IF(AND(C10=3,B10="60% AMI",NOT(M10="Common")),E10,"")</f>
        <v/>
      </c>
      <c r="Z10" s="624" t="str">
        <f t="shared" ref="Z10:Z47" si="5">IF(AND(C10=4,B10="60% AMI",NOT(M10="Common")),E10,"")</f>
        <v/>
      </c>
      <c r="AA10" s="624" t="str">
        <f t="shared" ref="AA10:AA47" si="6">IF(AND(C10="Efficiency",B10="50% AMI",NOT(M10="Common")),E10,"")</f>
        <v/>
      </c>
      <c r="AB10" s="624" t="str">
        <f t="shared" ref="AB10:AB47" si="7">IF(AND(C10=1,B10="50% AMI",NOT(M10="Common")),E10,"")</f>
        <v/>
      </c>
      <c r="AC10" s="624" t="str">
        <f t="shared" ref="AC10:AC47" si="8">IF(AND(C10=2,B10="50% AMI",NOT(M10="Common")),E10,"")</f>
        <v/>
      </c>
      <c r="AD10" s="624" t="str">
        <f t="shared" ref="AD10:AD47" si="9">IF(AND(C10=3,B10="50% AMI",NOT(M10="Common")),E10,"")</f>
        <v/>
      </c>
      <c r="AE10" s="624" t="str">
        <f t="shared" ref="AE10:AE47" si="10">IF(AND(C10=4,B10="50% AMI",NOT(M10="Common")),E10,"")</f>
        <v/>
      </c>
      <c r="AF10" s="624" t="str">
        <f t="shared" ref="AF10:AF47" si="11">IF(AND(C10="Efficiency",B10="30% AMI",NOT(M10="Common")),E10,"")</f>
        <v/>
      </c>
      <c r="AG10" s="624" t="str">
        <f t="shared" ref="AG10:AG47" si="12">IF(AND(C10=1,B10="30% AMI",NOT(M10="Common")),E10,"")</f>
        <v/>
      </c>
      <c r="AH10" s="624" t="str">
        <f t="shared" ref="AH10:AH47" si="13">IF(AND(C10=2,B10="30% AMI",NOT(M10="Common")),E10,"")</f>
        <v/>
      </c>
      <c r="AI10" s="624" t="str">
        <f t="shared" ref="AI10:AI47" si="14">IF(AND(C10=3,B10="30% AMI",NOT(M10="Common")),E10,"")</f>
        <v/>
      </c>
      <c r="AJ10" s="624" t="str">
        <f t="shared" ref="AJ10:AJ47" si="15">IF(AND(C10=4,B10="30% AMI",NOT(M10="Common")),E10,"")</f>
        <v/>
      </c>
      <c r="AK10" s="624" t="str">
        <f t="shared" ref="AK10:AK47" si="16">IF(AND(C10="Efficiency",B10="Unrestricted",NOT(M10="Common")),E10,"")</f>
        <v/>
      </c>
      <c r="AL10" s="624" t="str">
        <f t="shared" ref="AL10:AL47" si="17">IF(AND(C10=1,B10="Unrestricted",NOT(M10="Common")),E10,"")</f>
        <v/>
      </c>
      <c r="AM10" s="624" t="str">
        <f t="shared" ref="AM10:AM47" si="18">IF(AND(C10=2,B10="Unrestricted",NOT(M10="Common")),E10,"")</f>
        <v/>
      </c>
      <c r="AN10" s="624" t="str">
        <f t="shared" ref="AN10:AN47" si="19">IF(AND(C10=3,B10="Unrestricted",NOT(M10="Common")),E10,"")</f>
        <v/>
      </c>
      <c r="AO10" s="624" t="str">
        <f t="shared" ref="AO10:AO47" si="20">IF(AND(C10=4,B10="Unrestricted",NOT(M10="Common")),E10,"")</f>
        <v/>
      </c>
      <c r="AP10" s="624" t="str">
        <f>IF(OR(AND($C10="Efficiency",NOT($J10=""),NOT($J10="PHA Oper Sub"),$B10="30% AMI",NOT($M10="Common")),AND($C10="Efficiency",NOT($J10=""),NOT($J10="PHA Oper Sub"),$B10="HOME 30% AMI",NOT($M10="Common"))),$E10,"")</f>
        <v/>
      </c>
      <c r="AQ10" s="624" t="str">
        <f>IF(OR(AND($C10=1,NOT($J10=""),NOT($J10="PHA Oper Sub"),$B10="30% AMI",NOT($M10="Common")),AND($C10=1,NOT($J10=""),NOT($J10="PHA Oper Sub"),$B10="HOME 30% AMI",NOT($M10="Common"))),$E10,"")</f>
        <v/>
      </c>
      <c r="AR10" s="624" t="str">
        <f>IF(OR(AND($C10=2,NOT($J10=""),NOT($J10="PHA Oper Sub"),$B10="30% AMI",NOT($M10="Common")),AND($C10=2,NOT($J10=""),NOT($J10="PHA Oper Sub"),$B10="HOME 30% AMI",NOT($M10="Common"))),$E10,"")</f>
        <v/>
      </c>
      <c r="AS10" s="624" t="str">
        <f>IF(OR(AND($C10=3,NOT($J10=""),NOT($J10="PHA Oper Sub"),$B10="30% AMI",NOT($M10="Common")),AND($C10=3,NOT($J10=""),NOT($J10="PHA Oper Sub"),$B10="HOME 30% AMI",NOT($M10="Common"))),$E10,"")</f>
        <v/>
      </c>
      <c r="AT10" s="624" t="str">
        <f>IF(OR(AND($C10=4,NOT($J10=""),NOT($J10="PHA Oper Sub"),$B10="30% AMI",NOT($M10="Common")),AND($C10=4,NOT($J10=""),NOT($J10="PHA Oper Sub"),$B10="HOME 30% AMI",NOT($M10="Common"))),$E10,"")</f>
        <v/>
      </c>
      <c r="AU10" s="624" t="str">
        <f>IF(OR(AND($C10="Efficiency",NOT($J10=""),NOT($J10="PHA Oper Sub"),NOT($J10=0),$B10="50% AMI",NOT($M10="Common")),AND($C10="Efficiency",NOT($J10=""),NOT($J10=0),NOT($J10="PHA Oper Sub"),$B10="HOME 50% AMI",NOT($M10="Common"))),$E10,"")</f>
        <v/>
      </c>
      <c r="AV10" s="624" t="str">
        <f>IF(OR(AND($C10=1,NOT($J10=""),NOT($J10=0),NOT($J10="PHA Oper Sub"),$B10="50% AMI",NOT($M10="Common")),AND($C10=1,NOT($J10=""),NOT($J10=0),NOT($J10="PHA Oper Sub"),$B10="HOME 50% AMI",NOT($M10="Common"))),$E10,"")</f>
        <v/>
      </c>
      <c r="AW10" s="624" t="str">
        <f>IF(OR(AND($C10=2,NOT($J10=""),NOT($J10=0),NOT($J10="PHA Oper Sub"),$B10="50% AMI",NOT($M10="Common")),AND($C10=2,NOT($J10=""),NOT($J10=0),NOT($J10="PHA Oper Sub"),$B10="HOME 50% AMI",NOT($M10="Common"))),$E10,"")</f>
        <v/>
      </c>
      <c r="AX10" s="624" t="str">
        <f>IF(OR(AND($C10=3,NOT($J10=""),NOT($J10=0),NOT($J10="PHA Oper Sub"),$B10="50% AMI",NOT($M10="Common")),AND($C10=3,NOT($J10=""),NOT($J10=0),NOT($J10="PHA Oper Sub"),$B10="HOME 50% AMI",NOT($M10="Common"))),$E10,"")</f>
        <v/>
      </c>
      <c r="AY10" s="624" t="str">
        <f>IF(OR(AND($C10=4,NOT($J10=""),NOT($J10=0),NOT($J10="PHA Oper Sub"),$B10="50% AMI",NOT($M10="Common")),AND($C10=4,NOT($J10=""),NOT($J10=0),NOT($J10="PHA Oper Sub"),$B10="HOME 50% AMI",NOT($M10="Common"))),$E10,"")</f>
        <v/>
      </c>
      <c r="AZ10" s="624" t="str">
        <f>IF(OR(AND($C10="Efficiency",NOT($J10=""),NOT($J10=0),NOT($J10="PHA Oper Sub"),$B10="60% AMI",NOT($M10="Common")),AND($C10="Efficiency",NOT($J10=""),NOT($J10=0),NOT($J10="PHA Oper Sub"),$B10="HOME 60% AMI",NOT($M10="Common"))),$E10,"")</f>
        <v/>
      </c>
      <c r="BA10" s="624">
        <f>IF(OR(AND($C10=1,NOT($J10=""),NOT($J10=0),NOT($J10="PHA Oper Sub"),$B10="60% AMI",NOT($M10="Common")),AND($C10=1,NOT($J10=""),NOT($J10=0),NOT($J10="PHA Oper Sub"),$B10="HOME 60% AMI",NOT($M10="Common"))),$E10,"")</f>
        <v>15</v>
      </c>
      <c r="BB10" s="624" t="str">
        <f>IF(OR(AND($C10=2,NOT($J10=""),NOT($J10=0),NOT($J10="PHA Oper Sub"),$B10="60% AMI",NOT($M10="Common")),AND($C10=2,NOT($J10=""),NOT($J10=0),NOT($J10="PHA Oper Sub"),$B10="HOME 60% AMI",NOT($M10="Common"))),$E10,"")</f>
        <v/>
      </c>
      <c r="BC10" s="624" t="str">
        <f>IF(OR(AND($C10=3,NOT($J10=""),NOT($J10=0),NOT($J10="PHA Oper Sub"),$B10="60% AMI",NOT($M10="Common")),AND($C10=3,NOT($J10=""),NOT($J10=0),NOT($J10="PHA Oper Sub"),$B10="HOME 60% AMI",NOT($M10="Common"))),$E10,"")</f>
        <v/>
      </c>
      <c r="BD10" s="624" t="str">
        <f>IF(OR(AND($C10=4,NOT($J10=""),NOT($J10=0),NOT($J10="PHA Oper Sub"),$B10="60% AMI",NOT($M10="Common")),AND($C10=4,NOT($J10=""),NOT($J10=0),NOT($J10="PHA Oper Sub"),$B10="HOME 60% AMI",NOT($M10="Common"))),$E10,"")</f>
        <v/>
      </c>
      <c r="BE10" s="624" t="str">
        <f>IF(OR(AND($C10="Efficiency",$J10="PHA Oper Sub",$B10="30% AMI",NOT($M10="Common")),AND($C10="Efficiency",$J10="PHA Oper Sub",$B10="HOME 30% AMI",NOT($M10="Common"))),$E10,"")</f>
        <v/>
      </c>
      <c r="BF10" s="624" t="str">
        <f>IF(OR(AND($C10=1,$J10="PHA Oper Sub",$B10="30% AMI",NOT($M10="Common")),AND($C10=1,$J10="PHA Oper Sub",$B10="HOME 30% AMI",NOT($M10="Common"))),$E10,"")</f>
        <v/>
      </c>
      <c r="BG10" s="624" t="str">
        <f>IF(OR(AND($C10=2,$J10="PHA Oper Sub",$B10="30% AMI",NOT($M10="Common")),AND($C10=2,$J10="PHA Oper Sub",$B10="HOME 30% AMI",NOT($M10="Common"))),$E10,"")</f>
        <v/>
      </c>
      <c r="BH10" s="624" t="str">
        <f>IF(OR(AND($C10=3,$J10="PHA Oper Sub",$B10="30% AMI",NOT($M10="Common")),AND($C10=3,$J10="PHA Oper Sub",$B10="HOME 30% AMI",NOT($M10="Common"))),$E10,"")</f>
        <v/>
      </c>
      <c r="BI10" s="624" t="str">
        <f>IF(OR(AND($C10=4,$J10="PHA Oper Sub",$B10="30% AMI",NOT($M10="Common")),AND($C10=4,$J10="PHA Oper Sub",$B10="HOME 30% AMI",NOT($M10="Common"))),$E10,"")</f>
        <v/>
      </c>
      <c r="BJ10" s="624" t="str">
        <f>IF(OR(AND($C10="Efficiency",$J10="PHA Oper Sub",$B10="50% AMI",NOT($M10="Common")),AND($C10="Efficiency",$J10="PHA Oper Sub",$B10="HOME 50% AMI",NOT($M10="Common"))),$E10,"")</f>
        <v/>
      </c>
      <c r="BK10" s="624" t="str">
        <f>IF(OR(AND($C10=1,$J10="PHA Oper Sub",$B10="50% AMI",NOT($M10="Common")),AND($C10=1,$J10="PHA Oper Sub",$B10="HOME 50% AMI",NOT($M10="Common"))),$E10,"")</f>
        <v/>
      </c>
      <c r="BL10" s="624" t="str">
        <f>IF(OR(AND($C10=2,$J10="PHA Oper Sub",$B10="50% AMI",NOT($M10="Common")),AND($C10=2,$J10="PHA Oper Sub",$B10="HOME 50% AMI",NOT($M10="Common"))),$E10,"")</f>
        <v/>
      </c>
      <c r="BM10" s="624" t="str">
        <f>IF(OR(AND($C10=3,$J10="PHA Oper Sub",$B10="50% AMI",NOT($M10="Common")),AND($C10=3,$J10="PHA Oper Sub",$B10="HOME 50% AMI",NOT($M10="Common"))),$E10,"")</f>
        <v/>
      </c>
      <c r="BN10" s="624" t="str">
        <f>IF(OR(AND($C10=4,$J10="PHA Oper Sub",$B10="50% AMI",NOT($M10="Common")),AND($C10=4,$J10="PHA Oper Sub",$B10="HOME 50% AMI",NOT($M10="Common"))),$E10,"")</f>
        <v/>
      </c>
      <c r="BO10" s="624" t="str">
        <f>IF(OR(AND($C10="Efficiency",$J10="PHA Oper Sub",$B10="60% AMI",NOT($M10="Common")),AND($C10="Efficiency",$J10="PHA Oper Sub",$B10="HOME 60% AMI",NOT($M10="Common"))),$E10,"")</f>
        <v/>
      </c>
      <c r="BP10" s="624" t="str">
        <f>IF(OR(AND($C10=1,$J10="PHA Oper Sub",$B10="60% AMI",NOT($M10="Common")),AND($C10=1,$J10="PHA Oper Sub",$B10="HOME 60% AMI",NOT($M10="Common"))),$E10,"")</f>
        <v/>
      </c>
      <c r="BQ10" s="624" t="str">
        <f>IF(OR(AND($C10=2,$J10="PHA Oper Sub",$B10="60% AMI",NOT($M10="Common")),AND($C10=2,$J10="PHA Oper Sub",$B10="HOME 60% AMI",NOT($M10="Common"))),$E10,"")</f>
        <v/>
      </c>
      <c r="BR10" s="624" t="str">
        <f>IF(OR(AND($C10=3,$J10="PHA Oper Sub",$B10="60% AMI",NOT($M10="Common")),AND($C10=3,$J10="PHA Oper Sub",$B10="HOME 60% AMI",NOT($M10="Common"))),$E10,"")</f>
        <v/>
      </c>
      <c r="BS10" s="624" t="str">
        <f>IF(OR(AND($C10=4,$J10="PHA Oper Sub",$B10="60% AMI",NOT($M10="Common")),AND($C10=4,$J10="PHA Oper Sub",$B10="HOME 60% AMI",NOT($M10="Common"))),$E10,"")</f>
        <v/>
      </c>
      <c r="BT10" s="624" t="str">
        <f t="shared" ref="BT10:BT47" si="21">IF(AND(C10="Efficiency",M10="Common"),E10,"")</f>
        <v/>
      </c>
      <c r="BU10" s="624" t="str">
        <f t="shared" ref="BU10:BU47" si="22">IF(AND(C10=1,M10="Common"),E10,"")</f>
        <v/>
      </c>
      <c r="BV10" s="624" t="str">
        <f t="shared" ref="BV10:BV47" si="23">IF(AND(C10=2,M10="Common"),E10,"")</f>
        <v/>
      </c>
      <c r="BW10" s="624" t="str">
        <f t="shared" ref="BW10:BW47" si="24">IF(AND(C10=3,M10="Common"),E10,"")</f>
        <v/>
      </c>
      <c r="BX10" s="624" t="str">
        <f t="shared" ref="BX10:BX47" si="25">IF(AND(C10=4,M10="Common"),E10,"")</f>
        <v/>
      </c>
      <c r="BY10" s="624" t="str">
        <f t="shared" ref="BY10:BY47" si="26">IF(OR(AND(C10="Efficiency",B10="60% AMI",NOT(M10="Common")),AND(C10="Efficiency",B10="HOME 60% AMI",NOT(M10="Common"))),E10*F10,"")</f>
        <v/>
      </c>
      <c r="BZ10" s="624">
        <f t="shared" ref="BZ10:BZ47" si="27">IF(OR(AND(C10=1,B10="60% AMI",NOT(M10="Common")),AND(C10=1,B10="HOME 60% AMI",NOT(M10="Common"))),E10*F10,"")</f>
        <v>11250</v>
      </c>
      <c r="CA10" s="624" t="str">
        <f t="shared" ref="CA10:CA47" si="28">IF(OR(AND(C10=2,B10="60% AMI",NOT(M10="Common")),AND(C10=2,B10="HOME 60% AMI",NOT(M10="Common"))),E10*F10,"")</f>
        <v/>
      </c>
      <c r="CB10" s="624" t="str">
        <f t="shared" ref="CB10:CB47" si="29">IF(OR(AND(C10=3,B10="60% AMI",NOT(M10="Common")),AND(C10=3,B10="HOME 60% AMI",NOT(M10="Common"))),E10*F10,"")</f>
        <v/>
      </c>
      <c r="CC10" s="624" t="str">
        <f t="shared" ref="CC10:CC47" si="30">IF(OR(AND(C10=4,B10="60% AMI",NOT(M10="Common")),AND(C10=4,B10="HOME 60% AMI",NOT(M10="Common"))),E10*F10,"")</f>
        <v/>
      </c>
      <c r="CD10" s="624" t="str">
        <f t="shared" ref="CD10:CD47" si="31">IF(OR(AND(C10="Efficiency",B10="50% AMI",NOT(M10="Common")),AND(C10="Efficiency",B10="HOME 50% AMI",NOT(M10="Common"))),E10*F10,"")</f>
        <v/>
      </c>
      <c r="CE10" s="624" t="str">
        <f t="shared" ref="CE10:CE47" si="32">IF(OR(AND(C10=1,B10="50% AMI",NOT(M10="Common")),AND(C10=1,B10="HOME 50% AMI",NOT(M10="Common"))),E10*F10,"")</f>
        <v/>
      </c>
      <c r="CF10" s="624" t="str">
        <f t="shared" ref="CF10:CF47" si="33">IF(OR(AND(C10=2,B10="50% AMI",NOT(M10="Common")),AND(C10=2,B10="HOME 50% AMI",NOT(M10="Common"))),E10*F10,"")</f>
        <v/>
      </c>
      <c r="CG10" s="624" t="str">
        <f t="shared" ref="CG10:CG47" si="34">IF(OR(AND(C10=3,B10="50% AMI",NOT(M10="Common")),AND(C10=3,B10="HOME 50% AMI",NOT(M10="Common"))),E10*F10,"")</f>
        <v/>
      </c>
      <c r="CH10" s="624" t="str">
        <f t="shared" ref="CH10:CH47" si="35">IF(OR(AND(C10=4,B10="50% AMI",NOT(M10="Common")),AND(C10=4,B10="HOME 50% AMI",NOT(M10="Common"))),E10*F10,"")</f>
        <v/>
      </c>
      <c r="CI10" s="624" t="str">
        <f t="shared" ref="CI10:CI47" si="36">IF(OR(AND(C10="Efficiency",B10="30% AMI",NOT(M10="Common")),AND(C10="Efficiency",B10="HOME 30% AMI",NOT(M10="Common"))),E10*F10,"")</f>
        <v/>
      </c>
      <c r="CJ10" s="624" t="str">
        <f t="shared" ref="CJ10:CJ47" si="37">IF(OR(AND(C10=1,B10="30% AMI",NOT(M10="Common")),AND(C10=1,B10="HOME 30% AMI",NOT(M10="Common"))),E10*F10,"")</f>
        <v/>
      </c>
      <c r="CK10" s="624" t="str">
        <f t="shared" ref="CK10:CK47" si="38">IF(OR(AND(C10=2,B10="30% AMI",NOT(M10="Common")),AND(C10=2,B10="HOME 30% AMI",NOT(M10="Common"))),E10*F10,"")</f>
        <v/>
      </c>
      <c r="CL10" s="624" t="str">
        <f t="shared" ref="CL10:CL47" si="39">IF(OR(AND(C10=3,B10="30% AMI",NOT(M10="Common")),AND(C10=3,B10="HOME 30% AMI",NOT(M10="Common"))),E10*F10,"")</f>
        <v/>
      </c>
      <c r="CM10" s="624" t="str">
        <f t="shared" ref="CM10:CM47" si="40">IF(OR(AND(C10=4,B10="30% AMI",NOT(M10="Common")),AND(C10=4,B10="HOME 30% AMI",NOT(M10="Common"))),E10*F10,"")</f>
        <v/>
      </c>
      <c r="CN10" s="624" t="str">
        <f t="shared" ref="CN10:CN47" si="41">IF(AND(C10="Efficiency",B10="Unrestricted",NOT(M10="Common")),E10*F10,"")</f>
        <v/>
      </c>
      <c r="CO10" s="624" t="str">
        <f t="shared" ref="CO10:CO47" si="42">IF(AND(C10=1,B10="Unrestricted",NOT(M10="Common")),E10*F10,"")</f>
        <v/>
      </c>
      <c r="CP10" s="624" t="str">
        <f t="shared" ref="CP10:CP47" si="43">IF(AND(C10=2,B10="Unrestricted",NOT(M10="Common")),E10*F10,"")</f>
        <v/>
      </c>
      <c r="CQ10" s="624" t="str">
        <f t="shared" ref="CQ10:CQ47" si="44">IF(AND(C10=3,B10="Unrestricted",NOT(M10="Common")),E10*F10,"")</f>
        <v/>
      </c>
      <c r="CR10" s="624" t="str">
        <f t="shared" ref="CR10:CR47" si="45">IF(AND(C10=4,B10="Unrestricted",NOT(M10="Common")),E10*F10,"")</f>
        <v/>
      </c>
      <c r="CS10" s="624" t="str">
        <f t="shared" ref="CS10:CS47" si="46">IF(AND(C10="Efficiency",NOT(J10=""),NOT($J10=0),NOT(M10="Common")),E10*F10,"")</f>
        <v/>
      </c>
      <c r="CT10" s="624">
        <f t="shared" ref="CT10:CT47" si="47">IF(AND(C10=1,NOT(J10=""),NOT($J10=0),NOT(M10="Common")),E10*F10,"")</f>
        <v>11250</v>
      </c>
      <c r="CU10" s="624" t="str">
        <f t="shared" ref="CU10:CU47" si="48">IF(AND(C10=2,NOT(J10=""),NOT($J10=0),NOT(M10="Common")),E10*F10,"")</f>
        <v/>
      </c>
      <c r="CV10" s="624" t="str">
        <f t="shared" ref="CV10:CV47" si="49">IF(AND(C10=3,NOT(J10=""),NOT($J10=0),NOT(M10="Common")),E10*F10,"")</f>
        <v/>
      </c>
      <c r="CW10" s="624" t="str">
        <f t="shared" ref="CW10:CW47" si="50">IF(AND(C10=4,NOT(J10=""),NOT($J10=0),NOT(M10="Common")),E10*F10,"")</f>
        <v/>
      </c>
      <c r="CX10" s="624" t="str">
        <f t="shared" ref="CX10:CX47" si="51">IF(AND(C10="Efficiency",M10="Common"),E10*F10,"")</f>
        <v/>
      </c>
      <c r="CY10" s="624" t="str">
        <f t="shared" ref="CY10:CY47" si="52">IF(AND(C10=1,M10="Common"),E10*F10,"")</f>
        <v/>
      </c>
      <c r="CZ10" s="624" t="str">
        <f t="shared" ref="CZ10:CZ47" si="53">IF(AND(C10=2,M10="Common"),E10*F10,"")</f>
        <v/>
      </c>
      <c r="DA10" s="624" t="str">
        <f t="shared" ref="DA10:DA47" si="54">IF(AND(C10=3,M10="Common"),E10*F10,"")</f>
        <v/>
      </c>
      <c r="DB10" s="624" t="str">
        <f t="shared" ref="DB10:DB47" si="55">IF(AND(C10=4,M10="Common"),E10*F10,"")</f>
        <v/>
      </c>
      <c r="DC10" s="624" t="str">
        <f t="shared" ref="DC10:DC47" si="56">IF(AND($C10="Efficiency", $O10="New Construction",NOT($B10="Unrestricted"),NOT($B10="NSP 120% AMI"),NOT($B10="N/A-CS"),NOT($M10="Common")),$E10,"")</f>
        <v/>
      </c>
      <c r="DD10" s="624">
        <f t="shared" ref="DD10:DD47" si="57">IF(AND($C10=1, $O10="New Construction",NOT($B10="Unrestricted"),NOT($B10="NSP 120% AMI"),NOT($B10="N/A-CS"),NOT($M10="Common")),$E10,"")</f>
        <v>15</v>
      </c>
      <c r="DE10" s="624" t="str">
        <f t="shared" ref="DE10:DE47" si="58">IF(AND($C10=2, $O10="New Construction",NOT($B10="Unrestricted"),NOT($B10="NSP 120% AMI"),NOT($B10="N/A-CS"),NOT($M10="Common")),$E10,"")</f>
        <v/>
      </c>
      <c r="DF10" s="624" t="str">
        <f t="shared" ref="DF10:DF47" si="59">IF(AND($C10=3, $O10="New Construction",NOT($B10="Unrestricted"),NOT($B10="NSP 120% AMI"),NOT($B10="N/A-CS"),NOT($M10="Common")),$E10,"")</f>
        <v/>
      </c>
      <c r="DG10" s="624" t="str">
        <f t="shared" ref="DG10:DG47" si="60">IF(AND($C10=4, $O10="New Construction",NOT($B10="Unrestricted"),NOT($B10="NSP 120% AMI"),NOT($B10="N/A-CS"),NOT($M10="Common")),$E10,"")</f>
        <v/>
      </c>
      <c r="DH10" s="624" t="str">
        <f t="shared" ref="DH10:DH47" si="61">IF(AND($C10="Efficiency", $O10="New Construction",$B10="Unrestricted",NOT($B10="N/A-CS"),NOT($M10="Common")),$E10,"")</f>
        <v/>
      </c>
      <c r="DI10" s="624" t="str">
        <f t="shared" ref="DI10:DI47" si="62">IF(AND($C10=1, $O10="New Construction",$B10="Unrestricted",NOT($B10="N/A-CS"),NOT($M10="Common")),$E10,"")</f>
        <v/>
      </c>
      <c r="DJ10" s="624" t="str">
        <f t="shared" ref="DJ10:DJ47" si="63">IF(AND($C10=2, $O10="New Construction",$B10="Unrestricted",NOT($B10="N/A-CS"),NOT($M10="Common")),$E10,"")</f>
        <v/>
      </c>
      <c r="DK10" s="624" t="str">
        <f t="shared" ref="DK10:DK47" si="64">IF(AND($C10=3, $O10="New Construction",$B10="Unrestricted",NOT($B10="N/A-CS"),NOT($M10="Common")),$E10,"")</f>
        <v/>
      </c>
      <c r="DL10" s="624" t="str">
        <f t="shared" ref="DL10:DL47" si="65">IF(AND($C10=4, $O10="New Construction",$B10="Unrestricted",NOT($B10="N/A-CS"),NOT($M10="Common")),$E10,"")</f>
        <v/>
      </c>
      <c r="DM10" s="624" t="str">
        <f t="shared" ref="DM10:DM47" si="66">IF(AND($C10="Efficiency", $O10="New Construction",$B10="N/A-CS",$M10="Common"),$E10,"")</f>
        <v/>
      </c>
      <c r="DN10" s="624" t="str">
        <f t="shared" ref="DN10:DN47" si="67">IF(AND($C10=1, $O10="New Construction",$B10="N/A-CS",$M10="Common"),$E10,"")</f>
        <v/>
      </c>
      <c r="DO10" s="624" t="str">
        <f t="shared" ref="DO10:DO47" si="68">IF(AND($C10=2, $O10="New Construction",$B10="N/A-CS",$M10="Common"),$E10,"")</f>
        <v/>
      </c>
      <c r="DP10" s="624" t="str">
        <f t="shared" ref="DP10:DP47" si="69">IF(AND($C10=3, $O10="New Construction",$B10="N/A-CS",$M10="Common"),$E10,"")</f>
        <v/>
      </c>
      <c r="DQ10" s="624" t="str">
        <f t="shared" ref="DQ10:DQ47" si="70">IF(AND($C10=4, $O10="New Construction",$B10="N/A-CS",$M10="Common"),$E10,"")</f>
        <v/>
      </c>
      <c r="DR10" s="624" t="str">
        <f t="shared" ref="DR10:DR47" si="71">IF(AND($C10="Efficiency", $O10="Acquisition/Rehab",NOT($B10="Unrestricted"),NOT($B10="NSP 120% AMI"),NOT($B10="N/A-CS"),NOT($M10="Common")),$E10,"")</f>
        <v/>
      </c>
      <c r="DS10" s="624" t="str">
        <f t="shared" ref="DS10:DS47" si="72">IF(AND($C10=1, $O10="Acquisition/Rehab",NOT($B10="Unrestricted"),NOT($B10="NSP 120% AMI"),NOT($B10="N/A-CS"),NOT($M10="Common")),$E10,"")</f>
        <v/>
      </c>
      <c r="DT10" s="624" t="str">
        <f t="shared" ref="DT10:DT47" si="73">IF(AND($C10=2, $O10="Acquisition/Rehab",NOT($B10="Unrestricted"),NOT($B10="NSP 120% AMI"),NOT($B10="N/A-CS"),NOT($M10="Common")),$E10,"")</f>
        <v/>
      </c>
      <c r="DU10" s="624" t="str">
        <f t="shared" ref="DU10:DU47" si="74">IF(AND($C10=3, $O10="Acquisition/Rehab",NOT($B10="Unrestricted"),NOT($B10="NSP 120% AMI"),NOT($B10="N/A-CS"),NOT($M10="Common")),$E10,"")</f>
        <v/>
      </c>
      <c r="DV10" s="624" t="str">
        <f t="shared" ref="DV10:DV47" si="75">IF(AND($C10=4, $O10="Acquisition/Rehab",NOT($B10="Unrestricted"),NOT($B10="NSP 120% AMI"),NOT($B10="N/A-CS"),NOT($M10="Common")),$E10,"")</f>
        <v/>
      </c>
      <c r="DW10" s="624" t="str">
        <f t="shared" ref="DW10:DW47" si="76">IF(AND($C10="Efficiency", $O10="Acquisition/Rehab",$B10="Unrestricted",NOT($B10="N/A-CS"),NOT($M10="Common")),$E10,"")</f>
        <v/>
      </c>
      <c r="DX10" s="624" t="str">
        <f t="shared" ref="DX10:DX47" si="77">IF(AND($C10=1, $O10="Acquisition/Rehab",$B10="Unrestricted",NOT($B10="N/A-CS"),NOT($M10="Common")),$E10,"")</f>
        <v/>
      </c>
      <c r="DY10" s="624" t="str">
        <f t="shared" ref="DY10:DY47" si="78">IF(AND($C10=2, $O10="Acquisition/Rehab",$B10="Unrestricted",NOT($B10="N/A-CS"),NOT($M10="Common")),$E10,"")</f>
        <v/>
      </c>
      <c r="DZ10" s="624" t="str">
        <f t="shared" ref="DZ10:DZ47" si="79">IF(AND($C10=3, $O10="Acquisition/Rehab",$B10="Unrestricted",NOT($B10="N/A-CS"),NOT($M10="Common")),$E10,"")</f>
        <v/>
      </c>
      <c r="EA10" s="624" t="str">
        <f t="shared" ref="EA10:EA47" si="80">IF(AND($C10=4, $O10="Acquisition/Rehab",$B10="Unrestricted",NOT($B10="N/A-CS"),NOT($M10="Common")),$E10,"")</f>
        <v/>
      </c>
      <c r="EB10" s="624" t="str">
        <f t="shared" ref="EB10:EB47" si="81">IF(AND($C10="Efficiency", $O10="Acquisition/Rehab",$B10="N/A-CS",$M10="Common"),$E10,"")</f>
        <v/>
      </c>
      <c r="EC10" s="624" t="str">
        <f t="shared" ref="EC10:EC47" si="82">IF(AND($C10=1, $O10="Acquisition/Rehab",$B10="N/A-CS",$M10="Common"),$E10,"")</f>
        <v/>
      </c>
      <c r="ED10" s="624" t="str">
        <f t="shared" ref="ED10:ED47" si="83">IF(AND($C10=2, $O10="Acquisition/Rehab",$B10="N/A-CS",$M10="Common"),$E10,"")</f>
        <v/>
      </c>
      <c r="EE10" s="624" t="str">
        <f t="shared" ref="EE10:EE47" si="84">IF(AND($C10=3, $O10="Acquisition/Rehab",$B10="N/A-CS",$M10="Common"),$E10,"")</f>
        <v/>
      </c>
      <c r="EF10" s="624" t="str">
        <f t="shared" ref="EF10:EF47" si="85">IF(AND($C10=4, $O10="Acquisition/Rehab",$B10="N/A-CS",$M10="Common"),$E10,"")</f>
        <v/>
      </c>
      <c r="EG10" s="624" t="str">
        <f t="shared" ref="EG10:EG47" si="86">IF(AND($C10="Efficiency", $O10="Rehabilitation",NOT($B10="Unrestricted"),NOT($B10="NSP 120% AMI"),NOT($B10="N/A-CS"),NOT($M10="Common")),$E10,"")</f>
        <v/>
      </c>
      <c r="EH10" s="624" t="str">
        <f t="shared" ref="EH10:EH47" si="87">IF(AND($C10=1, $O10="Rehabilitation",NOT($B10="Unrestricted"),NOT($B10="NSP 120% AMI"),NOT($B10="N/A-CS"),NOT($M10="Common")),$E10,"")</f>
        <v/>
      </c>
      <c r="EI10" s="624" t="str">
        <f t="shared" ref="EI10:EI47" si="88">IF(AND($C10=2, $O10="Rehabilitation",NOT($B10="Unrestricted"),NOT($B10="NSP 120% AMI"),NOT($B10="N/A-CS"),NOT($M10="Common")),$E10,"")</f>
        <v/>
      </c>
      <c r="EJ10" s="624" t="str">
        <f t="shared" ref="EJ10:EJ47" si="89">IF(AND($C10=3, $O10="Rehabilitation",NOT($B10="Unrestricted"),NOT($B10="NSP 120% AMI"),NOT($B10="N/A-CS"),NOT($M10="Common")),$E10,"")</f>
        <v/>
      </c>
      <c r="EK10" s="624" t="str">
        <f t="shared" ref="EK10:EK47" si="90">IF(AND($C10=4, $O10="Rehabilitation",NOT($B10="Unrestricted"),NOT($B10="NSP 120% AMI"),NOT($B10="N/A-CS"),NOT($M10="Common")),$E10,"")</f>
        <v/>
      </c>
      <c r="EL10" s="624" t="str">
        <f t="shared" ref="EL10:EL47" si="91">IF(AND($C10="Efficiency", $O10="Rehabilitation",$B10="Unrestricted",NOT($B10="N/A-CS"),NOT($M10="Common")),$E10,"")</f>
        <v/>
      </c>
      <c r="EM10" s="624" t="str">
        <f t="shared" ref="EM10:EM47" si="92">IF(AND($C10=1, $O10="Rehabilitation",$B10="Unrestricted",NOT($B10="N/A-CS"),NOT($M10="Common")),$E10,"")</f>
        <v/>
      </c>
      <c r="EN10" s="624" t="str">
        <f t="shared" ref="EN10:EN47" si="93">IF(AND($C10=2, $O10="Rehabilitation",$B10="Unrestricted",NOT($B10="N/A-CS"),NOT($M10="Common")),$E10,"")</f>
        <v/>
      </c>
      <c r="EO10" s="624" t="str">
        <f t="shared" ref="EO10:EO47" si="94">IF(AND($C10=3, $O10="Rehabilitation",$B10="Unrestricted",NOT($B10="N/A-CS"),NOT($M10="Common")),$E10,"")</f>
        <v/>
      </c>
      <c r="EP10" s="624" t="str">
        <f t="shared" ref="EP10:EP47" si="95">IF(AND($C10=4, $O10="Rehabilitation",$B10="Unrestricted",NOT($B10="N/A-CS"),NOT($M10="Common")),$E10,"")</f>
        <v/>
      </c>
      <c r="EQ10" s="624" t="str">
        <f t="shared" ref="EQ10:EQ47" si="96">IF(AND($C10="Efficiency", $O10="Rehabilitation",$B10="N/A-CS",$M10="Common"),$E10,"")</f>
        <v/>
      </c>
      <c r="ER10" s="624" t="str">
        <f t="shared" ref="ER10:ER47" si="97">IF(AND($C10=1, $O10="Rehabilitation",$B10="N/A-CS",$M10="Common"),$E10,"")</f>
        <v/>
      </c>
      <c r="ES10" s="624" t="str">
        <f t="shared" ref="ES10:ES47" si="98">IF(AND($C10=2, $O10="Rehabilitation",$B10="N/A-CS",$M10="Common"),$E10,"")</f>
        <v/>
      </c>
      <c r="ET10" s="624" t="str">
        <f t="shared" ref="ET10:ET47" si="99">IF(AND($C10=3, $O10="Rehabilitation",$B10="N/A-CS",$M10="Common"),$E10,"")</f>
        <v/>
      </c>
      <c r="EU10" s="624" t="str">
        <f t="shared" ref="EU10:EU47" si="100">IF(AND($C10=4, $O10="Rehabilitation",$B10="N/A-CS",$M10="Common"),$E10,"")</f>
        <v/>
      </c>
      <c r="EV10" s="636" t="str">
        <f t="shared" ref="EV10:EV47" si="101">IF(AND($C10="Efficiency", NOT(OR($N10="SF Detached",$N10="Mfd Home",$N10="Duplex",$N10="Townhome"))),$E10,"")</f>
        <v/>
      </c>
      <c r="EW10" s="636">
        <f t="shared" ref="EW10:EW47" si="102">IF(AND($C10=1, NOT(OR($N10="SF Detached",$N10="Mfd Home",$N10="Duplex",$N10="Townhome"))),$E10,"")</f>
        <v>15</v>
      </c>
      <c r="EX10" s="636" t="str">
        <f t="shared" ref="EX10:EX47" si="103">IF(AND($C10=2, NOT(OR($N10="SF Detached",$N10="Mfd Home",$N10="Duplex",$N10="Townhome"))),$E10,"")</f>
        <v/>
      </c>
      <c r="EY10" s="636" t="str">
        <f t="shared" ref="EY10:EY47" si="104">IF(AND($C10=3, NOT(OR($N10="SF Detached",$N10="Mfd Home",$N10="Duplex",$N10="Townhome"))),$E10,"")</f>
        <v/>
      </c>
      <c r="EZ10" s="636" t="str">
        <f t="shared" ref="EZ10:EZ47" si="105">IF(AND($C10=4, NOT(OR($N10="SF Detached",$N10="Mfd Home",$N10="Duplex",$N10="Townhome"))),$E10,"")</f>
        <v/>
      </c>
      <c r="FA10" s="636" t="str">
        <f t="shared" ref="FA10:FA47" si="106">IF(AND($C10="Efficiency", $N10="SF Detached"),$E10,"")</f>
        <v/>
      </c>
      <c r="FB10" s="636" t="str">
        <f t="shared" ref="FB10:FB47" si="107">IF(AND($C10=1, $N10="SF Detached"),$E10,"")</f>
        <v/>
      </c>
      <c r="FC10" s="636" t="str">
        <f t="shared" ref="FC10:FC47" si="108">IF(AND($C10=2, $N10="SF Detached"),$E10,"")</f>
        <v/>
      </c>
      <c r="FD10" s="636" t="str">
        <f t="shared" ref="FD10:FD47" si="109">IF(AND($C10=3, $N10="SF Detached"),$E10,"")</f>
        <v/>
      </c>
      <c r="FE10" s="636" t="str">
        <f t="shared" ref="FE10:FE47" si="110">IF(AND($C10=4, $N10="SF Detached"),$E10,"")</f>
        <v/>
      </c>
      <c r="FF10" s="636" t="str">
        <f t="shared" ref="FF10:FF47" si="111">IF(AND($C10="Efficiency", $N10="MH"),$E10,"")</f>
        <v/>
      </c>
      <c r="FG10" s="636" t="str">
        <f t="shared" ref="FG10:FG47" si="112">IF(AND($C10=1, $N10="MH"),$E10,"")</f>
        <v/>
      </c>
      <c r="FH10" s="636" t="str">
        <f t="shared" ref="FH10:FH47" si="113">IF(AND($C10=2, $N10="MH"),$E10,"")</f>
        <v/>
      </c>
      <c r="FI10" s="636" t="str">
        <f t="shared" ref="FI10:FI47" si="114">IF(AND($C10=3, $N10="MH"),$E10,"")</f>
        <v/>
      </c>
      <c r="FJ10" s="636" t="str">
        <f t="shared" ref="FJ10:FJ47" si="115">IF(AND($C10=4, $N10="MH"),$E10,"")</f>
        <v/>
      </c>
      <c r="FK10" s="636" t="str">
        <f t="shared" ref="FK10:FK47" si="116">IF(AND($C10="Efficiency", $N10="Duplex"),$E10,"")</f>
        <v/>
      </c>
      <c r="FL10" s="636" t="str">
        <f t="shared" ref="FL10:FL47" si="117">IF(AND($C10=1, $N10="Duplex"),$E10,"")</f>
        <v/>
      </c>
      <c r="FM10" s="636" t="str">
        <f t="shared" ref="FM10:FM47" si="118">IF(AND($C10=2, $N10="Duplex"),$E10,"")</f>
        <v/>
      </c>
      <c r="FN10" s="636" t="str">
        <f t="shared" ref="FN10:FN47" si="119">IF(AND($C10=3, $N10="Duplex"),$E10,"")</f>
        <v/>
      </c>
      <c r="FO10" s="636" t="str">
        <f t="shared" ref="FO10:FO47" si="120">IF(AND($C10=4, $N10="Duplex"),$E10,"")</f>
        <v/>
      </c>
      <c r="FP10" s="636" t="str">
        <f t="shared" ref="FP10:FP47" si="121">IF(AND($C10="Efficiency", $N10="Townhome"),$E10,"")</f>
        <v/>
      </c>
      <c r="FQ10" s="636" t="str">
        <f t="shared" ref="FQ10:FQ47" si="122">IF(AND($C10=1, $N10="Townhome"),$E10,"")</f>
        <v/>
      </c>
      <c r="FR10" s="636" t="str">
        <f t="shared" ref="FR10:FR47" si="123">IF(AND($C10=2, $N10="Townhome"),$E10,"")</f>
        <v/>
      </c>
      <c r="FS10" s="636" t="str">
        <f t="shared" ref="FS10:FS47" si="124">IF(AND($C10=3, $N10="Townhome"),$E10,"")</f>
        <v/>
      </c>
      <c r="FT10" s="636" t="str">
        <f t="shared" ref="FT10:FT47" si="125">IF(AND($C10=4, $N10="Townhome"),$E10,"")</f>
        <v/>
      </c>
      <c r="FU10" s="636" t="str">
        <f t="shared" ref="FU10:FU47" si="126">IF(AND($C10="Efficiency", $N10="1-Story"),$E10,"")</f>
        <v/>
      </c>
      <c r="FV10" s="636" t="str">
        <f t="shared" ref="FV10:FV47" si="127">IF(AND($C10=1, $N10="1-Story"),$E10,"")</f>
        <v/>
      </c>
      <c r="FW10" s="636" t="str">
        <f t="shared" ref="FW10:FW47" si="128">IF(AND($C10=2, $N10="1-Story"),$E10,"")</f>
        <v/>
      </c>
      <c r="FX10" s="636" t="str">
        <f t="shared" ref="FX10:FX47" si="129">IF(AND($C10=3, $N10="1-Story"),$E10,"")</f>
        <v/>
      </c>
      <c r="FY10" s="636" t="str">
        <f t="shared" ref="FY10:FY47" si="130">IF(AND($C10=4, $N10="1-Story"),$E10,"")</f>
        <v/>
      </c>
      <c r="FZ10" s="636" t="str">
        <f t="shared" ref="FZ10:FZ47" si="131">IF(AND($C10="Efficiency", $N10="2-Story"),$E10,"")</f>
        <v/>
      </c>
      <c r="GA10" s="636" t="str">
        <f t="shared" ref="GA10:GA47" si="132">IF(AND($C10=1, $N10="2-Story"),$E10,"")</f>
        <v/>
      </c>
      <c r="GB10" s="636" t="str">
        <f t="shared" ref="GB10:GB47" si="133">IF(AND($C10=2, $N10="2-Story"),$E10,"")</f>
        <v/>
      </c>
      <c r="GC10" s="636" t="str">
        <f t="shared" ref="GC10:GC47" si="134">IF(AND($C10=3, $N10="2-Story"),$E10,"")</f>
        <v/>
      </c>
      <c r="GD10" s="636" t="str">
        <f t="shared" ref="GD10:GD47" si="135">IF(AND($C10=4, $N10="2-Story"),$E10,"")</f>
        <v/>
      </c>
      <c r="GE10" s="636" t="str">
        <f t="shared" ref="GE10:GE47" si="136">IF(AND($C10="Efficiency", $N10="2-Story Walkup"),$E10,"")</f>
        <v/>
      </c>
      <c r="GF10" s="636" t="str">
        <f t="shared" ref="GF10:GF47" si="137">IF(AND($C10=1, $N10="2-Story Walkup"),$E10,"")</f>
        <v/>
      </c>
      <c r="GG10" s="636" t="str">
        <f t="shared" ref="GG10:GG47" si="138">IF(AND($C10=2, $N10="2-Story Walkup"),$E10,"")</f>
        <v/>
      </c>
      <c r="GH10" s="636" t="str">
        <f t="shared" ref="GH10:GH47" si="139">IF(AND($C10=3, $N10="2-Story Walkup"),$E10,"")</f>
        <v/>
      </c>
      <c r="GI10" s="636" t="str">
        <f t="shared" ref="GI10:GI47" si="140">IF(AND($C10=4, $N10="2-Story Walkup"),$E10,"")</f>
        <v/>
      </c>
      <c r="GJ10" s="636" t="str">
        <f t="shared" ref="GJ10:GJ47" si="141">IF(AND($C10="Efficiency", $N10="3+ Story"),$E10,"")</f>
        <v/>
      </c>
      <c r="GK10" s="636">
        <f t="shared" ref="GK10:GK47" si="142">IF(AND($C10=1, $N10="3+ Story"),$E10,"")</f>
        <v>15</v>
      </c>
      <c r="GL10" s="636" t="str">
        <f t="shared" ref="GL10:GL47" si="143">IF(AND($C10=2, $N10="3+ Story"),$E10,"")</f>
        <v/>
      </c>
      <c r="GM10" s="636" t="str">
        <f t="shared" ref="GM10:GM47" si="144">IF(AND($C10=3, $N10="3+ Story"),$E10,"")</f>
        <v/>
      </c>
      <c r="GN10" s="636" t="str">
        <f t="shared" ref="GN10:GN47" si="145">IF(AND($C10=4, $N10="3+ Story"),$E10,"")</f>
        <v/>
      </c>
      <c r="GO10" s="637" t="str">
        <f t="shared" ref="GO10:GO47" si="146">IF(AND($B10="NSP 120% AMI",$C10="Efficiency", NOT($M10="Common")),$E10,"")</f>
        <v/>
      </c>
      <c r="GP10" s="637" t="str">
        <f t="shared" ref="GP10:GP47" si="147">IF(AND($B10="NSP 120% AMI",$C10=1,NOT($M10="Common")),$E10,"")</f>
        <v/>
      </c>
      <c r="GQ10" s="637" t="str">
        <f t="shared" ref="GQ10:GQ47" si="148">IF(AND($B10="NSP 120% AMI",$C10=2,NOT($M10="Common")),$E10,"")</f>
        <v/>
      </c>
      <c r="GR10" s="637" t="str">
        <f t="shared" ref="GR10:GR47" si="149">IF(AND($B10="NSP 120% AMI",$C10=3,NOT($M10="Common")),$E10,"")</f>
        <v/>
      </c>
      <c r="GS10" s="637" t="str">
        <f t="shared" ref="GS10:GS47" si="150">IF(AND($B10="NSP 120% AMI",$C10=4,NOT($M10="Common")),$E10,"")</f>
        <v/>
      </c>
      <c r="GT10" s="624" t="str">
        <f t="shared" ref="GT10:GT47" si="151">IF(AND(C10="Efficiency",B10="NSP 120% AMI",NOT(M10="Common")),E10*F10,"")</f>
        <v/>
      </c>
      <c r="GU10" s="624" t="str">
        <f t="shared" ref="GU10:GU47" si="152">IF(AND(C10=1,B10="NSP 120% AMI",NOT(M10="Common")),E10*F10,"")</f>
        <v/>
      </c>
      <c r="GV10" s="624" t="str">
        <f t="shared" ref="GV10:GV47" si="153">IF(AND(C10=2,B10="NSP 120% AMI",NOT(M10="Common")),E10*F10,"")</f>
        <v/>
      </c>
      <c r="GW10" s="624" t="str">
        <f t="shared" ref="GW10:GW47" si="154">IF(AND(C10=3,B10="NSP 120% AMI",NOT(M10="Common")),E10*F10,"")</f>
        <v/>
      </c>
      <c r="GX10" s="624" t="str">
        <f t="shared" ref="GX10:GX47" si="155">IF(AND(C10=4,B10="NSP 120% AMI",NOT(M10="Common")),E10*F10,"")</f>
        <v/>
      </c>
      <c r="GY10" s="624" t="str">
        <f t="shared" ref="GY10:GY47" si="156">IF(AND($C10="Efficiency", $O10="New Construction",$B10="NSP 120% AMI",NOT($M10="Common")),$E10,"")</f>
        <v/>
      </c>
      <c r="GZ10" s="624" t="str">
        <f t="shared" ref="GZ10:GZ47" si="157">IF(AND($C10=1, $O10="New Construction",$B10="NSP 120% AMI",NOT($M10="Common")),$E10,"")</f>
        <v/>
      </c>
      <c r="HA10" s="624" t="str">
        <f t="shared" ref="HA10:HA47" si="158">IF(AND($C10=2, $O10="New Construction",$B10="NSP 120% AMI",NOT($M10="Common")),$E10,"")</f>
        <v/>
      </c>
      <c r="HB10" s="624" t="str">
        <f t="shared" ref="HB10:HB47" si="159">IF(AND($C10=3, $O10="New Construction",$B10="NSP 120% AMI",NOT($M10="Common")),$E10,"")</f>
        <v/>
      </c>
      <c r="HC10" s="624" t="str">
        <f t="shared" ref="HC10:HC47" si="160">IF(AND($C10=4, $O10="New Construction",$B10="NSP 120% AMI",NOT($M10="Common")),$E10,"")</f>
        <v/>
      </c>
      <c r="HD10" s="624" t="str">
        <f t="shared" ref="HD10:HD47" si="161">IF(AND($C10="Efficiency", $O10="Acquisition/Rehab",$B10="NSP 120% AMI",NOT($M10="Common")),$E10,"")</f>
        <v/>
      </c>
      <c r="HE10" s="624" t="str">
        <f t="shared" ref="HE10:HE47" si="162">IF(AND($C10=1, $O10="Acquisition/Rehab",$B10="NSP 120% AMI",NOT($M10="Common")),$E10,"")</f>
        <v/>
      </c>
      <c r="HF10" s="624" t="str">
        <f t="shared" ref="HF10:HF47" si="163">IF(AND($C10=2, $O10="Acquisition/Rehab",$B10="NSP 120% AMI",NOT($M10="Common")),$E10,"")</f>
        <v/>
      </c>
      <c r="HG10" s="624" t="str">
        <f t="shared" ref="HG10:HG47" si="164">IF(AND($C10=3, $O10="Acquisition/Rehab",$B10="NSP 120% AMI",NOT($M10="Common")),$E10,"")</f>
        <v/>
      </c>
      <c r="HH10" s="624" t="str">
        <f t="shared" ref="HH10:HH47" si="165">IF(AND($C10=4, $O10="Acquisition/Rehab",$B10="NSP 120% AMI",NOT($M10="Common")),$E10,"")</f>
        <v/>
      </c>
      <c r="HI10" s="624" t="str">
        <f t="shared" ref="HI10:HI47" si="166">IF(AND($C10="Efficiency", $O10="Rehabilitation",$B10="NSP 120% AMI",NOT($M10="Common")),$E10,"")</f>
        <v/>
      </c>
      <c r="HJ10" s="624" t="str">
        <f t="shared" ref="HJ10:HJ47" si="167">IF(AND($C10=1, $O10="Rehabilitation",$B10="NSP 120% AMI",NOT($M10="Common")),$E10,"")</f>
        <v/>
      </c>
      <c r="HK10" s="624" t="str">
        <f t="shared" ref="HK10:HK47" si="168">IF(AND($C10=2, $O10="Rehabilitation",$B10="NSP 120% AMI",NOT($M10="Common")),$E10,"")</f>
        <v/>
      </c>
      <c r="HL10" s="624" t="str">
        <f t="shared" ref="HL10:HL47" si="169">IF(AND($C10=3, $O10="Rehabilitation",$B10="NSP 120% AMI",NOT($M10="Common")),$E10,"")</f>
        <v/>
      </c>
      <c r="HM10" s="624" t="str">
        <f t="shared" ref="HM10:HM47" si="170">IF(AND($C10=4, $O10="Rehabilitation",$B10="NSP 120% AMI",NOT($M10="Common")),$E10,"")</f>
        <v/>
      </c>
    </row>
    <row r="11" spans="1:255" ht="13.15" customHeight="1">
      <c r="A11" s="130">
        <f t="shared" ref="A11:A47" si="171">IF(AND(E11&gt;0,OR(B11="",C11="",D11="",F11="",G11="", H11="",M11="",N11="",O11="")),1,"")</f>
        <v>1</v>
      </c>
      <c r="B11" s="1553" t="s">
        <v>1562</v>
      </c>
      <c r="C11" s="1554">
        <v>1</v>
      </c>
      <c r="D11" s="1555">
        <v>1</v>
      </c>
      <c r="E11" s="1556">
        <v>48</v>
      </c>
      <c r="F11" s="1556">
        <v>750</v>
      </c>
      <c r="G11" s="1556"/>
      <c r="H11" s="1556">
        <v>737</v>
      </c>
      <c r="I11" s="1556">
        <v>129</v>
      </c>
      <c r="J11" s="1557" t="s">
        <v>4076</v>
      </c>
      <c r="K11" s="205">
        <f t="shared" ref="K11:K27" si="172">MAX(0,H11-I11)</f>
        <v>608</v>
      </c>
      <c r="L11" s="205">
        <f t="shared" si="0"/>
        <v>29184</v>
      </c>
      <c r="M11" s="1558"/>
      <c r="N11" s="1558" t="s">
        <v>4103</v>
      </c>
      <c r="O11" s="1558" t="s">
        <v>3023</v>
      </c>
      <c r="P11" s="559">
        <f>IF(H11="","",H11*12/0.3)</f>
        <v>29480</v>
      </c>
      <c r="Q11" s="560">
        <f>IF(H11="","",P11/($P$6*VLOOKUP(C11,'DCA Underwriting Assumptions'!$J$81:$K$86,2,FALSE)))</f>
        <v>0.59286073403720463</v>
      </c>
      <c r="R11" s="667"/>
      <c r="S11" s="560"/>
      <c r="T11" s="1497"/>
      <c r="U11" s="1498"/>
      <c r="V11" s="624" t="str">
        <f t="shared" si="1"/>
        <v/>
      </c>
      <c r="W11" s="624">
        <f t="shared" si="2"/>
        <v>48</v>
      </c>
      <c r="X11" s="624" t="str">
        <f t="shared" si="3"/>
        <v/>
      </c>
      <c r="Y11" s="624" t="str">
        <f t="shared" si="4"/>
        <v/>
      </c>
      <c r="Z11" s="624" t="str">
        <f t="shared" si="5"/>
        <v/>
      </c>
      <c r="AA11" s="624" t="str">
        <f t="shared" si="6"/>
        <v/>
      </c>
      <c r="AB11" s="624" t="str">
        <f t="shared" si="7"/>
        <v/>
      </c>
      <c r="AC11" s="624" t="str">
        <f t="shared" si="8"/>
        <v/>
      </c>
      <c r="AD11" s="624" t="str">
        <f t="shared" si="9"/>
        <v/>
      </c>
      <c r="AE11" s="624" t="str">
        <f t="shared" si="10"/>
        <v/>
      </c>
      <c r="AF11" s="624" t="str">
        <f t="shared" si="11"/>
        <v/>
      </c>
      <c r="AG11" s="624" t="str">
        <f t="shared" si="12"/>
        <v/>
      </c>
      <c r="AH11" s="624" t="str">
        <f t="shared" si="13"/>
        <v/>
      </c>
      <c r="AI11" s="624" t="str">
        <f t="shared" si="14"/>
        <v/>
      </c>
      <c r="AJ11" s="624" t="str">
        <f t="shared" si="15"/>
        <v/>
      </c>
      <c r="AK11" s="624" t="str">
        <f t="shared" si="16"/>
        <v/>
      </c>
      <c r="AL11" s="624" t="str">
        <f t="shared" si="17"/>
        <v/>
      </c>
      <c r="AM11" s="624" t="str">
        <f t="shared" si="18"/>
        <v/>
      </c>
      <c r="AN11" s="624" t="str">
        <f t="shared" si="19"/>
        <v/>
      </c>
      <c r="AO11" s="624" t="str">
        <f t="shared" si="20"/>
        <v/>
      </c>
      <c r="AP11" s="624" t="str">
        <f t="shared" ref="AP11:AP47" si="173">IF(OR(AND($C11="Efficiency",NOT($J11=""),NOT($J11="PHA Oper Sub"),$B11="30% AMI",NOT($M11="Common")),AND($C11="Efficiency",NOT($J11=""),NOT($J11="PHA Oper Sub"),$B11="HOME 30% AMI",NOT($M11="Common"))),$E11,"")</f>
        <v/>
      </c>
      <c r="AQ11" s="624" t="str">
        <f t="shared" ref="AQ11:AQ47" si="174">IF(OR(AND($C11=1,NOT($J11=""),NOT($J11="PHA Oper Sub"),$B11="30% AMI",NOT($M11="Common")),AND($C11=1,NOT($J11=""),NOT($J11="PHA Oper Sub"),$B11="HOME 30% AMI",NOT($M11="Common"))),$E11,"")</f>
        <v/>
      </c>
      <c r="AR11" s="624" t="str">
        <f t="shared" ref="AR11:AR47" si="175">IF(OR(AND($C11=2,NOT($J11=""),NOT($J11="PHA Oper Sub"),$B11="30% AMI",NOT($M11="Common")),AND($C11=2,NOT($J11=""),NOT($J11="PHA Oper Sub"),$B11="HOME 30% AMI",NOT($M11="Common"))),$E11,"")</f>
        <v/>
      </c>
      <c r="AS11" s="624" t="str">
        <f t="shared" ref="AS11:AS47" si="176">IF(OR(AND($C11=3,NOT($J11=""),NOT($J11="PHA Oper Sub"),$B11="30% AMI",NOT($M11="Common")),AND($C11=3,NOT($J11=""),NOT($J11="PHA Oper Sub"),$B11="HOME 30% AMI",NOT($M11="Common"))),$E11,"")</f>
        <v/>
      </c>
      <c r="AT11" s="624" t="str">
        <f t="shared" ref="AT11:AT47" si="177">IF(OR(AND($C11=4,NOT($J11=""),NOT($J11="PHA Oper Sub"),$B11="30% AMI",NOT($M11="Common")),AND($C11=4,NOT($J11=""),NOT($J11="PHA Oper Sub"),$B11="HOME 30% AMI",NOT($M11="Common"))),$E11,"")</f>
        <v/>
      </c>
      <c r="AU11" s="624" t="str">
        <f t="shared" ref="AU11:AU47" si="178">IF(OR(AND($C11="Efficiency",NOT($J11=""),NOT($J11="PHA Oper Sub"),NOT($J11=0),$B11="50% AMI",NOT($M11="Common")),AND($C11="Efficiency",NOT($J11=""),NOT($J11=0),NOT($J11="PHA Oper Sub"),$B11="HOME 50% AMI",NOT($M11="Common"))),$E11,"")</f>
        <v/>
      </c>
      <c r="AV11" s="624" t="str">
        <f t="shared" ref="AV11:AV47" si="179">IF(OR(AND($C11=1,NOT($J11=""),NOT($J11=0),NOT($J11="PHA Oper Sub"),$B11="50% AMI",NOT($M11="Common")),AND($C11=1,NOT($J11=""),NOT($J11=0),NOT($J11="PHA Oper Sub"),$B11="HOME 50% AMI",NOT($M11="Common"))),$E11,"")</f>
        <v/>
      </c>
      <c r="AW11" s="624" t="str">
        <f t="shared" ref="AW11:AW47" si="180">IF(OR(AND($C11=2,NOT($J11=""),NOT($J11=0),NOT($J11="PHA Oper Sub"),$B11="50% AMI",NOT($M11="Common")),AND($C11=2,NOT($J11=""),NOT($J11=0),NOT($J11="PHA Oper Sub"),$B11="HOME 50% AMI",NOT($M11="Common"))),$E11,"")</f>
        <v/>
      </c>
      <c r="AX11" s="624" t="str">
        <f t="shared" ref="AX11:AX47" si="181">IF(OR(AND($C11=3,NOT($J11=""),NOT($J11=0),NOT($J11="PHA Oper Sub"),$B11="50% AMI",NOT($M11="Common")),AND($C11=3,NOT($J11=""),NOT($J11=0),NOT($J11="PHA Oper Sub"),$B11="HOME 50% AMI",NOT($M11="Common"))),$E11,"")</f>
        <v/>
      </c>
      <c r="AY11" s="624" t="str">
        <f t="shared" ref="AY11:AY47" si="182">IF(OR(AND($C11=4,NOT($J11=""),NOT($J11=0),NOT($J11="PHA Oper Sub"),$B11="50% AMI",NOT($M11="Common")),AND($C11=4,NOT($J11=""),NOT($J11=0),NOT($J11="PHA Oper Sub"),$B11="HOME 50% AMI",NOT($M11="Common"))),$E11,"")</f>
        <v/>
      </c>
      <c r="AZ11" s="624" t="str">
        <f t="shared" ref="AZ11:AZ47" si="183">IF(OR(AND($C11="Efficiency",NOT($J11=""),NOT($J11=0),NOT($J11="PHA Oper Sub"),$B11="60% AMI",NOT($M11="Common")),AND($C11="Efficiency",NOT($J11=""),NOT($J11=0),NOT($J11="PHA Oper Sub"),$B11="HOME 60% AMI",NOT($M11="Common"))),$E11,"")</f>
        <v/>
      </c>
      <c r="BA11" s="624">
        <f t="shared" ref="BA11:BA47" si="184">IF(OR(AND($C11=1,NOT($J11=""),NOT($J11=0),NOT($J11="PHA Oper Sub"),$B11="60% AMI",NOT($M11="Common")),AND($C11=1,NOT($J11=""),NOT($J11=0),NOT($J11="PHA Oper Sub"),$B11="HOME 60% AMI",NOT($M11="Common"))),$E11,"")</f>
        <v>48</v>
      </c>
      <c r="BB11" s="624" t="str">
        <f t="shared" ref="BB11:BB47" si="185">IF(OR(AND($C11=2,NOT($J11=""),NOT($J11=0),NOT($J11="PHA Oper Sub"),$B11="60% AMI",NOT($M11="Common")),AND($C11=2,NOT($J11=""),NOT($J11=0),NOT($J11="PHA Oper Sub"),$B11="HOME 60% AMI",NOT($M11="Common"))),$E11,"")</f>
        <v/>
      </c>
      <c r="BC11" s="624" t="str">
        <f t="shared" ref="BC11:BC47" si="186">IF(OR(AND($C11=3,NOT($J11=""),NOT($J11=0),NOT($J11="PHA Oper Sub"),$B11="60% AMI",NOT($M11="Common")),AND($C11=3,NOT($J11=""),NOT($J11=0),NOT($J11="PHA Oper Sub"),$B11="HOME 60% AMI",NOT($M11="Common"))),$E11,"")</f>
        <v/>
      </c>
      <c r="BD11" s="624" t="str">
        <f t="shared" ref="BD11:BD47" si="187">IF(OR(AND($C11=4,NOT($J11=""),NOT($J11=0),NOT($J11="PHA Oper Sub"),$B11="60% AMI",NOT($M11="Common")),AND($C11=4,NOT($J11=""),NOT($J11=0),NOT($J11="PHA Oper Sub"),$B11="HOME 60% AMI",NOT($M11="Common"))),$E11,"")</f>
        <v/>
      </c>
      <c r="BE11" s="624" t="str">
        <f t="shared" ref="BE11:BE47" si="188">IF(OR(AND($C11="Efficiency",$J11="PHA Oper Sub",$B11="30% AMI",NOT($M11="Common")),AND($C11="Efficiency",$J11="PHA Oper Sub",$B11="HOME 30% AMI",NOT($M11="Common"))),$E11,"")</f>
        <v/>
      </c>
      <c r="BF11" s="624" t="str">
        <f t="shared" ref="BF11:BF47" si="189">IF(OR(AND($C11=1,$J11="PHA Oper Sub",$B11="30% AMI",NOT($M11="Common")),AND($C11=1,$J11="PHA Oper Sub",$B11="HOME 30% AMI",NOT($M11="Common"))),$E11,"")</f>
        <v/>
      </c>
      <c r="BG11" s="624" t="str">
        <f t="shared" ref="BG11:BG47" si="190">IF(OR(AND($C11=2,$J11="PHA Oper Sub",$B11="30% AMI",NOT($M11="Common")),AND($C11=2,$J11="PHA Oper Sub",$B11="HOME 30% AMI",NOT($M11="Common"))),$E11,"")</f>
        <v/>
      </c>
      <c r="BH11" s="624" t="str">
        <f t="shared" ref="BH11:BH47" si="191">IF(OR(AND($C11=3,$J11="PHA Oper Sub",$B11="30% AMI",NOT($M11="Common")),AND($C11=3,$J11="PHA Oper Sub",$B11="HOME 30% AMI",NOT($M11="Common"))),$E11,"")</f>
        <v/>
      </c>
      <c r="BI11" s="624" t="str">
        <f t="shared" ref="BI11:BI47" si="192">IF(OR(AND($C11=4,$J11="PHA Oper Sub",$B11="30% AMI",NOT($M11="Common")),AND($C11=4,$J11="PHA Oper Sub",$B11="HOME 30% AMI",NOT($M11="Common"))),$E11,"")</f>
        <v/>
      </c>
      <c r="BJ11" s="624" t="str">
        <f t="shared" ref="BJ11:BJ47" si="193">IF(OR(AND($C11="Efficiency",$J11="PHA Oper Sub",$B11="50% AMI",NOT($M11="Common")),AND($C11="Efficiency",$J11="PHA Oper Sub",$B11="HOME 50% AMI",NOT($M11="Common"))),$E11,"")</f>
        <v/>
      </c>
      <c r="BK11" s="624" t="str">
        <f t="shared" ref="BK11:BK47" si="194">IF(OR(AND($C11=1,$J11="PHA Oper Sub",$B11="50% AMI",NOT($M11="Common")),AND($C11=1,$J11="PHA Oper Sub",$B11="HOME 50% AMI",NOT($M11="Common"))),$E11,"")</f>
        <v/>
      </c>
      <c r="BL11" s="624" t="str">
        <f t="shared" ref="BL11:BL47" si="195">IF(OR(AND($C11=2,$J11="PHA Oper Sub",$B11="50% AMI",NOT($M11="Common")),AND($C11=2,$J11="PHA Oper Sub",$B11="HOME 50% AMI",NOT($M11="Common"))),$E11,"")</f>
        <v/>
      </c>
      <c r="BM11" s="624" t="str">
        <f t="shared" ref="BM11:BM47" si="196">IF(OR(AND($C11=3,$J11="PHA Oper Sub",$B11="50% AMI",NOT($M11="Common")),AND($C11=3,$J11="PHA Oper Sub",$B11="HOME 50% AMI",NOT($M11="Common"))),$E11,"")</f>
        <v/>
      </c>
      <c r="BN11" s="624" t="str">
        <f t="shared" ref="BN11:BN47" si="197">IF(OR(AND($C11=4,$J11="PHA Oper Sub",$B11="50% AMI",NOT($M11="Common")),AND($C11=4,$J11="PHA Oper Sub",$B11="HOME 50% AMI",NOT($M11="Common"))),$E11,"")</f>
        <v/>
      </c>
      <c r="BO11" s="624" t="str">
        <f t="shared" ref="BO11:BO47" si="198">IF(OR(AND($C11="Efficiency",$J11="PHA Oper Sub",$B11="60% AMI",NOT($M11="Common")),AND($C11="Efficiency",$J11="PHA Oper Sub",$B11="HOME 60% AMI",NOT($M11="Common"))),$E11,"")</f>
        <v/>
      </c>
      <c r="BP11" s="624" t="str">
        <f t="shared" ref="BP11:BP47" si="199">IF(OR(AND($C11=1,$J11="PHA Oper Sub",$B11="60% AMI",NOT($M11="Common")),AND($C11=1,$J11="PHA Oper Sub",$B11="HOME 60% AMI",NOT($M11="Common"))),$E11,"")</f>
        <v/>
      </c>
      <c r="BQ11" s="624" t="str">
        <f t="shared" ref="BQ11:BQ47" si="200">IF(OR(AND($C11=2,$J11="PHA Oper Sub",$B11="60% AMI",NOT($M11="Common")),AND($C11=2,$J11="PHA Oper Sub",$B11="HOME 60% AMI",NOT($M11="Common"))),$E11,"")</f>
        <v/>
      </c>
      <c r="BR11" s="624" t="str">
        <f t="shared" ref="BR11:BR47" si="201">IF(OR(AND($C11=3,$J11="PHA Oper Sub",$B11="60% AMI",NOT($M11="Common")),AND($C11=3,$J11="PHA Oper Sub",$B11="HOME 60% AMI",NOT($M11="Common"))),$E11,"")</f>
        <v/>
      </c>
      <c r="BS11" s="624" t="str">
        <f t="shared" ref="BS11:BS47" si="202">IF(OR(AND($C11=4,$J11="PHA Oper Sub",$B11="60% AMI",NOT($M11="Common")),AND($C11=4,$J11="PHA Oper Sub",$B11="HOME 60% AMI",NOT($M11="Common"))),$E11,"")</f>
        <v/>
      </c>
      <c r="BT11" s="624" t="str">
        <f t="shared" si="21"/>
        <v/>
      </c>
      <c r="BU11" s="624" t="str">
        <f t="shared" si="22"/>
        <v/>
      </c>
      <c r="BV11" s="624" t="str">
        <f t="shared" si="23"/>
        <v/>
      </c>
      <c r="BW11" s="624" t="str">
        <f t="shared" si="24"/>
        <v/>
      </c>
      <c r="BX11" s="624" t="str">
        <f t="shared" si="25"/>
        <v/>
      </c>
      <c r="BY11" s="624" t="str">
        <f t="shared" si="26"/>
        <v/>
      </c>
      <c r="BZ11" s="624">
        <f t="shared" si="27"/>
        <v>36000</v>
      </c>
      <c r="CA11" s="624" t="str">
        <f t="shared" si="28"/>
        <v/>
      </c>
      <c r="CB11" s="624" t="str">
        <f t="shared" si="29"/>
        <v/>
      </c>
      <c r="CC11" s="624" t="str">
        <f t="shared" si="30"/>
        <v/>
      </c>
      <c r="CD11" s="624" t="str">
        <f t="shared" si="31"/>
        <v/>
      </c>
      <c r="CE11" s="624" t="str">
        <f t="shared" si="32"/>
        <v/>
      </c>
      <c r="CF11" s="624" t="str">
        <f t="shared" si="33"/>
        <v/>
      </c>
      <c r="CG11" s="624" t="str">
        <f t="shared" si="34"/>
        <v/>
      </c>
      <c r="CH11" s="624" t="str">
        <f t="shared" si="35"/>
        <v/>
      </c>
      <c r="CI11" s="624" t="str">
        <f t="shared" si="36"/>
        <v/>
      </c>
      <c r="CJ11" s="624" t="str">
        <f t="shared" si="37"/>
        <v/>
      </c>
      <c r="CK11" s="624" t="str">
        <f t="shared" si="38"/>
        <v/>
      </c>
      <c r="CL11" s="624" t="str">
        <f t="shared" si="39"/>
        <v/>
      </c>
      <c r="CM11" s="624" t="str">
        <f t="shared" si="40"/>
        <v/>
      </c>
      <c r="CN11" s="624" t="str">
        <f t="shared" si="41"/>
        <v/>
      </c>
      <c r="CO11" s="624" t="str">
        <f t="shared" si="42"/>
        <v/>
      </c>
      <c r="CP11" s="624" t="str">
        <f t="shared" si="43"/>
        <v/>
      </c>
      <c r="CQ11" s="624" t="str">
        <f t="shared" si="44"/>
        <v/>
      </c>
      <c r="CR11" s="624" t="str">
        <f t="shared" si="45"/>
        <v/>
      </c>
      <c r="CS11" s="624" t="str">
        <f t="shared" si="46"/>
        <v/>
      </c>
      <c r="CT11" s="624">
        <f t="shared" si="47"/>
        <v>36000</v>
      </c>
      <c r="CU11" s="624" t="str">
        <f t="shared" si="48"/>
        <v/>
      </c>
      <c r="CV11" s="624" t="str">
        <f t="shared" si="49"/>
        <v/>
      </c>
      <c r="CW11" s="624" t="str">
        <f t="shared" si="50"/>
        <v/>
      </c>
      <c r="CX11" s="624" t="str">
        <f t="shared" si="51"/>
        <v/>
      </c>
      <c r="CY11" s="624" t="str">
        <f t="shared" si="52"/>
        <v/>
      </c>
      <c r="CZ11" s="624" t="str">
        <f t="shared" si="53"/>
        <v/>
      </c>
      <c r="DA11" s="624" t="str">
        <f t="shared" si="54"/>
        <v/>
      </c>
      <c r="DB11" s="624" t="str">
        <f t="shared" si="55"/>
        <v/>
      </c>
      <c r="DC11" s="624" t="str">
        <f t="shared" si="56"/>
        <v/>
      </c>
      <c r="DD11" s="624">
        <f t="shared" si="57"/>
        <v>48</v>
      </c>
      <c r="DE11" s="624" t="str">
        <f t="shared" si="58"/>
        <v/>
      </c>
      <c r="DF11" s="624" t="str">
        <f t="shared" si="59"/>
        <v/>
      </c>
      <c r="DG11" s="624" t="str">
        <f t="shared" si="60"/>
        <v/>
      </c>
      <c r="DH11" s="624" t="str">
        <f t="shared" si="61"/>
        <v/>
      </c>
      <c r="DI11" s="624" t="str">
        <f t="shared" si="62"/>
        <v/>
      </c>
      <c r="DJ11" s="624" t="str">
        <f t="shared" si="63"/>
        <v/>
      </c>
      <c r="DK11" s="624" t="str">
        <f t="shared" si="64"/>
        <v/>
      </c>
      <c r="DL11" s="624" t="str">
        <f t="shared" si="65"/>
        <v/>
      </c>
      <c r="DM11" s="624" t="str">
        <f t="shared" si="66"/>
        <v/>
      </c>
      <c r="DN11" s="624" t="str">
        <f t="shared" si="67"/>
        <v/>
      </c>
      <c r="DO11" s="624" t="str">
        <f t="shared" si="68"/>
        <v/>
      </c>
      <c r="DP11" s="624" t="str">
        <f t="shared" si="69"/>
        <v/>
      </c>
      <c r="DQ11" s="624" t="str">
        <f t="shared" si="70"/>
        <v/>
      </c>
      <c r="DR11" s="624" t="str">
        <f t="shared" si="71"/>
        <v/>
      </c>
      <c r="DS11" s="624" t="str">
        <f t="shared" si="72"/>
        <v/>
      </c>
      <c r="DT11" s="624" t="str">
        <f t="shared" si="73"/>
        <v/>
      </c>
      <c r="DU11" s="624" t="str">
        <f t="shared" si="74"/>
        <v/>
      </c>
      <c r="DV11" s="624" t="str">
        <f t="shared" si="75"/>
        <v/>
      </c>
      <c r="DW11" s="624" t="str">
        <f t="shared" si="76"/>
        <v/>
      </c>
      <c r="DX11" s="624" t="str">
        <f t="shared" si="77"/>
        <v/>
      </c>
      <c r="DY11" s="624" t="str">
        <f t="shared" si="78"/>
        <v/>
      </c>
      <c r="DZ11" s="624" t="str">
        <f t="shared" si="79"/>
        <v/>
      </c>
      <c r="EA11" s="624" t="str">
        <f t="shared" si="80"/>
        <v/>
      </c>
      <c r="EB11" s="624" t="str">
        <f t="shared" si="81"/>
        <v/>
      </c>
      <c r="EC11" s="624" t="str">
        <f t="shared" si="82"/>
        <v/>
      </c>
      <c r="ED11" s="624" t="str">
        <f t="shared" si="83"/>
        <v/>
      </c>
      <c r="EE11" s="624" t="str">
        <f t="shared" si="84"/>
        <v/>
      </c>
      <c r="EF11" s="624" t="str">
        <f t="shared" si="85"/>
        <v/>
      </c>
      <c r="EG11" s="624" t="str">
        <f t="shared" si="86"/>
        <v/>
      </c>
      <c r="EH11" s="624" t="str">
        <f t="shared" si="87"/>
        <v/>
      </c>
      <c r="EI11" s="624" t="str">
        <f t="shared" si="88"/>
        <v/>
      </c>
      <c r="EJ11" s="624" t="str">
        <f t="shared" si="89"/>
        <v/>
      </c>
      <c r="EK11" s="624" t="str">
        <f t="shared" si="90"/>
        <v/>
      </c>
      <c r="EL11" s="624" t="str">
        <f t="shared" si="91"/>
        <v/>
      </c>
      <c r="EM11" s="624" t="str">
        <f t="shared" si="92"/>
        <v/>
      </c>
      <c r="EN11" s="624" t="str">
        <f t="shared" si="93"/>
        <v/>
      </c>
      <c r="EO11" s="624" t="str">
        <f t="shared" si="94"/>
        <v/>
      </c>
      <c r="EP11" s="624" t="str">
        <f t="shared" si="95"/>
        <v/>
      </c>
      <c r="EQ11" s="624" t="str">
        <f t="shared" si="96"/>
        <v/>
      </c>
      <c r="ER11" s="624" t="str">
        <f t="shared" si="97"/>
        <v/>
      </c>
      <c r="ES11" s="624" t="str">
        <f t="shared" si="98"/>
        <v/>
      </c>
      <c r="ET11" s="624" t="str">
        <f t="shared" si="99"/>
        <v/>
      </c>
      <c r="EU11" s="624" t="str">
        <f t="shared" si="100"/>
        <v/>
      </c>
      <c r="EV11" s="636" t="str">
        <f t="shared" si="101"/>
        <v/>
      </c>
      <c r="EW11" s="636">
        <f t="shared" si="102"/>
        <v>48</v>
      </c>
      <c r="EX11" s="636" t="str">
        <f t="shared" si="103"/>
        <v/>
      </c>
      <c r="EY11" s="636" t="str">
        <f t="shared" si="104"/>
        <v/>
      </c>
      <c r="EZ11" s="636" t="str">
        <f t="shared" si="105"/>
        <v/>
      </c>
      <c r="FA11" s="636" t="str">
        <f t="shared" si="106"/>
        <v/>
      </c>
      <c r="FB11" s="636" t="str">
        <f t="shared" si="107"/>
        <v/>
      </c>
      <c r="FC11" s="636" t="str">
        <f t="shared" si="108"/>
        <v/>
      </c>
      <c r="FD11" s="636" t="str">
        <f t="shared" si="109"/>
        <v/>
      </c>
      <c r="FE11" s="636" t="str">
        <f t="shared" si="110"/>
        <v/>
      </c>
      <c r="FF11" s="636" t="str">
        <f t="shared" si="111"/>
        <v/>
      </c>
      <c r="FG11" s="636" t="str">
        <f t="shared" si="112"/>
        <v/>
      </c>
      <c r="FH11" s="636" t="str">
        <f t="shared" si="113"/>
        <v/>
      </c>
      <c r="FI11" s="636" t="str">
        <f t="shared" si="114"/>
        <v/>
      </c>
      <c r="FJ11" s="636" t="str">
        <f t="shared" si="115"/>
        <v/>
      </c>
      <c r="FK11" s="636" t="str">
        <f t="shared" si="116"/>
        <v/>
      </c>
      <c r="FL11" s="636" t="str">
        <f t="shared" si="117"/>
        <v/>
      </c>
      <c r="FM11" s="636" t="str">
        <f t="shared" si="118"/>
        <v/>
      </c>
      <c r="FN11" s="636" t="str">
        <f t="shared" si="119"/>
        <v/>
      </c>
      <c r="FO11" s="636" t="str">
        <f t="shared" si="120"/>
        <v/>
      </c>
      <c r="FP11" s="636" t="str">
        <f t="shared" si="121"/>
        <v/>
      </c>
      <c r="FQ11" s="636" t="str">
        <f t="shared" si="122"/>
        <v/>
      </c>
      <c r="FR11" s="636" t="str">
        <f t="shared" si="123"/>
        <v/>
      </c>
      <c r="FS11" s="636" t="str">
        <f t="shared" si="124"/>
        <v/>
      </c>
      <c r="FT11" s="636" t="str">
        <f t="shared" si="125"/>
        <v/>
      </c>
      <c r="FU11" s="636" t="str">
        <f t="shared" si="126"/>
        <v/>
      </c>
      <c r="FV11" s="636" t="str">
        <f t="shared" si="127"/>
        <v/>
      </c>
      <c r="FW11" s="636" t="str">
        <f t="shared" si="128"/>
        <v/>
      </c>
      <c r="FX11" s="636" t="str">
        <f t="shared" si="129"/>
        <v/>
      </c>
      <c r="FY11" s="636" t="str">
        <f t="shared" si="130"/>
        <v/>
      </c>
      <c r="FZ11" s="636" t="str">
        <f t="shared" si="131"/>
        <v/>
      </c>
      <c r="GA11" s="636" t="str">
        <f t="shared" si="132"/>
        <v/>
      </c>
      <c r="GB11" s="636" t="str">
        <f t="shared" si="133"/>
        <v/>
      </c>
      <c r="GC11" s="636" t="str">
        <f t="shared" si="134"/>
        <v/>
      </c>
      <c r="GD11" s="636" t="str">
        <f t="shared" si="135"/>
        <v/>
      </c>
      <c r="GE11" s="636" t="str">
        <f t="shared" si="136"/>
        <v/>
      </c>
      <c r="GF11" s="636" t="str">
        <f t="shared" si="137"/>
        <v/>
      </c>
      <c r="GG11" s="636" t="str">
        <f t="shared" si="138"/>
        <v/>
      </c>
      <c r="GH11" s="636" t="str">
        <f t="shared" si="139"/>
        <v/>
      </c>
      <c r="GI11" s="636" t="str">
        <f t="shared" si="140"/>
        <v/>
      </c>
      <c r="GJ11" s="636" t="str">
        <f t="shared" si="141"/>
        <v/>
      </c>
      <c r="GK11" s="636">
        <f t="shared" si="142"/>
        <v>48</v>
      </c>
      <c r="GL11" s="636" t="str">
        <f t="shared" si="143"/>
        <v/>
      </c>
      <c r="GM11" s="636" t="str">
        <f t="shared" si="144"/>
        <v/>
      </c>
      <c r="GN11" s="636" t="str">
        <f t="shared" si="145"/>
        <v/>
      </c>
      <c r="GO11" s="637" t="str">
        <f t="shared" si="146"/>
        <v/>
      </c>
      <c r="GP11" s="637" t="str">
        <f t="shared" si="147"/>
        <v/>
      </c>
      <c r="GQ11" s="637" t="str">
        <f t="shared" si="148"/>
        <v/>
      </c>
      <c r="GR11" s="637" t="str">
        <f t="shared" si="149"/>
        <v/>
      </c>
      <c r="GS11" s="637" t="str">
        <f t="shared" si="150"/>
        <v/>
      </c>
      <c r="GT11" s="624" t="str">
        <f t="shared" si="151"/>
        <v/>
      </c>
      <c r="GU11" s="624" t="str">
        <f t="shared" si="152"/>
        <v/>
      </c>
      <c r="GV11" s="624" t="str">
        <f t="shared" si="153"/>
        <v/>
      </c>
      <c r="GW11" s="624" t="str">
        <f t="shared" si="154"/>
        <v/>
      </c>
      <c r="GX11" s="624" t="str">
        <f t="shared" si="155"/>
        <v/>
      </c>
      <c r="GY11" s="624" t="str">
        <f t="shared" si="156"/>
        <v/>
      </c>
      <c r="GZ11" s="624" t="str">
        <f t="shared" si="157"/>
        <v/>
      </c>
      <c r="HA11" s="624" t="str">
        <f t="shared" si="158"/>
        <v/>
      </c>
      <c r="HB11" s="624" t="str">
        <f t="shared" si="159"/>
        <v/>
      </c>
      <c r="HC11" s="624" t="str">
        <f t="shared" si="160"/>
        <v/>
      </c>
      <c r="HD11" s="624" t="str">
        <f t="shared" si="161"/>
        <v/>
      </c>
      <c r="HE11" s="624" t="str">
        <f t="shared" si="162"/>
        <v/>
      </c>
      <c r="HF11" s="624" t="str">
        <f t="shared" si="163"/>
        <v/>
      </c>
      <c r="HG11" s="624" t="str">
        <f t="shared" si="164"/>
        <v/>
      </c>
      <c r="HH11" s="624" t="str">
        <f t="shared" si="165"/>
        <v/>
      </c>
      <c r="HI11" s="624" t="str">
        <f t="shared" si="166"/>
        <v/>
      </c>
      <c r="HJ11" s="624" t="str">
        <f t="shared" si="167"/>
        <v/>
      </c>
      <c r="HK11" s="624" t="str">
        <f t="shared" si="168"/>
        <v/>
      </c>
      <c r="HL11" s="624" t="str">
        <f t="shared" si="169"/>
        <v/>
      </c>
      <c r="HM11" s="624" t="str">
        <f t="shared" si="170"/>
        <v/>
      </c>
    </row>
    <row r="12" spans="1:255" ht="13.15" customHeight="1">
      <c r="A12" s="130">
        <f t="shared" si="171"/>
        <v>1</v>
      </c>
      <c r="B12" s="1553" t="s">
        <v>333</v>
      </c>
      <c r="C12" s="1554">
        <v>1</v>
      </c>
      <c r="D12" s="1555">
        <v>1</v>
      </c>
      <c r="E12" s="1556">
        <v>3</v>
      </c>
      <c r="F12" s="1556">
        <v>750</v>
      </c>
      <c r="G12" s="1556"/>
      <c r="H12" s="1556">
        <v>650</v>
      </c>
      <c r="I12" s="1556"/>
      <c r="J12" s="1557"/>
      <c r="K12" s="205">
        <f t="shared" si="172"/>
        <v>650</v>
      </c>
      <c r="L12" s="205">
        <f t="shared" si="0"/>
        <v>1950</v>
      </c>
      <c r="M12" s="1558"/>
      <c r="N12" s="1558" t="s">
        <v>4103</v>
      </c>
      <c r="O12" s="1558" t="s">
        <v>3023</v>
      </c>
      <c r="P12" s="559">
        <f>IF(H12="","",H12*12/0.3)</f>
        <v>26000</v>
      </c>
      <c r="Q12" s="560">
        <f>IF(H12="","",P12/($P$6*VLOOKUP(C12,'DCA Underwriting Assumptions'!$J$81:$K$86,2,FALSE)))</f>
        <v>0.52287581699346408</v>
      </c>
      <c r="R12" s="667"/>
      <c r="S12" s="560"/>
      <c r="T12" s="1497"/>
      <c r="U12" s="1498"/>
      <c r="V12" s="624" t="str">
        <f t="shared" si="1"/>
        <v/>
      </c>
      <c r="W12" s="624" t="str">
        <f t="shared" si="2"/>
        <v/>
      </c>
      <c r="X12" s="624" t="str">
        <f t="shared" si="3"/>
        <v/>
      </c>
      <c r="Y12" s="624" t="str">
        <f t="shared" si="4"/>
        <v/>
      </c>
      <c r="Z12" s="624" t="str">
        <f t="shared" si="5"/>
        <v/>
      </c>
      <c r="AA12" s="624" t="str">
        <f t="shared" si="6"/>
        <v/>
      </c>
      <c r="AB12" s="624" t="str">
        <f t="shared" si="7"/>
        <v/>
      </c>
      <c r="AC12" s="624" t="str">
        <f t="shared" si="8"/>
        <v/>
      </c>
      <c r="AD12" s="624" t="str">
        <f t="shared" si="9"/>
        <v/>
      </c>
      <c r="AE12" s="624" t="str">
        <f t="shared" si="10"/>
        <v/>
      </c>
      <c r="AF12" s="624" t="str">
        <f t="shared" si="11"/>
        <v/>
      </c>
      <c r="AG12" s="624" t="str">
        <f t="shared" si="12"/>
        <v/>
      </c>
      <c r="AH12" s="624" t="str">
        <f t="shared" si="13"/>
        <v/>
      </c>
      <c r="AI12" s="624" t="str">
        <f t="shared" si="14"/>
        <v/>
      </c>
      <c r="AJ12" s="624" t="str">
        <f t="shared" si="15"/>
        <v/>
      </c>
      <c r="AK12" s="624" t="str">
        <f t="shared" si="16"/>
        <v/>
      </c>
      <c r="AL12" s="624">
        <f t="shared" si="17"/>
        <v>3</v>
      </c>
      <c r="AM12" s="624" t="str">
        <f t="shared" si="18"/>
        <v/>
      </c>
      <c r="AN12" s="624" t="str">
        <f t="shared" si="19"/>
        <v/>
      </c>
      <c r="AO12" s="624" t="str">
        <f t="shared" si="20"/>
        <v/>
      </c>
      <c r="AP12" s="624" t="str">
        <f t="shared" si="173"/>
        <v/>
      </c>
      <c r="AQ12" s="624" t="str">
        <f t="shared" si="174"/>
        <v/>
      </c>
      <c r="AR12" s="624" t="str">
        <f t="shared" si="175"/>
        <v/>
      </c>
      <c r="AS12" s="624" t="str">
        <f t="shared" si="176"/>
        <v/>
      </c>
      <c r="AT12" s="624" t="str">
        <f t="shared" si="177"/>
        <v/>
      </c>
      <c r="AU12" s="624" t="str">
        <f t="shared" si="178"/>
        <v/>
      </c>
      <c r="AV12" s="624" t="str">
        <f t="shared" si="179"/>
        <v/>
      </c>
      <c r="AW12" s="624" t="str">
        <f t="shared" si="180"/>
        <v/>
      </c>
      <c r="AX12" s="624" t="str">
        <f t="shared" si="181"/>
        <v/>
      </c>
      <c r="AY12" s="624" t="str">
        <f t="shared" si="182"/>
        <v/>
      </c>
      <c r="AZ12" s="624" t="str">
        <f t="shared" si="183"/>
        <v/>
      </c>
      <c r="BA12" s="624" t="str">
        <f t="shared" si="184"/>
        <v/>
      </c>
      <c r="BB12" s="624" t="str">
        <f t="shared" si="185"/>
        <v/>
      </c>
      <c r="BC12" s="624" t="str">
        <f t="shared" si="186"/>
        <v/>
      </c>
      <c r="BD12" s="624" t="str">
        <f t="shared" si="187"/>
        <v/>
      </c>
      <c r="BE12" s="624" t="str">
        <f t="shared" si="188"/>
        <v/>
      </c>
      <c r="BF12" s="624" t="str">
        <f t="shared" si="189"/>
        <v/>
      </c>
      <c r="BG12" s="624" t="str">
        <f t="shared" si="190"/>
        <v/>
      </c>
      <c r="BH12" s="624" t="str">
        <f t="shared" si="191"/>
        <v/>
      </c>
      <c r="BI12" s="624" t="str">
        <f t="shared" si="192"/>
        <v/>
      </c>
      <c r="BJ12" s="624" t="str">
        <f t="shared" si="193"/>
        <v/>
      </c>
      <c r="BK12" s="624" t="str">
        <f t="shared" si="194"/>
        <v/>
      </c>
      <c r="BL12" s="624" t="str">
        <f t="shared" si="195"/>
        <v/>
      </c>
      <c r="BM12" s="624" t="str">
        <f t="shared" si="196"/>
        <v/>
      </c>
      <c r="BN12" s="624" t="str">
        <f t="shared" si="197"/>
        <v/>
      </c>
      <c r="BO12" s="624" t="str">
        <f t="shared" si="198"/>
        <v/>
      </c>
      <c r="BP12" s="624" t="str">
        <f t="shared" si="199"/>
        <v/>
      </c>
      <c r="BQ12" s="624" t="str">
        <f t="shared" si="200"/>
        <v/>
      </c>
      <c r="BR12" s="624" t="str">
        <f t="shared" si="201"/>
        <v/>
      </c>
      <c r="BS12" s="624" t="str">
        <f t="shared" si="202"/>
        <v/>
      </c>
      <c r="BT12" s="624" t="str">
        <f t="shared" si="21"/>
        <v/>
      </c>
      <c r="BU12" s="624" t="str">
        <f t="shared" si="22"/>
        <v/>
      </c>
      <c r="BV12" s="624" t="str">
        <f t="shared" si="23"/>
        <v/>
      </c>
      <c r="BW12" s="624" t="str">
        <f t="shared" si="24"/>
        <v/>
      </c>
      <c r="BX12" s="624" t="str">
        <f t="shared" si="25"/>
        <v/>
      </c>
      <c r="BY12" s="624" t="str">
        <f t="shared" si="26"/>
        <v/>
      </c>
      <c r="BZ12" s="624" t="str">
        <f t="shared" si="27"/>
        <v/>
      </c>
      <c r="CA12" s="624" t="str">
        <f t="shared" si="28"/>
        <v/>
      </c>
      <c r="CB12" s="624" t="str">
        <f t="shared" si="29"/>
        <v/>
      </c>
      <c r="CC12" s="624" t="str">
        <f t="shared" si="30"/>
        <v/>
      </c>
      <c r="CD12" s="624" t="str">
        <f t="shared" si="31"/>
        <v/>
      </c>
      <c r="CE12" s="624" t="str">
        <f t="shared" si="32"/>
        <v/>
      </c>
      <c r="CF12" s="624" t="str">
        <f t="shared" si="33"/>
        <v/>
      </c>
      <c r="CG12" s="624" t="str">
        <f t="shared" si="34"/>
        <v/>
      </c>
      <c r="CH12" s="624" t="str">
        <f t="shared" si="35"/>
        <v/>
      </c>
      <c r="CI12" s="624" t="str">
        <f t="shared" si="36"/>
        <v/>
      </c>
      <c r="CJ12" s="624" t="str">
        <f t="shared" si="37"/>
        <v/>
      </c>
      <c r="CK12" s="624" t="str">
        <f t="shared" si="38"/>
        <v/>
      </c>
      <c r="CL12" s="624" t="str">
        <f t="shared" si="39"/>
        <v/>
      </c>
      <c r="CM12" s="624" t="str">
        <f t="shared" si="40"/>
        <v/>
      </c>
      <c r="CN12" s="624" t="str">
        <f t="shared" si="41"/>
        <v/>
      </c>
      <c r="CO12" s="624">
        <f t="shared" si="42"/>
        <v>2250</v>
      </c>
      <c r="CP12" s="624" t="str">
        <f t="shared" si="43"/>
        <v/>
      </c>
      <c r="CQ12" s="624" t="str">
        <f t="shared" si="44"/>
        <v/>
      </c>
      <c r="CR12" s="624" t="str">
        <f t="shared" si="45"/>
        <v/>
      </c>
      <c r="CS12" s="624" t="str">
        <f t="shared" si="46"/>
        <v/>
      </c>
      <c r="CT12" s="624" t="str">
        <f t="shared" si="47"/>
        <v/>
      </c>
      <c r="CU12" s="624" t="str">
        <f t="shared" si="48"/>
        <v/>
      </c>
      <c r="CV12" s="624" t="str">
        <f t="shared" si="49"/>
        <v/>
      </c>
      <c r="CW12" s="624" t="str">
        <f t="shared" si="50"/>
        <v/>
      </c>
      <c r="CX12" s="624" t="str">
        <f t="shared" si="51"/>
        <v/>
      </c>
      <c r="CY12" s="624" t="str">
        <f t="shared" si="52"/>
        <v/>
      </c>
      <c r="CZ12" s="624" t="str">
        <f t="shared" si="53"/>
        <v/>
      </c>
      <c r="DA12" s="624" t="str">
        <f t="shared" si="54"/>
        <v/>
      </c>
      <c r="DB12" s="624" t="str">
        <f t="shared" si="55"/>
        <v/>
      </c>
      <c r="DC12" s="624" t="str">
        <f t="shared" si="56"/>
        <v/>
      </c>
      <c r="DD12" s="624" t="str">
        <f t="shared" si="57"/>
        <v/>
      </c>
      <c r="DE12" s="624" t="str">
        <f t="shared" si="58"/>
        <v/>
      </c>
      <c r="DF12" s="624" t="str">
        <f t="shared" si="59"/>
        <v/>
      </c>
      <c r="DG12" s="624" t="str">
        <f t="shared" si="60"/>
        <v/>
      </c>
      <c r="DH12" s="624" t="str">
        <f t="shared" si="61"/>
        <v/>
      </c>
      <c r="DI12" s="624">
        <f t="shared" si="62"/>
        <v>3</v>
      </c>
      <c r="DJ12" s="624" t="str">
        <f t="shared" si="63"/>
        <v/>
      </c>
      <c r="DK12" s="624" t="str">
        <f t="shared" si="64"/>
        <v/>
      </c>
      <c r="DL12" s="624" t="str">
        <f t="shared" si="65"/>
        <v/>
      </c>
      <c r="DM12" s="624" t="str">
        <f t="shared" si="66"/>
        <v/>
      </c>
      <c r="DN12" s="624" t="str">
        <f t="shared" si="67"/>
        <v/>
      </c>
      <c r="DO12" s="624" t="str">
        <f t="shared" si="68"/>
        <v/>
      </c>
      <c r="DP12" s="624" t="str">
        <f t="shared" si="69"/>
        <v/>
      </c>
      <c r="DQ12" s="624" t="str">
        <f t="shared" si="70"/>
        <v/>
      </c>
      <c r="DR12" s="624" t="str">
        <f t="shared" si="71"/>
        <v/>
      </c>
      <c r="DS12" s="624" t="str">
        <f t="shared" si="72"/>
        <v/>
      </c>
      <c r="DT12" s="624" t="str">
        <f t="shared" si="73"/>
        <v/>
      </c>
      <c r="DU12" s="624" t="str">
        <f t="shared" si="74"/>
        <v/>
      </c>
      <c r="DV12" s="624" t="str">
        <f t="shared" si="75"/>
        <v/>
      </c>
      <c r="DW12" s="624" t="str">
        <f t="shared" si="76"/>
        <v/>
      </c>
      <c r="DX12" s="624" t="str">
        <f t="shared" si="77"/>
        <v/>
      </c>
      <c r="DY12" s="624" t="str">
        <f t="shared" si="78"/>
        <v/>
      </c>
      <c r="DZ12" s="624" t="str">
        <f t="shared" si="79"/>
        <v/>
      </c>
      <c r="EA12" s="624" t="str">
        <f t="shared" si="80"/>
        <v/>
      </c>
      <c r="EB12" s="624" t="str">
        <f t="shared" si="81"/>
        <v/>
      </c>
      <c r="EC12" s="624" t="str">
        <f t="shared" si="82"/>
        <v/>
      </c>
      <c r="ED12" s="624" t="str">
        <f t="shared" si="83"/>
        <v/>
      </c>
      <c r="EE12" s="624" t="str">
        <f t="shared" si="84"/>
        <v/>
      </c>
      <c r="EF12" s="624" t="str">
        <f t="shared" si="85"/>
        <v/>
      </c>
      <c r="EG12" s="624" t="str">
        <f t="shared" si="86"/>
        <v/>
      </c>
      <c r="EH12" s="624" t="str">
        <f t="shared" si="87"/>
        <v/>
      </c>
      <c r="EI12" s="624" t="str">
        <f t="shared" si="88"/>
        <v/>
      </c>
      <c r="EJ12" s="624" t="str">
        <f t="shared" si="89"/>
        <v/>
      </c>
      <c r="EK12" s="624" t="str">
        <f t="shared" si="90"/>
        <v/>
      </c>
      <c r="EL12" s="624" t="str">
        <f t="shared" si="91"/>
        <v/>
      </c>
      <c r="EM12" s="624" t="str">
        <f t="shared" si="92"/>
        <v/>
      </c>
      <c r="EN12" s="624" t="str">
        <f t="shared" si="93"/>
        <v/>
      </c>
      <c r="EO12" s="624" t="str">
        <f t="shared" si="94"/>
        <v/>
      </c>
      <c r="EP12" s="624" t="str">
        <f t="shared" si="95"/>
        <v/>
      </c>
      <c r="EQ12" s="624" t="str">
        <f t="shared" si="96"/>
        <v/>
      </c>
      <c r="ER12" s="624" t="str">
        <f t="shared" si="97"/>
        <v/>
      </c>
      <c r="ES12" s="624" t="str">
        <f t="shared" si="98"/>
        <v/>
      </c>
      <c r="ET12" s="624" t="str">
        <f t="shared" si="99"/>
        <v/>
      </c>
      <c r="EU12" s="624" t="str">
        <f t="shared" si="100"/>
        <v/>
      </c>
      <c r="EV12" s="636" t="str">
        <f t="shared" si="101"/>
        <v/>
      </c>
      <c r="EW12" s="636">
        <f t="shared" si="102"/>
        <v>3</v>
      </c>
      <c r="EX12" s="636" t="str">
        <f t="shared" si="103"/>
        <v/>
      </c>
      <c r="EY12" s="636" t="str">
        <f t="shared" si="104"/>
        <v/>
      </c>
      <c r="EZ12" s="636" t="str">
        <f t="shared" si="105"/>
        <v/>
      </c>
      <c r="FA12" s="636" t="str">
        <f t="shared" si="106"/>
        <v/>
      </c>
      <c r="FB12" s="636" t="str">
        <f t="shared" si="107"/>
        <v/>
      </c>
      <c r="FC12" s="636" t="str">
        <f t="shared" si="108"/>
        <v/>
      </c>
      <c r="FD12" s="636" t="str">
        <f t="shared" si="109"/>
        <v/>
      </c>
      <c r="FE12" s="636" t="str">
        <f t="shared" si="110"/>
        <v/>
      </c>
      <c r="FF12" s="636" t="str">
        <f t="shared" si="111"/>
        <v/>
      </c>
      <c r="FG12" s="636" t="str">
        <f t="shared" si="112"/>
        <v/>
      </c>
      <c r="FH12" s="636" t="str">
        <f t="shared" si="113"/>
        <v/>
      </c>
      <c r="FI12" s="636" t="str">
        <f t="shared" si="114"/>
        <v/>
      </c>
      <c r="FJ12" s="636" t="str">
        <f t="shared" si="115"/>
        <v/>
      </c>
      <c r="FK12" s="636" t="str">
        <f t="shared" si="116"/>
        <v/>
      </c>
      <c r="FL12" s="636" t="str">
        <f t="shared" si="117"/>
        <v/>
      </c>
      <c r="FM12" s="636" t="str">
        <f t="shared" si="118"/>
        <v/>
      </c>
      <c r="FN12" s="636" t="str">
        <f t="shared" si="119"/>
        <v/>
      </c>
      <c r="FO12" s="636" t="str">
        <f t="shared" si="120"/>
        <v/>
      </c>
      <c r="FP12" s="636" t="str">
        <f t="shared" si="121"/>
        <v/>
      </c>
      <c r="FQ12" s="636" t="str">
        <f t="shared" si="122"/>
        <v/>
      </c>
      <c r="FR12" s="636" t="str">
        <f t="shared" si="123"/>
        <v/>
      </c>
      <c r="FS12" s="636" t="str">
        <f t="shared" si="124"/>
        <v/>
      </c>
      <c r="FT12" s="636" t="str">
        <f t="shared" si="125"/>
        <v/>
      </c>
      <c r="FU12" s="636" t="str">
        <f t="shared" si="126"/>
        <v/>
      </c>
      <c r="FV12" s="636" t="str">
        <f t="shared" si="127"/>
        <v/>
      </c>
      <c r="FW12" s="636" t="str">
        <f t="shared" si="128"/>
        <v/>
      </c>
      <c r="FX12" s="636" t="str">
        <f t="shared" si="129"/>
        <v/>
      </c>
      <c r="FY12" s="636" t="str">
        <f t="shared" si="130"/>
        <v/>
      </c>
      <c r="FZ12" s="636" t="str">
        <f t="shared" si="131"/>
        <v/>
      </c>
      <c r="GA12" s="636" t="str">
        <f t="shared" si="132"/>
        <v/>
      </c>
      <c r="GB12" s="636" t="str">
        <f t="shared" si="133"/>
        <v/>
      </c>
      <c r="GC12" s="636" t="str">
        <f t="shared" si="134"/>
        <v/>
      </c>
      <c r="GD12" s="636" t="str">
        <f t="shared" si="135"/>
        <v/>
      </c>
      <c r="GE12" s="636" t="str">
        <f t="shared" si="136"/>
        <v/>
      </c>
      <c r="GF12" s="636" t="str">
        <f t="shared" si="137"/>
        <v/>
      </c>
      <c r="GG12" s="636" t="str">
        <f t="shared" si="138"/>
        <v/>
      </c>
      <c r="GH12" s="636" t="str">
        <f t="shared" si="139"/>
        <v/>
      </c>
      <c r="GI12" s="636" t="str">
        <f t="shared" si="140"/>
        <v/>
      </c>
      <c r="GJ12" s="636" t="str">
        <f t="shared" si="141"/>
        <v/>
      </c>
      <c r="GK12" s="636">
        <f t="shared" si="142"/>
        <v>3</v>
      </c>
      <c r="GL12" s="636" t="str">
        <f t="shared" si="143"/>
        <v/>
      </c>
      <c r="GM12" s="636" t="str">
        <f t="shared" si="144"/>
        <v/>
      </c>
      <c r="GN12" s="636" t="str">
        <f t="shared" si="145"/>
        <v/>
      </c>
      <c r="GO12" s="637" t="str">
        <f t="shared" si="146"/>
        <v/>
      </c>
      <c r="GP12" s="637" t="str">
        <f t="shared" si="147"/>
        <v/>
      </c>
      <c r="GQ12" s="637" t="str">
        <f t="shared" si="148"/>
        <v/>
      </c>
      <c r="GR12" s="637" t="str">
        <f t="shared" si="149"/>
        <v/>
      </c>
      <c r="GS12" s="637" t="str">
        <f t="shared" si="150"/>
        <v/>
      </c>
      <c r="GT12" s="624" t="str">
        <f t="shared" si="151"/>
        <v/>
      </c>
      <c r="GU12" s="624" t="str">
        <f t="shared" si="152"/>
        <v/>
      </c>
      <c r="GV12" s="624" t="str">
        <f t="shared" si="153"/>
        <v/>
      </c>
      <c r="GW12" s="624" t="str">
        <f t="shared" si="154"/>
        <v/>
      </c>
      <c r="GX12" s="624" t="str">
        <f t="shared" si="155"/>
        <v/>
      </c>
      <c r="GY12" s="624" t="str">
        <f t="shared" si="156"/>
        <v/>
      </c>
      <c r="GZ12" s="624" t="str">
        <f t="shared" si="157"/>
        <v/>
      </c>
      <c r="HA12" s="624" t="str">
        <f t="shared" si="158"/>
        <v/>
      </c>
      <c r="HB12" s="624" t="str">
        <f t="shared" si="159"/>
        <v/>
      </c>
      <c r="HC12" s="624" t="str">
        <f t="shared" si="160"/>
        <v/>
      </c>
      <c r="HD12" s="624" t="str">
        <f t="shared" si="161"/>
        <v/>
      </c>
      <c r="HE12" s="624" t="str">
        <f t="shared" si="162"/>
        <v/>
      </c>
      <c r="HF12" s="624" t="str">
        <f t="shared" si="163"/>
        <v/>
      </c>
      <c r="HG12" s="624" t="str">
        <f t="shared" si="164"/>
        <v/>
      </c>
      <c r="HH12" s="624" t="str">
        <f t="shared" si="165"/>
        <v/>
      </c>
      <c r="HI12" s="624" t="str">
        <f t="shared" si="166"/>
        <v/>
      </c>
      <c r="HJ12" s="624" t="str">
        <f t="shared" si="167"/>
        <v/>
      </c>
      <c r="HK12" s="624" t="str">
        <f t="shared" si="168"/>
        <v/>
      </c>
      <c r="HL12" s="624" t="str">
        <f t="shared" si="169"/>
        <v/>
      </c>
      <c r="HM12" s="624" t="str">
        <f t="shared" si="170"/>
        <v/>
      </c>
    </row>
    <row r="13" spans="1:255" ht="13.15" customHeight="1">
      <c r="A13" s="130">
        <f t="shared" si="171"/>
        <v>1</v>
      </c>
      <c r="B13" s="1553" t="s">
        <v>1562</v>
      </c>
      <c r="C13" s="1554">
        <v>2</v>
      </c>
      <c r="D13" s="1555">
        <v>2</v>
      </c>
      <c r="E13" s="1556">
        <v>10</v>
      </c>
      <c r="F13" s="1556">
        <v>950</v>
      </c>
      <c r="G13" s="1556"/>
      <c r="H13" s="1556">
        <v>723</v>
      </c>
      <c r="I13" s="1556">
        <v>165</v>
      </c>
      <c r="J13" s="1557" t="s">
        <v>4164</v>
      </c>
      <c r="K13" s="205">
        <f t="shared" si="172"/>
        <v>558</v>
      </c>
      <c r="L13" s="205">
        <f t="shared" si="0"/>
        <v>5580</v>
      </c>
      <c r="M13" s="1558"/>
      <c r="N13" s="1558" t="s">
        <v>4103</v>
      </c>
      <c r="O13" s="1558" t="s">
        <v>3023</v>
      </c>
      <c r="P13" s="559">
        <f>IF(H13="","",H13*12/0.3)</f>
        <v>28920</v>
      </c>
      <c r="Q13" s="560">
        <f>IF(H13="","",P13/($P$6*VLOOKUP(C13,'DCA Underwriting Assumptions'!$J$81:$K$86,2,FALSE)))</f>
        <v>0.48466566113624937</v>
      </c>
      <c r="R13" s="667"/>
      <c r="S13" s="560"/>
      <c r="T13" s="1497"/>
      <c r="U13" s="1498"/>
      <c r="V13" s="624" t="str">
        <f t="shared" si="1"/>
        <v/>
      </c>
      <c r="W13" s="624" t="str">
        <f t="shared" si="2"/>
        <v/>
      </c>
      <c r="X13" s="624">
        <f t="shared" si="3"/>
        <v>10</v>
      </c>
      <c r="Y13" s="624" t="str">
        <f t="shared" si="4"/>
        <v/>
      </c>
      <c r="Z13" s="624" t="str">
        <f t="shared" si="5"/>
        <v/>
      </c>
      <c r="AA13" s="624" t="str">
        <f t="shared" si="6"/>
        <v/>
      </c>
      <c r="AB13" s="624" t="str">
        <f t="shared" si="7"/>
        <v/>
      </c>
      <c r="AC13" s="624" t="str">
        <f t="shared" si="8"/>
        <v/>
      </c>
      <c r="AD13" s="624" t="str">
        <f t="shared" si="9"/>
        <v/>
      </c>
      <c r="AE13" s="624" t="str">
        <f t="shared" si="10"/>
        <v/>
      </c>
      <c r="AF13" s="624" t="str">
        <f t="shared" si="11"/>
        <v/>
      </c>
      <c r="AG13" s="624" t="str">
        <f t="shared" si="12"/>
        <v/>
      </c>
      <c r="AH13" s="624" t="str">
        <f t="shared" si="13"/>
        <v/>
      </c>
      <c r="AI13" s="624" t="str">
        <f t="shared" si="14"/>
        <v/>
      </c>
      <c r="AJ13" s="624" t="str">
        <f t="shared" si="15"/>
        <v/>
      </c>
      <c r="AK13" s="624" t="str">
        <f t="shared" si="16"/>
        <v/>
      </c>
      <c r="AL13" s="624" t="str">
        <f t="shared" si="17"/>
        <v/>
      </c>
      <c r="AM13" s="624" t="str">
        <f t="shared" si="18"/>
        <v/>
      </c>
      <c r="AN13" s="624" t="str">
        <f t="shared" si="19"/>
        <v/>
      </c>
      <c r="AO13" s="624" t="str">
        <f t="shared" si="20"/>
        <v/>
      </c>
      <c r="AP13" s="624" t="str">
        <f t="shared" si="173"/>
        <v/>
      </c>
      <c r="AQ13" s="624" t="str">
        <f t="shared" si="174"/>
        <v/>
      </c>
      <c r="AR13" s="624" t="str">
        <f t="shared" si="175"/>
        <v/>
      </c>
      <c r="AS13" s="624" t="str">
        <f t="shared" si="176"/>
        <v/>
      </c>
      <c r="AT13" s="624" t="str">
        <f t="shared" si="177"/>
        <v/>
      </c>
      <c r="AU13" s="624" t="str">
        <f t="shared" si="178"/>
        <v/>
      </c>
      <c r="AV13" s="624" t="str">
        <f t="shared" si="179"/>
        <v/>
      </c>
      <c r="AW13" s="624" t="str">
        <f t="shared" si="180"/>
        <v/>
      </c>
      <c r="AX13" s="624" t="str">
        <f t="shared" si="181"/>
        <v/>
      </c>
      <c r="AY13" s="624" t="str">
        <f t="shared" si="182"/>
        <v/>
      </c>
      <c r="AZ13" s="624" t="str">
        <f t="shared" si="183"/>
        <v/>
      </c>
      <c r="BA13" s="624" t="str">
        <f t="shared" si="184"/>
        <v/>
      </c>
      <c r="BB13" s="624">
        <f t="shared" si="185"/>
        <v>10</v>
      </c>
      <c r="BC13" s="624" t="str">
        <f t="shared" si="186"/>
        <v/>
      </c>
      <c r="BD13" s="624" t="str">
        <f t="shared" si="187"/>
        <v/>
      </c>
      <c r="BE13" s="624" t="str">
        <f t="shared" si="188"/>
        <v/>
      </c>
      <c r="BF13" s="624" t="str">
        <f t="shared" si="189"/>
        <v/>
      </c>
      <c r="BG13" s="624" t="str">
        <f t="shared" si="190"/>
        <v/>
      </c>
      <c r="BH13" s="624" t="str">
        <f t="shared" si="191"/>
        <v/>
      </c>
      <c r="BI13" s="624" t="str">
        <f t="shared" si="192"/>
        <v/>
      </c>
      <c r="BJ13" s="624" t="str">
        <f t="shared" si="193"/>
        <v/>
      </c>
      <c r="BK13" s="624" t="str">
        <f t="shared" si="194"/>
        <v/>
      </c>
      <c r="BL13" s="624" t="str">
        <f t="shared" si="195"/>
        <v/>
      </c>
      <c r="BM13" s="624" t="str">
        <f t="shared" si="196"/>
        <v/>
      </c>
      <c r="BN13" s="624" t="str">
        <f t="shared" si="197"/>
        <v/>
      </c>
      <c r="BO13" s="624" t="str">
        <f t="shared" si="198"/>
        <v/>
      </c>
      <c r="BP13" s="624" t="str">
        <f t="shared" si="199"/>
        <v/>
      </c>
      <c r="BQ13" s="624" t="str">
        <f t="shared" si="200"/>
        <v/>
      </c>
      <c r="BR13" s="624" t="str">
        <f t="shared" si="201"/>
        <v/>
      </c>
      <c r="BS13" s="624" t="str">
        <f t="shared" si="202"/>
        <v/>
      </c>
      <c r="BT13" s="624" t="str">
        <f t="shared" si="21"/>
        <v/>
      </c>
      <c r="BU13" s="624" t="str">
        <f t="shared" si="22"/>
        <v/>
      </c>
      <c r="BV13" s="624" t="str">
        <f t="shared" si="23"/>
        <v/>
      </c>
      <c r="BW13" s="624" t="str">
        <f t="shared" si="24"/>
        <v/>
      </c>
      <c r="BX13" s="624" t="str">
        <f t="shared" si="25"/>
        <v/>
      </c>
      <c r="BY13" s="624" t="str">
        <f t="shared" si="26"/>
        <v/>
      </c>
      <c r="BZ13" s="624" t="str">
        <f t="shared" si="27"/>
        <v/>
      </c>
      <c r="CA13" s="624">
        <f t="shared" si="28"/>
        <v>9500</v>
      </c>
      <c r="CB13" s="624" t="str">
        <f t="shared" si="29"/>
        <v/>
      </c>
      <c r="CC13" s="624" t="str">
        <f t="shared" si="30"/>
        <v/>
      </c>
      <c r="CD13" s="624" t="str">
        <f t="shared" si="31"/>
        <v/>
      </c>
      <c r="CE13" s="624" t="str">
        <f t="shared" si="32"/>
        <v/>
      </c>
      <c r="CF13" s="624" t="str">
        <f t="shared" si="33"/>
        <v/>
      </c>
      <c r="CG13" s="624" t="str">
        <f t="shared" si="34"/>
        <v/>
      </c>
      <c r="CH13" s="624" t="str">
        <f t="shared" si="35"/>
        <v/>
      </c>
      <c r="CI13" s="624" t="str">
        <f t="shared" si="36"/>
        <v/>
      </c>
      <c r="CJ13" s="624" t="str">
        <f t="shared" si="37"/>
        <v/>
      </c>
      <c r="CK13" s="624" t="str">
        <f t="shared" si="38"/>
        <v/>
      </c>
      <c r="CL13" s="624" t="str">
        <f t="shared" si="39"/>
        <v/>
      </c>
      <c r="CM13" s="624" t="str">
        <f t="shared" si="40"/>
        <v/>
      </c>
      <c r="CN13" s="624" t="str">
        <f t="shared" si="41"/>
        <v/>
      </c>
      <c r="CO13" s="624" t="str">
        <f t="shared" si="42"/>
        <v/>
      </c>
      <c r="CP13" s="624" t="str">
        <f t="shared" si="43"/>
        <v/>
      </c>
      <c r="CQ13" s="624" t="str">
        <f t="shared" si="44"/>
        <v/>
      </c>
      <c r="CR13" s="624" t="str">
        <f t="shared" si="45"/>
        <v/>
      </c>
      <c r="CS13" s="624" t="str">
        <f t="shared" si="46"/>
        <v/>
      </c>
      <c r="CT13" s="624" t="str">
        <f t="shared" si="47"/>
        <v/>
      </c>
      <c r="CU13" s="624">
        <f t="shared" si="48"/>
        <v>9500</v>
      </c>
      <c r="CV13" s="624" t="str">
        <f t="shared" si="49"/>
        <v/>
      </c>
      <c r="CW13" s="624" t="str">
        <f t="shared" si="50"/>
        <v/>
      </c>
      <c r="CX13" s="624" t="str">
        <f t="shared" si="51"/>
        <v/>
      </c>
      <c r="CY13" s="624" t="str">
        <f t="shared" si="52"/>
        <v/>
      </c>
      <c r="CZ13" s="624" t="str">
        <f t="shared" si="53"/>
        <v/>
      </c>
      <c r="DA13" s="624" t="str">
        <f t="shared" si="54"/>
        <v/>
      </c>
      <c r="DB13" s="624" t="str">
        <f t="shared" si="55"/>
        <v/>
      </c>
      <c r="DC13" s="624" t="str">
        <f t="shared" si="56"/>
        <v/>
      </c>
      <c r="DD13" s="624" t="str">
        <f t="shared" si="57"/>
        <v/>
      </c>
      <c r="DE13" s="624">
        <f t="shared" si="58"/>
        <v>10</v>
      </c>
      <c r="DF13" s="624" t="str">
        <f t="shared" si="59"/>
        <v/>
      </c>
      <c r="DG13" s="624" t="str">
        <f t="shared" si="60"/>
        <v/>
      </c>
      <c r="DH13" s="624" t="str">
        <f t="shared" si="61"/>
        <v/>
      </c>
      <c r="DI13" s="624" t="str">
        <f t="shared" si="62"/>
        <v/>
      </c>
      <c r="DJ13" s="624" t="str">
        <f t="shared" si="63"/>
        <v/>
      </c>
      <c r="DK13" s="624" t="str">
        <f t="shared" si="64"/>
        <v/>
      </c>
      <c r="DL13" s="624" t="str">
        <f t="shared" si="65"/>
        <v/>
      </c>
      <c r="DM13" s="624" t="str">
        <f t="shared" si="66"/>
        <v/>
      </c>
      <c r="DN13" s="624" t="str">
        <f t="shared" si="67"/>
        <v/>
      </c>
      <c r="DO13" s="624" t="str">
        <f t="shared" si="68"/>
        <v/>
      </c>
      <c r="DP13" s="624" t="str">
        <f t="shared" si="69"/>
        <v/>
      </c>
      <c r="DQ13" s="624" t="str">
        <f t="shared" si="70"/>
        <v/>
      </c>
      <c r="DR13" s="624" t="str">
        <f t="shared" si="71"/>
        <v/>
      </c>
      <c r="DS13" s="624" t="str">
        <f t="shared" si="72"/>
        <v/>
      </c>
      <c r="DT13" s="624" t="str">
        <f t="shared" si="73"/>
        <v/>
      </c>
      <c r="DU13" s="624" t="str">
        <f t="shared" si="74"/>
        <v/>
      </c>
      <c r="DV13" s="624" t="str">
        <f t="shared" si="75"/>
        <v/>
      </c>
      <c r="DW13" s="624" t="str">
        <f t="shared" si="76"/>
        <v/>
      </c>
      <c r="DX13" s="624" t="str">
        <f t="shared" si="77"/>
        <v/>
      </c>
      <c r="DY13" s="624" t="str">
        <f t="shared" si="78"/>
        <v/>
      </c>
      <c r="DZ13" s="624" t="str">
        <f t="shared" si="79"/>
        <v/>
      </c>
      <c r="EA13" s="624" t="str">
        <f t="shared" si="80"/>
        <v/>
      </c>
      <c r="EB13" s="624" t="str">
        <f t="shared" si="81"/>
        <v/>
      </c>
      <c r="EC13" s="624" t="str">
        <f t="shared" si="82"/>
        <v/>
      </c>
      <c r="ED13" s="624" t="str">
        <f t="shared" si="83"/>
        <v/>
      </c>
      <c r="EE13" s="624" t="str">
        <f t="shared" si="84"/>
        <v/>
      </c>
      <c r="EF13" s="624" t="str">
        <f t="shared" si="85"/>
        <v/>
      </c>
      <c r="EG13" s="624" t="str">
        <f t="shared" si="86"/>
        <v/>
      </c>
      <c r="EH13" s="624" t="str">
        <f t="shared" si="87"/>
        <v/>
      </c>
      <c r="EI13" s="624" t="str">
        <f t="shared" si="88"/>
        <v/>
      </c>
      <c r="EJ13" s="624" t="str">
        <f t="shared" si="89"/>
        <v/>
      </c>
      <c r="EK13" s="624" t="str">
        <f t="shared" si="90"/>
        <v/>
      </c>
      <c r="EL13" s="624" t="str">
        <f t="shared" si="91"/>
        <v/>
      </c>
      <c r="EM13" s="624" t="str">
        <f t="shared" si="92"/>
        <v/>
      </c>
      <c r="EN13" s="624" t="str">
        <f t="shared" si="93"/>
        <v/>
      </c>
      <c r="EO13" s="624" t="str">
        <f t="shared" si="94"/>
        <v/>
      </c>
      <c r="EP13" s="624" t="str">
        <f t="shared" si="95"/>
        <v/>
      </c>
      <c r="EQ13" s="624" t="str">
        <f t="shared" si="96"/>
        <v/>
      </c>
      <c r="ER13" s="624" t="str">
        <f t="shared" si="97"/>
        <v/>
      </c>
      <c r="ES13" s="624" t="str">
        <f t="shared" si="98"/>
        <v/>
      </c>
      <c r="ET13" s="624" t="str">
        <f t="shared" si="99"/>
        <v/>
      </c>
      <c r="EU13" s="624" t="str">
        <f t="shared" si="100"/>
        <v/>
      </c>
      <c r="EV13" s="636" t="str">
        <f t="shared" si="101"/>
        <v/>
      </c>
      <c r="EW13" s="636" t="str">
        <f t="shared" si="102"/>
        <v/>
      </c>
      <c r="EX13" s="636">
        <f t="shared" si="103"/>
        <v>10</v>
      </c>
      <c r="EY13" s="636" t="str">
        <f t="shared" si="104"/>
        <v/>
      </c>
      <c r="EZ13" s="636" t="str">
        <f t="shared" si="105"/>
        <v/>
      </c>
      <c r="FA13" s="636" t="str">
        <f t="shared" si="106"/>
        <v/>
      </c>
      <c r="FB13" s="636" t="str">
        <f t="shared" si="107"/>
        <v/>
      </c>
      <c r="FC13" s="636" t="str">
        <f t="shared" si="108"/>
        <v/>
      </c>
      <c r="FD13" s="636" t="str">
        <f t="shared" si="109"/>
        <v/>
      </c>
      <c r="FE13" s="636" t="str">
        <f t="shared" si="110"/>
        <v/>
      </c>
      <c r="FF13" s="636" t="str">
        <f t="shared" si="111"/>
        <v/>
      </c>
      <c r="FG13" s="636" t="str">
        <f t="shared" si="112"/>
        <v/>
      </c>
      <c r="FH13" s="636" t="str">
        <f t="shared" si="113"/>
        <v/>
      </c>
      <c r="FI13" s="636" t="str">
        <f t="shared" si="114"/>
        <v/>
      </c>
      <c r="FJ13" s="636" t="str">
        <f t="shared" si="115"/>
        <v/>
      </c>
      <c r="FK13" s="636" t="str">
        <f t="shared" si="116"/>
        <v/>
      </c>
      <c r="FL13" s="636" t="str">
        <f t="shared" si="117"/>
        <v/>
      </c>
      <c r="FM13" s="636" t="str">
        <f t="shared" si="118"/>
        <v/>
      </c>
      <c r="FN13" s="636" t="str">
        <f t="shared" si="119"/>
        <v/>
      </c>
      <c r="FO13" s="636" t="str">
        <f t="shared" si="120"/>
        <v/>
      </c>
      <c r="FP13" s="636" t="str">
        <f t="shared" si="121"/>
        <v/>
      </c>
      <c r="FQ13" s="636" t="str">
        <f t="shared" si="122"/>
        <v/>
      </c>
      <c r="FR13" s="636" t="str">
        <f t="shared" si="123"/>
        <v/>
      </c>
      <c r="FS13" s="636" t="str">
        <f t="shared" si="124"/>
        <v/>
      </c>
      <c r="FT13" s="636" t="str">
        <f t="shared" si="125"/>
        <v/>
      </c>
      <c r="FU13" s="636" t="str">
        <f t="shared" si="126"/>
        <v/>
      </c>
      <c r="FV13" s="636" t="str">
        <f t="shared" si="127"/>
        <v/>
      </c>
      <c r="FW13" s="636" t="str">
        <f t="shared" si="128"/>
        <v/>
      </c>
      <c r="FX13" s="636" t="str">
        <f t="shared" si="129"/>
        <v/>
      </c>
      <c r="FY13" s="636" t="str">
        <f t="shared" si="130"/>
        <v/>
      </c>
      <c r="FZ13" s="636" t="str">
        <f t="shared" si="131"/>
        <v/>
      </c>
      <c r="GA13" s="636" t="str">
        <f t="shared" si="132"/>
        <v/>
      </c>
      <c r="GB13" s="636" t="str">
        <f t="shared" si="133"/>
        <v/>
      </c>
      <c r="GC13" s="636" t="str">
        <f t="shared" si="134"/>
        <v/>
      </c>
      <c r="GD13" s="636" t="str">
        <f t="shared" si="135"/>
        <v/>
      </c>
      <c r="GE13" s="636" t="str">
        <f t="shared" si="136"/>
        <v/>
      </c>
      <c r="GF13" s="636" t="str">
        <f t="shared" si="137"/>
        <v/>
      </c>
      <c r="GG13" s="636" t="str">
        <f t="shared" si="138"/>
        <v/>
      </c>
      <c r="GH13" s="636" t="str">
        <f t="shared" si="139"/>
        <v/>
      </c>
      <c r="GI13" s="636" t="str">
        <f t="shared" si="140"/>
        <v/>
      </c>
      <c r="GJ13" s="636" t="str">
        <f t="shared" si="141"/>
        <v/>
      </c>
      <c r="GK13" s="636" t="str">
        <f t="shared" si="142"/>
        <v/>
      </c>
      <c r="GL13" s="636">
        <f t="shared" si="143"/>
        <v>10</v>
      </c>
      <c r="GM13" s="636" t="str">
        <f t="shared" si="144"/>
        <v/>
      </c>
      <c r="GN13" s="636" t="str">
        <f t="shared" si="145"/>
        <v/>
      </c>
      <c r="GO13" s="637" t="str">
        <f t="shared" si="146"/>
        <v/>
      </c>
      <c r="GP13" s="637" t="str">
        <f t="shared" si="147"/>
        <v/>
      </c>
      <c r="GQ13" s="637" t="str">
        <f t="shared" si="148"/>
        <v/>
      </c>
      <c r="GR13" s="637" t="str">
        <f t="shared" si="149"/>
        <v/>
      </c>
      <c r="GS13" s="637" t="str">
        <f t="shared" si="150"/>
        <v/>
      </c>
      <c r="GT13" s="624" t="str">
        <f t="shared" si="151"/>
        <v/>
      </c>
      <c r="GU13" s="624" t="str">
        <f t="shared" si="152"/>
        <v/>
      </c>
      <c r="GV13" s="624" t="str">
        <f t="shared" si="153"/>
        <v/>
      </c>
      <c r="GW13" s="624" t="str">
        <f t="shared" si="154"/>
        <v/>
      </c>
      <c r="GX13" s="624" t="str">
        <f t="shared" si="155"/>
        <v/>
      </c>
      <c r="GY13" s="624" t="str">
        <f t="shared" si="156"/>
        <v/>
      </c>
      <c r="GZ13" s="624" t="str">
        <f t="shared" si="157"/>
        <v/>
      </c>
      <c r="HA13" s="624" t="str">
        <f t="shared" si="158"/>
        <v/>
      </c>
      <c r="HB13" s="624" t="str">
        <f t="shared" si="159"/>
        <v/>
      </c>
      <c r="HC13" s="624" t="str">
        <f t="shared" si="160"/>
        <v/>
      </c>
      <c r="HD13" s="624" t="str">
        <f t="shared" si="161"/>
        <v/>
      </c>
      <c r="HE13" s="624" t="str">
        <f t="shared" si="162"/>
        <v/>
      </c>
      <c r="HF13" s="624" t="str">
        <f t="shared" si="163"/>
        <v/>
      </c>
      <c r="HG13" s="624" t="str">
        <f t="shared" si="164"/>
        <v/>
      </c>
      <c r="HH13" s="624" t="str">
        <f t="shared" si="165"/>
        <v/>
      </c>
      <c r="HI13" s="624" t="str">
        <f t="shared" si="166"/>
        <v/>
      </c>
      <c r="HJ13" s="624" t="str">
        <f t="shared" si="167"/>
        <v/>
      </c>
      <c r="HK13" s="624" t="str">
        <f t="shared" si="168"/>
        <v/>
      </c>
      <c r="HL13" s="624" t="str">
        <f t="shared" si="169"/>
        <v/>
      </c>
      <c r="HM13" s="624" t="str">
        <f t="shared" si="170"/>
        <v/>
      </c>
    </row>
    <row r="14" spans="1:255" ht="13.15" customHeight="1">
      <c r="A14" s="130">
        <f t="shared" si="171"/>
        <v>1</v>
      </c>
      <c r="B14" s="1553" t="s">
        <v>1562</v>
      </c>
      <c r="C14" s="1554">
        <v>2</v>
      </c>
      <c r="D14" s="1555">
        <v>2</v>
      </c>
      <c r="E14" s="1556">
        <v>2</v>
      </c>
      <c r="F14" s="1556">
        <v>950</v>
      </c>
      <c r="G14" s="1556"/>
      <c r="H14" s="1556">
        <v>874</v>
      </c>
      <c r="I14" s="1556">
        <v>165</v>
      </c>
      <c r="J14" s="1557" t="s">
        <v>4076</v>
      </c>
      <c r="K14" s="205">
        <f t="shared" si="172"/>
        <v>709</v>
      </c>
      <c r="L14" s="205">
        <f t="shared" si="0"/>
        <v>1418</v>
      </c>
      <c r="M14" s="1558"/>
      <c r="N14" s="1558" t="s">
        <v>4103</v>
      </c>
      <c r="O14" s="1558" t="s">
        <v>3023</v>
      </c>
      <c r="P14" s="559">
        <f>IF(H14="","",H14*12/0.3)</f>
        <v>34960</v>
      </c>
      <c r="Q14" s="560">
        <f>IF(H14="","",P14/($P$6*VLOOKUP(C14,'DCA Underwriting Assumptions'!$J$81:$K$86,2,FALSE)))</f>
        <v>0.58588905647729173</v>
      </c>
      <c r="R14" s="667"/>
      <c r="S14" s="560"/>
      <c r="T14" s="1497"/>
      <c r="U14" s="1498"/>
      <c r="V14" s="624" t="str">
        <f t="shared" si="1"/>
        <v/>
      </c>
      <c r="W14" s="624" t="str">
        <f t="shared" si="2"/>
        <v/>
      </c>
      <c r="X14" s="624">
        <f t="shared" si="3"/>
        <v>2</v>
      </c>
      <c r="Y14" s="624" t="str">
        <f t="shared" si="4"/>
        <v/>
      </c>
      <c r="Z14" s="624" t="str">
        <f t="shared" si="5"/>
        <v/>
      </c>
      <c r="AA14" s="624" t="str">
        <f t="shared" si="6"/>
        <v/>
      </c>
      <c r="AB14" s="624" t="str">
        <f t="shared" si="7"/>
        <v/>
      </c>
      <c r="AC14" s="624" t="str">
        <f t="shared" si="8"/>
        <v/>
      </c>
      <c r="AD14" s="624" t="str">
        <f t="shared" si="9"/>
        <v/>
      </c>
      <c r="AE14" s="624" t="str">
        <f t="shared" si="10"/>
        <v/>
      </c>
      <c r="AF14" s="624" t="str">
        <f t="shared" si="11"/>
        <v/>
      </c>
      <c r="AG14" s="624" t="str">
        <f t="shared" si="12"/>
        <v/>
      </c>
      <c r="AH14" s="624" t="str">
        <f t="shared" si="13"/>
        <v/>
      </c>
      <c r="AI14" s="624" t="str">
        <f t="shared" si="14"/>
        <v/>
      </c>
      <c r="AJ14" s="624" t="str">
        <f t="shared" si="15"/>
        <v/>
      </c>
      <c r="AK14" s="624" t="str">
        <f t="shared" si="16"/>
        <v/>
      </c>
      <c r="AL14" s="624" t="str">
        <f t="shared" si="17"/>
        <v/>
      </c>
      <c r="AM14" s="624" t="str">
        <f t="shared" si="18"/>
        <v/>
      </c>
      <c r="AN14" s="624" t="str">
        <f t="shared" si="19"/>
        <v/>
      </c>
      <c r="AO14" s="624" t="str">
        <f t="shared" si="20"/>
        <v/>
      </c>
      <c r="AP14" s="624" t="str">
        <f t="shared" si="173"/>
        <v/>
      </c>
      <c r="AQ14" s="624" t="str">
        <f t="shared" si="174"/>
        <v/>
      </c>
      <c r="AR14" s="624" t="str">
        <f t="shared" si="175"/>
        <v/>
      </c>
      <c r="AS14" s="624" t="str">
        <f t="shared" si="176"/>
        <v/>
      </c>
      <c r="AT14" s="624" t="str">
        <f t="shared" si="177"/>
        <v/>
      </c>
      <c r="AU14" s="624" t="str">
        <f t="shared" si="178"/>
        <v/>
      </c>
      <c r="AV14" s="624" t="str">
        <f t="shared" si="179"/>
        <v/>
      </c>
      <c r="AW14" s="624" t="str">
        <f t="shared" si="180"/>
        <v/>
      </c>
      <c r="AX14" s="624" t="str">
        <f t="shared" si="181"/>
        <v/>
      </c>
      <c r="AY14" s="624" t="str">
        <f t="shared" si="182"/>
        <v/>
      </c>
      <c r="AZ14" s="624" t="str">
        <f t="shared" si="183"/>
        <v/>
      </c>
      <c r="BA14" s="624" t="str">
        <f t="shared" si="184"/>
        <v/>
      </c>
      <c r="BB14" s="624">
        <f t="shared" si="185"/>
        <v>2</v>
      </c>
      <c r="BC14" s="624" t="str">
        <f t="shared" si="186"/>
        <v/>
      </c>
      <c r="BD14" s="624" t="str">
        <f t="shared" si="187"/>
        <v/>
      </c>
      <c r="BE14" s="624" t="str">
        <f t="shared" si="188"/>
        <v/>
      </c>
      <c r="BF14" s="624" t="str">
        <f t="shared" si="189"/>
        <v/>
      </c>
      <c r="BG14" s="624" t="str">
        <f t="shared" si="190"/>
        <v/>
      </c>
      <c r="BH14" s="624" t="str">
        <f t="shared" si="191"/>
        <v/>
      </c>
      <c r="BI14" s="624" t="str">
        <f t="shared" si="192"/>
        <v/>
      </c>
      <c r="BJ14" s="624" t="str">
        <f t="shared" si="193"/>
        <v/>
      </c>
      <c r="BK14" s="624" t="str">
        <f t="shared" si="194"/>
        <v/>
      </c>
      <c r="BL14" s="624" t="str">
        <f t="shared" si="195"/>
        <v/>
      </c>
      <c r="BM14" s="624" t="str">
        <f t="shared" si="196"/>
        <v/>
      </c>
      <c r="BN14" s="624" t="str">
        <f t="shared" si="197"/>
        <v/>
      </c>
      <c r="BO14" s="624" t="str">
        <f t="shared" si="198"/>
        <v/>
      </c>
      <c r="BP14" s="624" t="str">
        <f t="shared" si="199"/>
        <v/>
      </c>
      <c r="BQ14" s="624" t="str">
        <f t="shared" si="200"/>
        <v/>
      </c>
      <c r="BR14" s="624" t="str">
        <f t="shared" si="201"/>
        <v/>
      </c>
      <c r="BS14" s="624" t="str">
        <f t="shared" si="202"/>
        <v/>
      </c>
      <c r="BT14" s="624" t="str">
        <f t="shared" si="21"/>
        <v/>
      </c>
      <c r="BU14" s="624" t="str">
        <f t="shared" si="22"/>
        <v/>
      </c>
      <c r="BV14" s="624" t="str">
        <f t="shared" si="23"/>
        <v/>
      </c>
      <c r="BW14" s="624" t="str">
        <f t="shared" si="24"/>
        <v/>
      </c>
      <c r="BX14" s="624" t="str">
        <f t="shared" si="25"/>
        <v/>
      </c>
      <c r="BY14" s="624" t="str">
        <f t="shared" si="26"/>
        <v/>
      </c>
      <c r="BZ14" s="624" t="str">
        <f t="shared" si="27"/>
        <v/>
      </c>
      <c r="CA14" s="624">
        <f t="shared" si="28"/>
        <v>1900</v>
      </c>
      <c r="CB14" s="624" t="str">
        <f t="shared" si="29"/>
        <v/>
      </c>
      <c r="CC14" s="624" t="str">
        <f t="shared" si="30"/>
        <v/>
      </c>
      <c r="CD14" s="624" t="str">
        <f t="shared" si="31"/>
        <v/>
      </c>
      <c r="CE14" s="624" t="str">
        <f t="shared" si="32"/>
        <v/>
      </c>
      <c r="CF14" s="624" t="str">
        <f t="shared" si="33"/>
        <v/>
      </c>
      <c r="CG14" s="624" t="str">
        <f t="shared" si="34"/>
        <v/>
      </c>
      <c r="CH14" s="624" t="str">
        <f t="shared" si="35"/>
        <v/>
      </c>
      <c r="CI14" s="624" t="str">
        <f t="shared" si="36"/>
        <v/>
      </c>
      <c r="CJ14" s="624" t="str">
        <f t="shared" si="37"/>
        <v/>
      </c>
      <c r="CK14" s="624" t="str">
        <f t="shared" si="38"/>
        <v/>
      </c>
      <c r="CL14" s="624" t="str">
        <f t="shared" si="39"/>
        <v/>
      </c>
      <c r="CM14" s="624" t="str">
        <f t="shared" si="40"/>
        <v/>
      </c>
      <c r="CN14" s="624" t="str">
        <f t="shared" si="41"/>
        <v/>
      </c>
      <c r="CO14" s="624" t="str">
        <f t="shared" si="42"/>
        <v/>
      </c>
      <c r="CP14" s="624" t="str">
        <f t="shared" si="43"/>
        <v/>
      </c>
      <c r="CQ14" s="624" t="str">
        <f t="shared" si="44"/>
        <v/>
      </c>
      <c r="CR14" s="624" t="str">
        <f t="shared" si="45"/>
        <v/>
      </c>
      <c r="CS14" s="624" t="str">
        <f t="shared" si="46"/>
        <v/>
      </c>
      <c r="CT14" s="624" t="str">
        <f t="shared" si="47"/>
        <v/>
      </c>
      <c r="CU14" s="624">
        <f t="shared" si="48"/>
        <v>1900</v>
      </c>
      <c r="CV14" s="624" t="str">
        <f t="shared" si="49"/>
        <v/>
      </c>
      <c r="CW14" s="624" t="str">
        <f t="shared" si="50"/>
        <v/>
      </c>
      <c r="CX14" s="624" t="str">
        <f t="shared" si="51"/>
        <v/>
      </c>
      <c r="CY14" s="624" t="str">
        <f t="shared" si="52"/>
        <v/>
      </c>
      <c r="CZ14" s="624" t="str">
        <f t="shared" si="53"/>
        <v/>
      </c>
      <c r="DA14" s="624" t="str">
        <f t="shared" si="54"/>
        <v/>
      </c>
      <c r="DB14" s="624" t="str">
        <f t="shared" si="55"/>
        <v/>
      </c>
      <c r="DC14" s="624" t="str">
        <f t="shared" si="56"/>
        <v/>
      </c>
      <c r="DD14" s="624" t="str">
        <f t="shared" si="57"/>
        <v/>
      </c>
      <c r="DE14" s="624">
        <f t="shared" si="58"/>
        <v>2</v>
      </c>
      <c r="DF14" s="624" t="str">
        <f t="shared" si="59"/>
        <v/>
      </c>
      <c r="DG14" s="624" t="str">
        <f t="shared" si="60"/>
        <v/>
      </c>
      <c r="DH14" s="624" t="str">
        <f t="shared" si="61"/>
        <v/>
      </c>
      <c r="DI14" s="624" t="str">
        <f t="shared" si="62"/>
        <v/>
      </c>
      <c r="DJ14" s="624" t="str">
        <f t="shared" si="63"/>
        <v/>
      </c>
      <c r="DK14" s="624" t="str">
        <f t="shared" si="64"/>
        <v/>
      </c>
      <c r="DL14" s="624" t="str">
        <f t="shared" si="65"/>
        <v/>
      </c>
      <c r="DM14" s="624" t="str">
        <f t="shared" si="66"/>
        <v/>
      </c>
      <c r="DN14" s="624" t="str">
        <f t="shared" si="67"/>
        <v/>
      </c>
      <c r="DO14" s="624" t="str">
        <f t="shared" si="68"/>
        <v/>
      </c>
      <c r="DP14" s="624" t="str">
        <f t="shared" si="69"/>
        <v/>
      </c>
      <c r="DQ14" s="624" t="str">
        <f t="shared" si="70"/>
        <v/>
      </c>
      <c r="DR14" s="624" t="str">
        <f t="shared" si="71"/>
        <v/>
      </c>
      <c r="DS14" s="624" t="str">
        <f t="shared" si="72"/>
        <v/>
      </c>
      <c r="DT14" s="624" t="str">
        <f t="shared" si="73"/>
        <v/>
      </c>
      <c r="DU14" s="624" t="str">
        <f t="shared" si="74"/>
        <v/>
      </c>
      <c r="DV14" s="624" t="str">
        <f t="shared" si="75"/>
        <v/>
      </c>
      <c r="DW14" s="624" t="str">
        <f t="shared" si="76"/>
        <v/>
      </c>
      <c r="DX14" s="624" t="str">
        <f t="shared" si="77"/>
        <v/>
      </c>
      <c r="DY14" s="624" t="str">
        <f t="shared" si="78"/>
        <v/>
      </c>
      <c r="DZ14" s="624" t="str">
        <f t="shared" si="79"/>
        <v/>
      </c>
      <c r="EA14" s="624" t="str">
        <f t="shared" si="80"/>
        <v/>
      </c>
      <c r="EB14" s="624" t="str">
        <f t="shared" si="81"/>
        <v/>
      </c>
      <c r="EC14" s="624" t="str">
        <f t="shared" si="82"/>
        <v/>
      </c>
      <c r="ED14" s="624" t="str">
        <f t="shared" si="83"/>
        <v/>
      </c>
      <c r="EE14" s="624" t="str">
        <f t="shared" si="84"/>
        <v/>
      </c>
      <c r="EF14" s="624" t="str">
        <f t="shared" si="85"/>
        <v/>
      </c>
      <c r="EG14" s="624" t="str">
        <f t="shared" si="86"/>
        <v/>
      </c>
      <c r="EH14" s="624" t="str">
        <f t="shared" si="87"/>
        <v/>
      </c>
      <c r="EI14" s="624" t="str">
        <f t="shared" si="88"/>
        <v/>
      </c>
      <c r="EJ14" s="624" t="str">
        <f t="shared" si="89"/>
        <v/>
      </c>
      <c r="EK14" s="624" t="str">
        <f t="shared" si="90"/>
        <v/>
      </c>
      <c r="EL14" s="624" t="str">
        <f t="shared" si="91"/>
        <v/>
      </c>
      <c r="EM14" s="624" t="str">
        <f t="shared" si="92"/>
        <v/>
      </c>
      <c r="EN14" s="624" t="str">
        <f t="shared" si="93"/>
        <v/>
      </c>
      <c r="EO14" s="624" t="str">
        <f t="shared" si="94"/>
        <v/>
      </c>
      <c r="EP14" s="624" t="str">
        <f t="shared" si="95"/>
        <v/>
      </c>
      <c r="EQ14" s="624" t="str">
        <f t="shared" si="96"/>
        <v/>
      </c>
      <c r="ER14" s="624" t="str">
        <f t="shared" si="97"/>
        <v/>
      </c>
      <c r="ES14" s="624" t="str">
        <f t="shared" si="98"/>
        <v/>
      </c>
      <c r="ET14" s="624" t="str">
        <f t="shared" si="99"/>
        <v/>
      </c>
      <c r="EU14" s="624" t="str">
        <f t="shared" si="100"/>
        <v/>
      </c>
      <c r="EV14" s="636" t="str">
        <f t="shared" si="101"/>
        <v/>
      </c>
      <c r="EW14" s="636" t="str">
        <f t="shared" si="102"/>
        <v/>
      </c>
      <c r="EX14" s="636">
        <f t="shared" si="103"/>
        <v>2</v>
      </c>
      <c r="EY14" s="636" t="str">
        <f t="shared" si="104"/>
        <v/>
      </c>
      <c r="EZ14" s="636" t="str">
        <f t="shared" si="105"/>
        <v/>
      </c>
      <c r="FA14" s="636" t="str">
        <f t="shared" si="106"/>
        <v/>
      </c>
      <c r="FB14" s="636" t="str">
        <f t="shared" si="107"/>
        <v/>
      </c>
      <c r="FC14" s="636" t="str">
        <f t="shared" si="108"/>
        <v/>
      </c>
      <c r="FD14" s="636" t="str">
        <f t="shared" si="109"/>
        <v/>
      </c>
      <c r="FE14" s="636" t="str">
        <f t="shared" si="110"/>
        <v/>
      </c>
      <c r="FF14" s="636" t="str">
        <f t="shared" si="111"/>
        <v/>
      </c>
      <c r="FG14" s="636" t="str">
        <f t="shared" si="112"/>
        <v/>
      </c>
      <c r="FH14" s="636" t="str">
        <f t="shared" si="113"/>
        <v/>
      </c>
      <c r="FI14" s="636" t="str">
        <f t="shared" si="114"/>
        <v/>
      </c>
      <c r="FJ14" s="636" t="str">
        <f t="shared" si="115"/>
        <v/>
      </c>
      <c r="FK14" s="636" t="str">
        <f t="shared" si="116"/>
        <v/>
      </c>
      <c r="FL14" s="636" t="str">
        <f t="shared" si="117"/>
        <v/>
      </c>
      <c r="FM14" s="636" t="str">
        <f t="shared" si="118"/>
        <v/>
      </c>
      <c r="FN14" s="636" t="str">
        <f t="shared" si="119"/>
        <v/>
      </c>
      <c r="FO14" s="636" t="str">
        <f t="shared" si="120"/>
        <v/>
      </c>
      <c r="FP14" s="636" t="str">
        <f t="shared" si="121"/>
        <v/>
      </c>
      <c r="FQ14" s="636" t="str">
        <f t="shared" si="122"/>
        <v/>
      </c>
      <c r="FR14" s="636" t="str">
        <f t="shared" si="123"/>
        <v/>
      </c>
      <c r="FS14" s="636" t="str">
        <f t="shared" si="124"/>
        <v/>
      </c>
      <c r="FT14" s="636" t="str">
        <f t="shared" si="125"/>
        <v/>
      </c>
      <c r="FU14" s="636" t="str">
        <f t="shared" si="126"/>
        <v/>
      </c>
      <c r="FV14" s="636" t="str">
        <f t="shared" si="127"/>
        <v/>
      </c>
      <c r="FW14" s="636" t="str">
        <f t="shared" si="128"/>
        <v/>
      </c>
      <c r="FX14" s="636" t="str">
        <f t="shared" si="129"/>
        <v/>
      </c>
      <c r="FY14" s="636" t="str">
        <f t="shared" si="130"/>
        <v/>
      </c>
      <c r="FZ14" s="636" t="str">
        <f t="shared" si="131"/>
        <v/>
      </c>
      <c r="GA14" s="636" t="str">
        <f t="shared" si="132"/>
        <v/>
      </c>
      <c r="GB14" s="636" t="str">
        <f t="shared" si="133"/>
        <v/>
      </c>
      <c r="GC14" s="636" t="str">
        <f t="shared" si="134"/>
        <v/>
      </c>
      <c r="GD14" s="636" t="str">
        <f t="shared" si="135"/>
        <v/>
      </c>
      <c r="GE14" s="636" t="str">
        <f t="shared" si="136"/>
        <v/>
      </c>
      <c r="GF14" s="636" t="str">
        <f t="shared" si="137"/>
        <v/>
      </c>
      <c r="GG14" s="636" t="str">
        <f t="shared" si="138"/>
        <v/>
      </c>
      <c r="GH14" s="636" t="str">
        <f t="shared" si="139"/>
        <v/>
      </c>
      <c r="GI14" s="636" t="str">
        <f t="shared" si="140"/>
        <v/>
      </c>
      <c r="GJ14" s="636" t="str">
        <f t="shared" si="141"/>
        <v/>
      </c>
      <c r="GK14" s="636" t="str">
        <f t="shared" si="142"/>
        <v/>
      </c>
      <c r="GL14" s="636">
        <f t="shared" si="143"/>
        <v>2</v>
      </c>
      <c r="GM14" s="636" t="str">
        <f t="shared" si="144"/>
        <v/>
      </c>
      <c r="GN14" s="636" t="str">
        <f t="shared" si="145"/>
        <v/>
      </c>
      <c r="GO14" s="637" t="str">
        <f t="shared" si="146"/>
        <v/>
      </c>
      <c r="GP14" s="637" t="str">
        <f t="shared" si="147"/>
        <v/>
      </c>
      <c r="GQ14" s="637" t="str">
        <f t="shared" si="148"/>
        <v/>
      </c>
      <c r="GR14" s="637" t="str">
        <f t="shared" si="149"/>
        <v/>
      </c>
      <c r="GS14" s="637" t="str">
        <f t="shared" si="150"/>
        <v/>
      </c>
      <c r="GT14" s="624" t="str">
        <f t="shared" si="151"/>
        <v/>
      </c>
      <c r="GU14" s="624" t="str">
        <f t="shared" si="152"/>
        <v/>
      </c>
      <c r="GV14" s="624" t="str">
        <f t="shared" si="153"/>
        <v/>
      </c>
      <c r="GW14" s="624" t="str">
        <f t="shared" si="154"/>
        <v/>
      </c>
      <c r="GX14" s="624" t="str">
        <f t="shared" si="155"/>
        <v/>
      </c>
      <c r="GY14" s="624" t="str">
        <f t="shared" si="156"/>
        <v/>
      </c>
      <c r="GZ14" s="624" t="str">
        <f t="shared" si="157"/>
        <v/>
      </c>
      <c r="HA14" s="624" t="str">
        <f t="shared" si="158"/>
        <v/>
      </c>
      <c r="HB14" s="624" t="str">
        <f t="shared" si="159"/>
        <v/>
      </c>
      <c r="HC14" s="624" t="str">
        <f t="shared" si="160"/>
        <v/>
      </c>
      <c r="HD14" s="624" t="str">
        <f t="shared" si="161"/>
        <v/>
      </c>
      <c r="HE14" s="624" t="str">
        <f t="shared" si="162"/>
        <v/>
      </c>
      <c r="HF14" s="624" t="str">
        <f t="shared" si="163"/>
        <v/>
      </c>
      <c r="HG14" s="624" t="str">
        <f t="shared" si="164"/>
        <v/>
      </c>
      <c r="HH14" s="624" t="str">
        <f t="shared" si="165"/>
        <v/>
      </c>
      <c r="HI14" s="624" t="str">
        <f t="shared" si="166"/>
        <v/>
      </c>
      <c r="HJ14" s="624" t="str">
        <f t="shared" si="167"/>
        <v/>
      </c>
      <c r="HK14" s="624" t="str">
        <f t="shared" si="168"/>
        <v/>
      </c>
      <c r="HL14" s="624" t="str">
        <f t="shared" si="169"/>
        <v/>
      </c>
      <c r="HM14" s="624" t="str">
        <f t="shared" si="170"/>
        <v/>
      </c>
    </row>
    <row r="15" spans="1:255" ht="13.15" customHeight="1">
      <c r="A15" s="130">
        <f t="shared" si="171"/>
        <v>1</v>
      </c>
      <c r="B15" s="1553" t="s">
        <v>333</v>
      </c>
      <c r="C15" s="1554">
        <v>2</v>
      </c>
      <c r="D15" s="1555">
        <v>2</v>
      </c>
      <c r="E15" s="1556">
        <v>2</v>
      </c>
      <c r="F15" s="1556">
        <v>950</v>
      </c>
      <c r="G15" s="1556"/>
      <c r="H15" s="1556">
        <v>715</v>
      </c>
      <c r="I15" s="1556"/>
      <c r="J15" s="1557"/>
      <c r="K15" s="205">
        <f t="shared" si="172"/>
        <v>715</v>
      </c>
      <c r="L15" s="205">
        <f t="shared" si="0"/>
        <v>1430</v>
      </c>
      <c r="M15" s="1558"/>
      <c r="N15" s="1558" t="s">
        <v>4103</v>
      </c>
      <c r="O15" s="1558" t="s">
        <v>3023</v>
      </c>
      <c r="P15" s="559">
        <f t="shared" ref="P15:P47" si="203">IF(H15="","",H15*12/0.3)</f>
        <v>28600</v>
      </c>
      <c r="Q15" s="560">
        <f>IF(H15="","",P15/($P$6*VLOOKUP(C15,'DCA Underwriting Assumptions'!$J$81:$K$86,2,FALSE)))</f>
        <v>0.47930283224400871</v>
      </c>
      <c r="R15" s="667"/>
      <c r="S15" s="560"/>
      <c r="T15" s="1497"/>
      <c r="U15" s="1498"/>
      <c r="V15" s="624" t="str">
        <f t="shared" si="1"/>
        <v/>
      </c>
      <c r="W15" s="624" t="str">
        <f t="shared" si="2"/>
        <v/>
      </c>
      <c r="X15" s="624" t="str">
        <f t="shared" si="3"/>
        <v/>
      </c>
      <c r="Y15" s="624" t="str">
        <f t="shared" si="4"/>
        <v/>
      </c>
      <c r="Z15" s="624" t="str">
        <f t="shared" si="5"/>
        <v/>
      </c>
      <c r="AA15" s="624" t="str">
        <f t="shared" si="6"/>
        <v/>
      </c>
      <c r="AB15" s="624" t="str">
        <f t="shared" si="7"/>
        <v/>
      </c>
      <c r="AC15" s="624" t="str">
        <f t="shared" si="8"/>
        <v/>
      </c>
      <c r="AD15" s="624" t="str">
        <f t="shared" si="9"/>
        <v/>
      </c>
      <c r="AE15" s="624" t="str">
        <f t="shared" si="10"/>
        <v/>
      </c>
      <c r="AF15" s="624" t="str">
        <f t="shared" si="11"/>
        <v/>
      </c>
      <c r="AG15" s="624" t="str">
        <f t="shared" si="12"/>
        <v/>
      </c>
      <c r="AH15" s="624" t="str">
        <f t="shared" si="13"/>
        <v/>
      </c>
      <c r="AI15" s="624" t="str">
        <f t="shared" si="14"/>
        <v/>
      </c>
      <c r="AJ15" s="624" t="str">
        <f t="shared" si="15"/>
        <v/>
      </c>
      <c r="AK15" s="624" t="str">
        <f t="shared" si="16"/>
        <v/>
      </c>
      <c r="AL15" s="624" t="str">
        <f t="shared" si="17"/>
        <v/>
      </c>
      <c r="AM15" s="624">
        <f t="shared" si="18"/>
        <v>2</v>
      </c>
      <c r="AN15" s="624" t="str">
        <f t="shared" si="19"/>
        <v/>
      </c>
      <c r="AO15" s="624" t="str">
        <f t="shared" si="20"/>
        <v/>
      </c>
      <c r="AP15" s="624" t="str">
        <f t="shared" si="173"/>
        <v/>
      </c>
      <c r="AQ15" s="624" t="str">
        <f t="shared" si="174"/>
        <v/>
      </c>
      <c r="AR15" s="624" t="str">
        <f t="shared" si="175"/>
        <v/>
      </c>
      <c r="AS15" s="624" t="str">
        <f t="shared" si="176"/>
        <v/>
      </c>
      <c r="AT15" s="624" t="str">
        <f t="shared" si="177"/>
        <v/>
      </c>
      <c r="AU15" s="624" t="str">
        <f t="shared" si="178"/>
        <v/>
      </c>
      <c r="AV15" s="624" t="str">
        <f t="shared" si="179"/>
        <v/>
      </c>
      <c r="AW15" s="624" t="str">
        <f t="shared" si="180"/>
        <v/>
      </c>
      <c r="AX15" s="624" t="str">
        <f t="shared" si="181"/>
        <v/>
      </c>
      <c r="AY15" s="624" t="str">
        <f t="shared" si="182"/>
        <v/>
      </c>
      <c r="AZ15" s="624" t="str">
        <f t="shared" si="183"/>
        <v/>
      </c>
      <c r="BA15" s="624" t="str">
        <f t="shared" si="184"/>
        <v/>
      </c>
      <c r="BB15" s="624" t="str">
        <f t="shared" si="185"/>
        <v/>
      </c>
      <c r="BC15" s="624" t="str">
        <f t="shared" si="186"/>
        <v/>
      </c>
      <c r="BD15" s="624" t="str">
        <f t="shared" si="187"/>
        <v/>
      </c>
      <c r="BE15" s="624" t="str">
        <f t="shared" si="188"/>
        <v/>
      </c>
      <c r="BF15" s="624" t="str">
        <f t="shared" si="189"/>
        <v/>
      </c>
      <c r="BG15" s="624" t="str">
        <f t="shared" si="190"/>
        <v/>
      </c>
      <c r="BH15" s="624" t="str">
        <f t="shared" si="191"/>
        <v/>
      </c>
      <c r="BI15" s="624" t="str">
        <f t="shared" si="192"/>
        <v/>
      </c>
      <c r="BJ15" s="624" t="str">
        <f t="shared" si="193"/>
        <v/>
      </c>
      <c r="BK15" s="624" t="str">
        <f t="shared" si="194"/>
        <v/>
      </c>
      <c r="BL15" s="624" t="str">
        <f t="shared" si="195"/>
        <v/>
      </c>
      <c r="BM15" s="624" t="str">
        <f t="shared" si="196"/>
        <v/>
      </c>
      <c r="BN15" s="624" t="str">
        <f t="shared" si="197"/>
        <v/>
      </c>
      <c r="BO15" s="624" t="str">
        <f t="shared" si="198"/>
        <v/>
      </c>
      <c r="BP15" s="624" t="str">
        <f t="shared" si="199"/>
        <v/>
      </c>
      <c r="BQ15" s="624" t="str">
        <f t="shared" si="200"/>
        <v/>
      </c>
      <c r="BR15" s="624" t="str">
        <f t="shared" si="201"/>
        <v/>
      </c>
      <c r="BS15" s="624" t="str">
        <f t="shared" si="202"/>
        <v/>
      </c>
      <c r="BT15" s="624" t="str">
        <f t="shared" si="21"/>
        <v/>
      </c>
      <c r="BU15" s="624" t="str">
        <f t="shared" si="22"/>
        <v/>
      </c>
      <c r="BV15" s="624" t="str">
        <f t="shared" si="23"/>
        <v/>
      </c>
      <c r="BW15" s="624" t="str">
        <f t="shared" si="24"/>
        <v/>
      </c>
      <c r="BX15" s="624" t="str">
        <f t="shared" si="25"/>
        <v/>
      </c>
      <c r="BY15" s="624" t="str">
        <f t="shared" si="26"/>
        <v/>
      </c>
      <c r="BZ15" s="624" t="str">
        <f t="shared" si="27"/>
        <v/>
      </c>
      <c r="CA15" s="624" t="str">
        <f t="shared" si="28"/>
        <v/>
      </c>
      <c r="CB15" s="624" t="str">
        <f t="shared" si="29"/>
        <v/>
      </c>
      <c r="CC15" s="624" t="str">
        <f t="shared" si="30"/>
        <v/>
      </c>
      <c r="CD15" s="624" t="str">
        <f t="shared" si="31"/>
        <v/>
      </c>
      <c r="CE15" s="624" t="str">
        <f t="shared" si="32"/>
        <v/>
      </c>
      <c r="CF15" s="624" t="str">
        <f t="shared" si="33"/>
        <v/>
      </c>
      <c r="CG15" s="624" t="str">
        <f t="shared" si="34"/>
        <v/>
      </c>
      <c r="CH15" s="624" t="str">
        <f t="shared" si="35"/>
        <v/>
      </c>
      <c r="CI15" s="624" t="str">
        <f t="shared" si="36"/>
        <v/>
      </c>
      <c r="CJ15" s="624" t="str">
        <f t="shared" si="37"/>
        <v/>
      </c>
      <c r="CK15" s="624" t="str">
        <f t="shared" si="38"/>
        <v/>
      </c>
      <c r="CL15" s="624" t="str">
        <f t="shared" si="39"/>
        <v/>
      </c>
      <c r="CM15" s="624" t="str">
        <f t="shared" si="40"/>
        <v/>
      </c>
      <c r="CN15" s="624" t="str">
        <f t="shared" si="41"/>
        <v/>
      </c>
      <c r="CO15" s="624" t="str">
        <f t="shared" si="42"/>
        <v/>
      </c>
      <c r="CP15" s="624">
        <f t="shared" si="43"/>
        <v>1900</v>
      </c>
      <c r="CQ15" s="624" t="str">
        <f t="shared" si="44"/>
        <v/>
      </c>
      <c r="CR15" s="624" t="str">
        <f t="shared" si="45"/>
        <v/>
      </c>
      <c r="CS15" s="624" t="str">
        <f t="shared" si="46"/>
        <v/>
      </c>
      <c r="CT15" s="624" t="str">
        <f t="shared" si="47"/>
        <v/>
      </c>
      <c r="CU15" s="624" t="str">
        <f t="shared" si="48"/>
        <v/>
      </c>
      <c r="CV15" s="624" t="str">
        <f t="shared" si="49"/>
        <v/>
      </c>
      <c r="CW15" s="624" t="str">
        <f t="shared" si="50"/>
        <v/>
      </c>
      <c r="CX15" s="624" t="str">
        <f t="shared" si="51"/>
        <v/>
      </c>
      <c r="CY15" s="624" t="str">
        <f t="shared" si="52"/>
        <v/>
      </c>
      <c r="CZ15" s="624" t="str">
        <f t="shared" si="53"/>
        <v/>
      </c>
      <c r="DA15" s="624" t="str">
        <f t="shared" si="54"/>
        <v/>
      </c>
      <c r="DB15" s="624" t="str">
        <f t="shared" si="55"/>
        <v/>
      </c>
      <c r="DC15" s="624" t="str">
        <f t="shared" si="56"/>
        <v/>
      </c>
      <c r="DD15" s="624" t="str">
        <f t="shared" si="57"/>
        <v/>
      </c>
      <c r="DE15" s="624" t="str">
        <f t="shared" si="58"/>
        <v/>
      </c>
      <c r="DF15" s="624" t="str">
        <f t="shared" si="59"/>
        <v/>
      </c>
      <c r="DG15" s="624" t="str">
        <f t="shared" si="60"/>
        <v/>
      </c>
      <c r="DH15" s="624" t="str">
        <f t="shared" si="61"/>
        <v/>
      </c>
      <c r="DI15" s="624" t="str">
        <f t="shared" si="62"/>
        <v/>
      </c>
      <c r="DJ15" s="624">
        <f t="shared" si="63"/>
        <v>2</v>
      </c>
      <c r="DK15" s="624" t="str">
        <f t="shared" si="64"/>
        <v/>
      </c>
      <c r="DL15" s="624" t="str">
        <f t="shared" si="65"/>
        <v/>
      </c>
      <c r="DM15" s="624" t="str">
        <f t="shared" si="66"/>
        <v/>
      </c>
      <c r="DN15" s="624" t="str">
        <f t="shared" si="67"/>
        <v/>
      </c>
      <c r="DO15" s="624" t="str">
        <f t="shared" si="68"/>
        <v/>
      </c>
      <c r="DP15" s="624" t="str">
        <f t="shared" si="69"/>
        <v/>
      </c>
      <c r="DQ15" s="624" t="str">
        <f t="shared" si="70"/>
        <v/>
      </c>
      <c r="DR15" s="624" t="str">
        <f t="shared" si="71"/>
        <v/>
      </c>
      <c r="DS15" s="624" t="str">
        <f t="shared" si="72"/>
        <v/>
      </c>
      <c r="DT15" s="624" t="str">
        <f t="shared" si="73"/>
        <v/>
      </c>
      <c r="DU15" s="624" t="str">
        <f t="shared" si="74"/>
        <v/>
      </c>
      <c r="DV15" s="624" t="str">
        <f t="shared" si="75"/>
        <v/>
      </c>
      <c r="DW15" s="624" t="str">
        <f t="shared" si="76"/>
        <v/>
      </c>
      <c r="DX15" s="624" t="str">
        <f t="shared" si="77"/>
        <v/>
      </c>
      <c r="DY15" s="624" t="str">
        <f t="shared" si="78"/>
        <v/>
      </c>
      <c r="DZ15" s="624" t="str">
        <f t="shared" si="79"/>
        <v/>
      </c>
      <c r="EA15" s="624" t="str">
        <f t="shared" si="80"/>
        <v/>
      </c>
      <c r="EB15" s="624" t="str">
        <f t="shared" si="81"/>
        <v/>
      </c>
      <c r="EC15" s="624" t="str">
        <f t="shared" si="82"/>
        <v/>
      </c>
      <c r="ED15" s="624" t="str">
        <f t="shared" si="83"/>
        <v/>
      </c>
      <c r="EE15" s="624" t="str">
        <f t="shared" si="84"/>
        <v/>
      </c>
      <c r="EF15" s="624" t="str">
        <f t="shared" si="85"/>
        <v/>
      </c>
      <c r="EG15" s="624" t="str">
        <f t="shared" si="86"/>
        <v/>
      </c>
      <c r="EH15" s="624" t="str">
        <f t="shared" si="87"/>
        <v/>
      </c>
      <c r="EI15" s="624" t="str">
        <f t="shared" si="88"/>
        <v/>
      </c>
      <c r="EJ15" s="624" t="str">
        <f t="shared" si="89"/>
        <v/>
      </c>
      <c r="EK15" s="624" t="str">
        <f t="shared" si="90"/>
        <v/>
      </c>
      <c r="EL15" s="624" t="str">
        <f t="shared" si="91"/>
        <v/>
      </c>
      <c r="EM15" s="624" t="str">
        <f t="shared" si="92"/>
        <v/>
      </c>
      <c r="EN15" s="624" t="str">
        <f t="shared" si="93"/>
        <v/>
      </c>
      <c r="EO15" s="624" t="str">
        <f t="shared" si="94"/>
        <v/>
      </c>
      <c r="EP15" s="624" t="str">
        <f t="shared" si="95"/>
        <v/>
      </c>
      <c r="EQ15" s="624" t="str">
        <f t="shared" si="96"/>
        <v/>
      </c>
      <c r="ER15" s="624" t="str">
        <f t="shared" si="97"/>
        <v/>
      </c>
      <c r="ES15" s="624" t="str">
        <f t="shared" si="98"/>
        <v/>
      </c>
      <c r="ET15" s="624" t="str">
        <f t="shared" si="99"/>
        <v/>
      </c>
      <c r="EU15" s="624" t="str">
        <f t="shared" si="100"/>
        <v/>
      </c>
      <c r="EV15" s="636" t="str">
        <f t="shared" si="101"/>
        <v/>
      </c>
      <c r="EW15" s="636" t="str">
        <f t="shared" si="102"/>
        <v/>
      </c>
      <c r="EX15" s="636">
        <f t="shared" si="103"/>
        <v>2</v>
      </c>
      <c r="EY15" s="636" t="str">
        <f t="shared" si="104"/>
        <v/>
      </c>
      <c r="EZ15" s="636" t="str">
        <f t="shared" si="105"/>
        <v/>
      </c>
      <c r="FA15" s="636" t="str">
        <f t="shared" si="106"/>
        <v/>
      </c>
      <c r="FB15" s="636" t="str">
        <f t="shared" si="107"/>
        <v/>
      </c>
      <c r="FC15" s="636" t="str">
        <f t="shared" si="108"/>
        <v/>
      </c>
      <c r="FD15" s="636" t="str">
        <f t="shared" si="109"/>
        <v/>
      </c>
      <c r="FE15" s="636" t="str">
        <f t="shared" si="110"/>
        <v/>
      </c>
      <c r="FF15" s="636" t="str">
        <f t="shared" si="111"/>
        <v/>
      </c>
      <c r="FG15" s="636" t="str">
        <f t="shared" si="112"/>
        <v/>
      </c>
      <c r="FH15" s="636" t="str">
        <f t="shared" si="113"/>
        <v/>
      </c>
      <c r="FI15" s="636" t="str">
        <f t="shared" si="114"/>
        <v/>
      </c>
      <c r="FJ15" s="636" t="str">
        <f t="shared" si="115"/>
        <v/>
      </c>
      <c r="FK15" s="636" t="str">
        <f t="shared" si="116"/>
        <v/>
      </c>
      <c r="FL15" s="636" t="str">
        <f t="shared" si="117"/>
        <v/>
      </c>
      <c r="FM15" s="636" t="str">
        <f t="shared" si="118"/>
        <v/>
      </c>
      <c r="FN15" s="636" t="str">
        <f t="shared" si="119"/>
        <v/>
      </c>
      <c r="FO15" s="636" t="str">
        <f t="shared" si="120"/>
        <v/>
      </c>
      <c r="FP15" s="636" t="str">
        <f t="shared" si="121"/>
        <v/>
      </c>
      <c r="FQ15" s="636" t="str">
        <f t="shared" si="122"/>
        <v/>
      </c>
      <c r="FR15" s="636" t="str">
        <f t="shared" si="123"/>
        <v/>
      </c>
      <c r="FS15" s="636" t="str">
        <f t="shared" si="124"/>
        <v/>
      </c>
      <c r="FT15" s="636" t="str">
        <f t="shared" si="125"/>
        <v/>
      </c>
      <c r="FU15" s="636" t="str">
        <f t="shared" si="126"/>
        <v/>
      </c>
      <c r="FV15" s="636" t="str">
        <f t="shared" si="127"/>
        <v/>
      </c>
      <c r="FW15" s="636" t="str">
        <f t="shared" si="128"/>
        <v/>
      </c>
      <c r="FX15" s="636" t="str">
        <f t="shared" si="129"/>
        <v/>
      </c>
      <c r="FY15" s="636" t="str">
        <f t="shared" si="130"/>
        <v/>
      </c>
      <c r="FZ15" s="636" t="str">
        <f t="shared" si="131"/>
        <v/>
      </c>
      <c r="GA15" s="636" t="str">
        <f t="shared" si="132"/>
        <v/>
      </c>
      <c r="GB15" s="636" t="str">
        <f t="shared" si="133"/>
        <v/>
      </c>
      <c r="GC15" s="636" t="str">
        <f t="shared" si="134"/>
        <v/>
      </c>
      <c r="GD15" s="636" t="str">
        <f t="shared" si="135"/>
        <v/>
      </c>
      <c r="GE15" s="636" t="str">
        <f t="shared" si="136"/>
        <v/>
      </c>
      <c r="GF15" s="636" t="str">
        <f t="shared" si="137"/>
        <v/>
      </c>
      <c r="GG15" s="636" t="str">
        <f t="shared" si="138"/>
        <v/>
      </c>
      <c r="GH15" s="636" t="str">
        <f t="shared" si="139"/>
        <v/>
      </c>
      <c r="GI15" s="636" t="str">
        <f t="shared" si="140"/>
        <v/>
      </c>
      <c r="GJ15" s="636" t="str">
        <f t="shared" si="141"/>
        <v/>
      </c>
      <c r="GK15" s="636" t="str">
        <f t="shared" si="142"/>
        <v/>
      </c>
      <c r="GL15" s="636">
        <f t="shared" si="143"/>
        <v>2</v>
      </c>
      <c r="GM15" s="636" t="str">
        <f t="shared" si="144"/>
        <v/>
      </c>
      <c r="GN15" s="636" t="str">
        <f t="shared" si="145"/>
        <v/>
      </c>
      <c r="GO15" s="637" t="str">
        <f t="shared" si="146"/>
        <v/>
      </c>
      <c r="GP15" s="637" t="str">
        <f t="shared" si="147"/>
        <v/>
      </c>
      <c r="GQ15" s="637" t="str">
        <f t="shared" si="148"/>
        <v/>
      </c>
      <c r="GR15" s="637" t="str">
        <f t="shared" si="149"/>
        <v/>
      </c>
      <c r="GS15" s="637" t="str">
        <f t="shared" si="150"/>
        <v/>
      </c>
      <c r="GT15" s="624" t="str">
        <f t="shared" si="151"/>
        <v/>
      </c>
      <c r="GU15" s="624" t="str">
        <f t="shared" si="152"/>
        <v/>
      </c>
      <c r="GV15" s="624" t="str">
        <f t="shared" si="153"/>
        <v/>
      </c>
      <c r="GW15" s="624" t="str">
        <f t="shared" si="154"/>
        <v/>
      </c>
      <c r="GX15" s="624" t="str">
        <f t="shared" si="155"/>
        <v/>
      </c>
      <c r="GY15" s="624" t="str">
        <f t="shared" si="156"/>
        <v/>
      </c>
      <c r="GZ15" s="624" t="str">
        <f t="shared" si="157"/>
        <v/>
      </c>
      <c r="HA15" s="624" t="str">
        <f t="shared" si="158"/>
        <v/>
      </c>
      <c r="HB15" s="624" t="str">
        <f t="shared" si="159"/>
        <v/>
      </c>
      <c r="HC15" s="624" t="str">
        <f t="shared" si="160"/>
        <v/>
      </c>
      <c r="HD15" s="624" t="str">
        <f t="shared" si="161"/>
        <v/>
      </c>
      <c r="HE15" s="624" t="str">
        <f t="shared" si="162"/>
        <v/>
      </c>
      <c r="HF15" s="624" t="str">
        <f t="shared" si="163"/>
        <v/>
      </c>
      <c r="HG15" s="624" t="str">
        <f t="shared" si="164"/>
        <v/>
      </c>
      <c r="HH15" s="624" t="str">
        <f t="shared" si="165"/>
        <v/>
      </c>
      <c r="HI15" s="624" t="str">
        <f t="shared" si="166"/>
        <v/>
      </c>
      <c r="HJ15" s="624" t="str">
        <f t="shared" si="167"/>
        <v/>
      </c>
      <c r="HK15" s="624" t="str">
        <f t="shared" si="168"/>
        <v/>
      </c>
      <c r="HL15" s="624" t="str">
        <f t="shared" si="169"/>
        <v/>
      </c>
      <c r="HM15" s="624" t="str">
        <f t="shared" si="170"/>
        <v/>
      </c>
    </row>
    <row r="16" spans="1:255" ht="13.15" customHeight="1">
      <c r="A16" s="130" t="str">
        <f t="shared" si="171"/>
        <v/>
      </c>
      <c r="B16" s="1553" t="s">
        <v>2466</v>
      </c>
      <c r="C16" s="1554"/>
      <c r="D16" s="1555"/>
      <c r="E16" s="1556"/>
      <c r="F16" s="1556"/>
      <c r="G16" s="1556"/>
      <c r="H16" s="1556"/>
      <c r="I16" s="1556"/>
      <c r="J16" s="1557"/>
      <c r="K16" s="205">
        <f t="shared" si="172"/>
        <v>0</v>
      </c>
      <c r="L16" s="205">
        <f t="shared" si="0"/>
        <v>0</v>
      </c>
      <c r="M16" s="1558"/>
      <c r="N16" s="1558"/>
      <c r="O16" s="1558"/>
      <c r="P16" s="559" t="str">
        <f t="shared" si="203"/>
        <v/>
      </c>
      <c r="Q16" s="560" t="str">
        <f>IF(H16="","",P16/($P$6*VLOOKUP(C16,'DCA Underwriting Assumptions'!$J$81:$K$86,2,FALSE)))</f>
        <v/>
      </c>
      <c r="R16" s="667"/>
      <c r="S16" s="560"/>
      <c r="T16" s="1497"/>
      <c r="U16" s="1498"/>
      <c r="V16" s="624" t="str">
        <f t="shared" si="1"/>
        <v/>
      </c>
      <c r="W16" s="624" t="str">
        <f t="shared" si="2"/>
        <v/>
      </c>
      <c r="X16" s="624" t="str">
        <f t="shared" si="3"/>
        <v/>
      </c>
      <c r="Y16" s="624" t="str">
        <f t="shared" si="4"/>
        <v/>
      </c>
      <c r="Z16" s="624" t="str">
        <f t="shared" si="5"/>
        <v/>
      </c>
      <c r="AA16" s="624" t="str">
        <f t="shared" si="6"/>
        <v/>
      </c>
      <c r="AB16" s="624" t="str">
        <f t="shared" si="7"/>
        <v/>
      </c>
      <c r="AC16" s="624" t="str">
        <f t="shared" si="8"/>
        <v/>
      </c>
      <c r="AD16" s="624" t="str">
        <f t="shared" si="9"/>
        <v/>
      </c>
      <c r="AE16" s="624" t="str">
        <f t="shared" si="10"/>
        <v/>
      </c>
      <c r="AF16" s="624" t="str">
        <f t="shared" si="11"/>
        <v/>
      </c>
      <c r="AG16" s="624" t="str">
        <f t="shared" si="12"/>
        <v/>
      </c>
      <c r="AH16" s="624" t="str">
        <f t="shared" si="13"/>
        <v/>
      </c>
      <c r="AI16" s="624" t="str">
        <f t="shared" si="14"/>
        <v/>
      </c>
      <c r="AJ16" s="624" t="str">
        <f t="shared" si="15"/>
        <v/>
      </c>
      <c r="AK16" s="624" t="str">
        <f t="shared" si="16"/>
        <v/>
      </c>
      <c r="AL16" s="624" t="str">
        <f t="shared" si="17"/>
        <v/>
      </c>
      <c r="AM16" s="624" t="str">
        <f t="shared" si="18"/>
        <v/>
      </c>
      <c r="AN16" s="624" t="str">
        <f t="shared" si="19"/>
        <v/>
      </c>
      <c r="AO16" s="624" t="str">
        <f t="shared" si="20"/>
        <v/>
      </c>
      <c r="AP16" s="624" t="str">
        <f t="shared" si="173"/>
        <v/>
      </c>
      <c r="AQ16" s="624" t="str">
        <f t="shared" si="174"/>
        <v/>
      </c>
      <c r="AR16" s="624" t="str">
        <f t="shared" si="175"/>
        <v/>
      </c>
      <c r="AS16" s="624" t="str">
        <f t="shared" si="176"/>
        <v/>
      </c>
      <c r="AT16" s="624" t="str">
        <f t="shared" si="177"/>
        <v/>
      </c>
      <c r="AU16" s="624" t="str">
        <f t="shared" si="178"/>
        <v/>
      </c>
      <c r="AV16" s="624" t="str">
        <f t="shared" si="179"/>
        <v/>
      </c>
      <c r="AW16" s="624" t="str">
        <f t="shared" si="180"/>
        <v/>
      </c>
      <c r="AX16" s="624" t="str">
        <f t="shared" si="181"/>
        <v/>
      </c>
      <c r="AY16" s="624" t="str">
        <f t="shared" si="182"/>
        <v/>
      </c>
      <c r="AZ16" s="624" t="str">
        <f t="shared" si="183"/>
        <v/>
      </c>
      <c r="BA16" s="624" t="str">
        <f t="shared" si="184"/>
        <v/>
      </c>
      <c r="BB16" s="624" t="str">
        <f t="shared" si="185"/>
        <v/>
      </c>
      <c r="BC16" s="624" t="str">
        <f t="shared" si="186"/>
        <v/>
      </c>
      <c r="BD16" s="624" t="str">
        <f t="shared" si="187"/>
        <v/>
      </c>
      <c r="BE16" s="624" t="str">
        <f t="shared" si="188"/>
        <v/>
      </c>
      <c r="BF16" s="624" t="str">
        <f t="shared" si="189"/>
        <v/>
      </c>
      <c r="BG16" s="624" t="str">
        <f t="shared" si="190"/>
        <v/>
      </c>
      <c r="BH16" s="624" t="str">
        <f t="shared" si="191"/>
        <v/>
      </c>
      <c r="BI16" s="624" t="str">
        <f t="shared" si="192"/>
        <v/>
      </c>
      <c r="BJ16" s="624" t="str">
        <f t="shared" si="193"/>
        <v/>
      </c>
      <c r="BK16" s="624" t="str">
        <f t="shared" si="194"/>
        <v/>
      </c>
      <c r="BL16" s="624" t="str">
        <f t="shared" si="195"/>
        <v/>
      </c>
      <c r="BM16" s="624" t="str">
        <f t="shared" si="196"/>
        <v/>
      </c>
      <c r="BN16" s="624" t="str">
        <f t="shared" si="197"/>
        <v/>
      </c>
      <c r="BO16" s="624" t="str">
        <f t="shared" si="198"/>
        <v/>
      </c>
      <c r="BP16" s="624" t="str">
        <f t="shared" si="199"/>
        <v/>
      </c>
      <c r="BQ16" s="624" t="str">
        <f t="shared" si="200"/>
        <v/>
      </c>
      <c r="BR16" s="624" t="str">
        <f t="shared" si="201"/>
        <v/>
      </c>
      <c r="BS16" s="624" t="str">
        <f t="shared" si="202"/>
        <v/>
      </c>
      <c r="BT16" s="624" t="str">
        <f t="shared" si="21"/>
        <v/>
      </c>
      <c r="BU16" s="624" t="str">
        <f t="shared" si="22"/>
        <v/>
      </c>
      <c r="BV16" s="624" t="str">
        <f t="shared" si="23"/>
        <v/>
      </c>
      <c r="BW16" s="624" t="str">
        <f t="shared" si="24"/>
        <v/>
      </c>
      <c r="BX16" s="624" t="str">
        <f t="shared" si="25"/>
        <v/>
      </c>
      <c r="BY16" s="624" t="str">
        <f t="shared" si="26"/>
        <v/>
      </c>
      <c r="BZ16" s="624" t="str">
        <f t="shared" si="27"/>
        <v/>
      </c>
      <c r="CA16" s="624" t="str">
        <f t="shared" si="28"/>
        <v/>
      </c>
      <c r="CB16" s="624" t="str">
        <f t="shared" si="29"/>
        <v/>
      </c>
      <c r="CC16" s="624" t="str">
        <f t="shared" si="30"/>
        <v/>
      </c>
      <c r="CD16" s="624" t="str">
        <f t="shared" si="31"/>
        <v/>
      </c>
      <c r="CE16" s="624" t="str">
        <f t="shared" si="32"/>
        <v/>
      </c>
      <c r="CF16" s="624" t="str">
        <f t="shared" si="33"/>
        <v/>
      </c>
      <c r="CG16" s="624" t="str">
        <f t="shared" si="34"/>
        <v/>
      </c>
      <c r="CH16" s="624" t="str">
        <f t="shared" si="35"/>
        <v/>
      </c>
      <c r="CI16" s="624" t="str">
        <f t="shared" si="36"/>
        <v/>
      </c>
      <c r="CJ16" s="624" t="str">
        <f t="shared" si="37"/>
        <v/>
      </c>
      <c r="CK16" s="624" t="str">
        <f t="shared" si="38"/>
        <v/>
      </c>
      <c r="CL16" s="624" t="str">
        <f t="shared" si="39"/>
        <v/>
      </c>
      <c r="CM16" s="624" t="str">
        <f t="shared" si="40"/>
        <v/>
      </c>
      <c r="CN16" s="624" t="str">
        <f t="shared" si="41"/>
        <v/>
      </c>
      <c r="CO16" s="624" t="str">
        <f t="shared" si="42"/>
        <v/>
      </c>
      <c r="CP16" s="624" t="str">
        <f t="shared" si="43"/>
        <v/>
      </c>
      <c r="CQ16" s="624" t="str">
        <f t="shared" si="44"/>
        <v/>
      </c>
      <c r="CR16" s="624" t="str">
        <f t="shared" si="45"/>
        <v/>
      </c>
      <c r="CS16" s="624" t="str">
        <f t="shared" si="46"/>
        <v/>
      </c>
      <c r="CT16" s="624" t="str">
        <f t="shared" si="47"/>
        <v/>
      </c>
      <c r="CU16" s="624" t="str">
        <f t="shared" si="48"/>
        <v/>
      </c>
      <c r="CV16" s="624" t="str">
        <f t="shared" si="49"/>
        <v/>
      </c>
      <c r="CW16" s="624" t="str">
        <f t="shared" si="50"/>
        <v/>
      </c>
      <c r="CX16" s="624" t="str">
        <f t="shared" si="51"/>
        <v/>
      </c>
      <c r="CY16" s="624" t="str">
        <f t="shared" si="52"/>
        <v/>
      </c>
      <c r="CZ16" s="624" t="str">
        <f t="shared" si="53"/>
        <v/>
      </c>
      <c r="DA16" s="624" t="str">
        <f t="shared" si="54"/>
        <v/>
      </c>
      <c r="DB16" s="624" t="str">
        <f t="shared" si="55"/>
        <v/>
      </c>
      <c r="DC16" s="624" t="str">
        <f t="shared" si="56"/>
        <v/>
      </c>
      <c r="DD16" s="624" t="str">
        <f t="shared" si="57"/>
        <v/>
      </c>
      <c r="DE16" s="624" t="str">
        <f t="shared" si="58"/>
        <v/>
      </c>
      <c r="DF16" s="624" t="str">
        <f t="shared" si="59"/>
        <v/>
      </c>
      <c r="DG16" s="624" t="str">
        <f t="shared" si="60"/>
        <v/>
      </c>
      <c r="DH16" s="624" t="str">
        <f t="shared" si="61"/>
        <v/>
      </c>
      <c r="DI16" s="624" t="str">
        <f t="shared" si="62"/>
        <v/>
      </c>
      <c r="DJ16" s="624" t="str">
        <f t="shared" si="63"/>
        <v/>
      </c>
      <c r="DK16" s="624" t="str">
        <f t="shared" si="64"/>
        <v/>
      </c>
      <c r="DL16" s="624" t="str">
        <f t="shared" si="65"/>
        <v/>
      </c>
      <c r="DM16" s="624" t="str">
        <f t="shared" si="66"/>
        <v/>
      </c>
      <c r="DN16" s="624" t="str">
        <f t="shared" si="67"/>
        <v/>
      </c>
      <c r="DO16" s="624" t="str">
        <f t="shared" si="68"/>
        <v/>
      </c>
      <c r="DP16" s="624" t="str">
        <f t="shared" si="69"/>
        <v/>
      </c>
      <c r="DQ16" s="624" t="str">
        <f t="shared" si="70"/>
        <v/>
      </c>
      <c r="DR16" s="624" t="str">
        <f t="shared" si="71"/>
        <v/>
      </c>
      <c r="DS16" s="624" t="str">
        <f t="shared" si="72"/>
        <v/>
      </c>
      <c r="DT16" s="624" t="str">
        <f t="shared" si="73"/>
        <v/>
      </c>
      <c r="DU16" s="624" t="str">
        <f t="shared" si="74"/>
        <v/>
      </c>
      <c r="DV16" s="624" t="str">
        <f t="shared" si="75"/>
        <v/>
      </c>
      <c r="DW16" s="624" t="str">
        <f t="shared" si="76"/>
        <v/>
      </c>
      <c r="DX16" s="624" t="str">
        <f t="shared" si="77"/>
        <v/>
      </c>
      <c r="DY16" s="624" t="str">
        <f t="shared" si="78"/>
        <v/>
      </c>
      <c r="DZ16" s="624" t="str">
        <f t="shared" si="79"/>
        <v/>
      </c>
      <c r="EA16" s="624" t="str">
        <f t="shared" si="80"/>
        <v/>
      </c>
      <c r="EB16" s="624" t="str">
        <f t="shared" si="81"/>
        <v/>
      </c>
      <c r="EC16" s="624" t="str">
        <f t="shared" si="82"/>
        <v/>
      </c>
      <c r="ED16" s="624" t="str">
        <f t="shared" si="83"/>
        <v/>
      </c>
      <c r="EE16" s="624" t="str">
        <f t="shared" si="84"/>
        <v/>
      </c>
      <c r="EF16" s="624" t="str">
        <f t="shared" si="85"/>
        <v/>
      </c>
      <c r="EG16" s="624" t="str">
        <f t="shared" si="86"/>
        <v/>
      </c>
      <c r="EH16" s="624" t="str">
        <f t="shared" si="87"/>
        <v/>
      </c>
      <c r="EI16" s="624" t="str">
        <f t="shared" si="88"/>
        <v/>
      </c>
      <c r="EJ16" s="624" t="str">
        <f t="shared" si="89"/>
        <v/>
      </c>
      <c r="EK16" s="624" t="str">
        <f t="shared" si="90"/>
        <v/>
      </c>
      <c r="EL16" s="624" t="str">
        <f t="shared" si="91"/>
        <v/>
      </c>
      <c r="EM16" s="624" t="str">
        <f t="shared" si="92"/>
        <v/>
      </c>
      <c r="EN16" s="624" t="str">
        <f t="shared" si="93"/>
        <v/>
      </c>
      <c r="EO16" s="624" t="str">
        <f t="shared" si="94"/>
        <v/>
      </c>
      <c r="EP16" s="624" t="str">
        <f t="shared" si="95"/>
        <v/>
      </c>
      <c r="EQ16" s="624" t="str">
        <f t="shared" si="96"/>
        <v/>
      </c>
      <c r="ER16" s="624" t="str">
        <f t="shared" si="97"/>
        <v/>
      </c>
      <c r="ES16" s="624" t="str">
        <f t="shared" si="98"/>
        <v/>
      </c>
      <c r="ET16" s="624" t="str">
        <f t="shared" si="99"/>
        <v/>
      </c>
      <c r="EU16" s="624" t="str">
        <f t="shared" si="100"/>
        <v/>
      </c>
      <c r="EV16" s="636" t="str">
        <f t="shared" si="101"/>
        <v/>
      </c>
      <c r="EW16" s="636" t="str">
        <f t="shared" si="102"/>
        <v/>
      </c>
      <c r="EX16" s="636" t="str">
        <f t="shared" si="103"/>
        <v/>
      </c>
      <c r="EY16" s="636" t="str">
        <f t="shared" si="104"/>
        <v/>
      </c>
      <c r="EZ16" s="636" t="str">
        <f t="shared" si="105"/>
        <v/>
      </c>
      <c r="FA16" s="636" t="str">
        <f t="shared" si="106"/>
        <v/>
      </c>
      <c r="FB16" s="636" t="str">
        <f t="shared" si="107"/>
        <v/>
      </c>
      <c r="FC16" s="636" t="str">
        <f t="shared" si="108"/>
        <v/>
      </c>
      <c r="FD16" s="636" t="str">
        <f t="shared" si="109"/>
        <v/>
      </c>
      <c r="FE16" s="636" t="str">
        <f t="shared" si="110"/>
        <v/>
      </c>
      <c r="FF16" s="636" t="str">
        <f t="shared" si="111"/>
        <v/>
      </c>
      <c r="FG16" s="636" t="str">
        <f t="shared" si="112"/>
        <v/>
      </c>
      <c r="FH16" s="636" t="str">
        <f t="shared" si="113"/>
        <v/>
      </c>
      <c r="FI16" s="636" t="str">
        <f t="shared" si="114"/>
        <v/>
      </c>
      <c r="FJ16" s="636" t="str">
        <f t="shared" si="115"/>
        <v/>
      </c>
      <c r="FK16" s="636" t="str">
        <f t="shared" si="116"/>
        <v/>
      </c>
      <c r="FL16" s="636" t="str">
        <f t="shared" si="117"/>
        <v/>
      </c>
      <c r="FM16" s="636" t="str">
        <f t="shared" si="118"/>
        <v/>
      </c>
      <c r="FN16" s="636" t="str">
        <f t="shared" si="119"/>
        <v/>
      </c>
      <c r="FO16" s="636" t="str">
        <f t="shared" si="120"/>
        <v/>
      </c>
      <c r="FP16" s="636" t="str">
        <f t="shared" si="121"/>
        <v/>
      </c>
      <c r="FQ16" s="636" t="str">
        <f t="shared" si="122"/>
        <v/>
      </c>
      <c r="FR16" s="636" t="str">
        <f t="shared" si="123"/>
        <v/>
      </c>
      <c r="FS16" s="636" t="str">
        <f t="shared" si="124"/>
        <v/>
      </c>
      <c r="FT16" s="636" t="str">
        <f t="shared" si="125"/>
        <v/>
      </c>
      <c r="FU16" s="636" t="str">
        <f t="shared" si="126"/>
        <v/>
      </c>
      <c r="FV16" s="636" t="str">
        <f t="shared" si="127"/>
        <v/>
      </c>
      <c r="FW16" s="636" t="str">
        <f t="shared" si="128"/>
        <v/>
      </c>
      <c r="FX16" s="636" t="str">
        <f t="shared" si="129"/>
        <v/>
      </c>
      <c r="FY16" s="636" t="str">
        <f t="shared" si="130"/>
        <v/>
      </c>
      <c r="FZ16" s="636" t="str">
        <f t="shared" si="131"/>
        <v/>
      </c>
      <c r="GA16" s="636" t="str">
        <f t="shared" si="132"/>
        <v/>
      </c>
      <c r="GB16" s="636" t="str">
        <f t="shared" si="133"/>
        <v/>
      </c>
      <c r="GC16" s="636" t="str">
        <f t="shared" si="134"/>
        <v/>
      </c>
      <c r="GD16" s="636" t="str">
        <f t="shared" si="135"/>
        <v/>
      </c>
      <c r="GE16" s="636" t="str">
        <f t="shared" si="136"/>
        <v/>
      </c>
      <c r="GF16" s="636" t="str">
        <f t="shared" si="137"/>
        <v/>
      </c>
      <c r="GG16" s="636" t="str">
        <f t="shared" si="138"/>
        <v/>
      </c>
      <c r="GH16" s="636" t="str">
        <f t="shared" si="139"/>
        <v/>
      </c>
      <c r="GI16" s="636" t="str">
        <f t="shared" si="140"/>
        <v/>
      </c>
      <c r="GJ16" s="636" t="str">
        <f t="shared" si="141"/>
        <v/>
      </c>
      <c r="GK16" s="636" t="str">
        <f t="shared" si="142"/>
        <v/>
      </c>
      <c r="GL16" s="636" t="str">
        <f t="shared" si="143"/>
        <v/>
      </c>
      <c r="GM16" s="636" t="str">
        <f t="shared" si="144"/>
        <v/>
      </c>
      <c r="GN16" s="636" t="str">
        <f t="shared" si="145"/>
        <v/>
      </c>
      <c r="GO16" s="637" t="str">
        <f t="shared" si="146"/>
        <v/>
      </c>
      <c r="GP16" s="637" t="str">
        <f t="shared" si="147"/>
        <v/>
      </c>
      <c r="GQ16" s="637" t="str">
        <f t="shared" si="148"/>
        <v/>
      </c>
      <c r="GR16" s="637" t="str">
        <f t="shared" si="149"/>
        <v/>
      </c>
      <c r="GS16" s="637" t="str">
        <f t="shared" si="150"/>
        <v/>
      </c>
      <c r="GT16" s="624" t="str">
        <f t="shared" si="151"/>
        <v/>
      </c>
      <c r="GU16" s="624" t="str">
        <f t="shared" si="152"/>
        <v/>
      </c>
      <c r="GV16" s="624" t="str">
        <f t="shared" si="153"/>
        <v/>
      </c>
      <c r="GW16" s="624" t="str">
        <f t="shared" si="154"/>
        <v/>
      </c>
      <c r="GX16" s="624" t="str">
        <f t="shared" si="155"/>
        <v/>
      </c>
      <c r="GY16" s="624" t="str">
        <f t="shared" si="156"/>
        <v/>
      </c>
      <c r="GZ16" s="624" t="str">
        <f t="shared" si="157"/>
        <v/>
      </c>
      <c r="HA16" s="624" t="str">
        <f t="shared" si="158"/>
        <v/>
      </c>
      <c r="HB16" s="624" t="str">
        <f t="shared" si="159"/>
        <v/>
      </c>
      <c r="HC16" s="624" t="str">
        <f t="shared" si="160"/>
        <v/>
      </c>
      <c r="HD16" s="624" t="str">
        <f t="shared" si="161"/>
        <v/>
      </c>
      <c r="HE16" s="624" t="str">
        <f t="shared" si="162"/>
        <v/>
      </c>
      <c r="HF16" s="624" t="str">
        <f t="shared" si="163"/>
        <v/>
      </c>
      <c r="HG16" s="624" t="str">
        <f t="shared" si="164"/>
        <v/>
      </c>
      <c r="HH16" s="624" t="str">
        <f t="shared" si="165"/>
        <v/>
      </c>
      <c r="HI16" s="624" t="str">
        <f t="shared" si="166"/>
        <v/>
      </c>
      <c r="HJ16" s="624" t="str">
        <f t="shared" si="167"/>
        <v/>
      </c>
      <c r="HK16" s="624" t="str">
        <f t="shared" si="168"/>
        <v/>
      </c>
      <c r="HL16" s="624" t="str">
        <f t="shared" si="169"/>
        <v/>
      </c>
      <c r="HM16" s="624" t="str">
        <f t="shared" si="170"/>
        <v/>
      </c>
    </row>
    <row r="17" spans="1:221" ht="13.15" customHeight="1">
      <c r="A17" s="130" t="str">
        <f t="shared" si="171"/>
        <v/>
      </c>
      <c r="B17" s="1553" t="s">
        <v>2466</v>
      </c>
      <c r="C17" s="1554"/>
      <c r="D17" s="1555"/>
      <c r="E17" s="1556"/>
      <c r="F17" s="1556"/>
      <c r="G17" s="1556"/>
      <c r="H17" s="1556"/>
      <c r="I17" s="1556"/>
      <c r="J17" s="1557"/>
      <c r="K17" s="205">
        <f t="shared" si="172"/>
        <v>0</v>
      </c>
      <c r="L17" s="205">
        <f t="shared" si="0"/>
        <v>0</v>
      </c>
      <c r="M17" s="1558"/>
      <c r="N17" s="1558"/>
      <c r="O17" s="1558"/>
      <c r="P17" s="559" t="str">
        <f t="shared" si="203"/>
        <v/>
      </c>
      <c r="Q17" s="560" t="str">
        <f>IF(H17="","",P17/($P$6*VLOOKUP(C17,'DCA Underwriting Assumptions'!$J$81:$K$86,2,FALSE)))</f>
        <v/>
      </c>
      <c r="R17" s="667"/>
      <c r="S17" s="560"/>
      <c r="T17" s="1497"/>
      <c r="U17" s="1498"/>
      <c r="V17" s="624" t="str">
        <f t="shared" si="1"/>
        <v/>
      </c>
      <c r="W17" s="624" t="str">
        <f t="shared" si="2"/>
        <v/>
      </c>
      <c r="X17" s="624" t="str">
        <f t="shared" si="3"/>
        <v/>
      </c>
      <c r="Y17" s="624" t="str">
        <f t="shared" si="4"/>
        <v/>
      </c>
      <c r="Z17" s="624" t="str">
        <f t="shared" si="5"/>
        <v/>
      </c>
      <c r="AA17" s="624" t="str">
        <f t="shared" si="6"/>
        <v/>
      </c>
      <c r="AB17" s="624" t="str">
        <f t="shared" si="7"/>
        <v/>
      </c>
      <c r="AC17" s="624" t="str">
        <f t="shared" si="8"/>
        <v/>
      </c>
      <c r="AD17" s="624" t="str">
        <f t="shared" si="9"/>
        <v/>
      </c>
      <c r="AE17" s="624" t="str">
        <f t="shared" si="10"/>
        <v/>
      </c>
      <c r="AF17" s="624" t="str">
        <f t="shared" si="11"/>
        <v/>
      </c>
      <c r="AG17" s="624" t="str">
        <f t="shared" si="12"/>
        <v/>
      </c>
      <c r="AH17" s="624" t="str">
        <f t="shared" si="13"/>
        <v/>
      </c>
      <c r="AI17" s="624" t="str">
        <f t="shared" si="14"/>
        <v/>
      </c>
      <c r="AJ17" s="624" t="str">
        <f t="shared" si="15"/>
        <v/>
      </c>
      <c r="AK17" s="624" t="str">
        <f t="shared" si="16"/>
        <v/>
      </c>
      <c r="AL17" s="624" t="str">
        <f t="shared" si="17"/>
        <v/>
      </c>
      <c r="AM17" s="624" t="str">
        <f t="shared" si="18"/>
        <v/>
      </c>
      <c r="AN17" s="624" t="str">
        <f t="shared" si="19"/>
        <v/>
      </c>
      <c r="AO17" s="624" t="str">
        <f t="shared" si="20"/>
        <v/>
      </c>
      <c r="AP17" s="624" t="str">
        <f t="shared" si="173"/>
        <v/>
      </c>
      <c r="AQ17" s="624" t="str">
        <f t="shared" si="174"/>
        <v/>
      </c>
      <c r="AR17" s="624" t="str">
        <f t="shared" si="175"/>
        <v/>
      </c>
      <c r="AS17" s="624" t="str">
        <f t="shared" si="176"/>
        <v/>
      </c>
      <c r="AT17" s="624" t="str">
        <f t="shared" si="177"/>
        <v/>
      </c>
      <c r="AU17" s="624" t="str">
        <f t="shared" si="178"/>
        <v/>
      </c>
      <c r="AV17" s="624" t="str">
        <f t="shared" si="179"/>
        <v/>
      </c>
      <c r="AW17" s="624" t="str">
        <f t="shared" si="180"/>
        <v/>
      </c>
      <c r="AX17" s="624" t="str">
        <f t="shared" si="181"/>
        <v/>
      </c>
      <c r="AY17" s="624" t="str">
        <f t="shared" si="182"/>
        <v/>
      </c>
      <c r="AZ17" s="624" t="str">
        <f t="shared" si="183"/>
        <v/>
      </c>
      <c r="BA17" s="624" t="str">
        <f t="shared" si="184"/>
        <v/>
      </c>
      <c r="BB17" s="624" t="str">
        <f t="shared" si="185"/>
        <v/>
      </c>
      <c r="BC17" s="624" t="str">
        <f t="shared" si="186"/>
        <v/>
      </c>
      <c r="BD17" s="624" t="str">
        <f t="shared" si="187"/>
        <v/>
      </c>
      <c r="BE17" s="624" t="str">
        <f t="shared" si="188"/>
        <v/>
      </c>
      <c r="BF17" s="624" t="str">
        <f t="shared" si="189"/>
        <v/>
      </c>
      <c r="BG17" s="624" t="str">
        <f t="shared" si="190"/>
        <v/>
      </c>
      <c r="BH17" s="624" t="str">
        <f t="shared" si="191"/>
        <v/>
      </c>
      <c r="BI17" s="624" t="str">
        <f t="shared" si="192"/>
        <v/>
      </c>
      <c r="BJ17" s="624" t="str">
        <f t="shared" si="193"/>
        <v/>
      </c>
      <c r="BK17" s="624" t="str">
        <f t="shared" si="194"/>
        <v/>
      </c>
      <c r="BL17" s="624" t="str">
        <f t="shared" si="195"/>
        <v/>
      </c>
      <c r="BM17" s="624" t="str">
        <f t="shared" si="196"/>
        <v/>
      </c>
      <c r="BN17" s="624" t="str">
        <f t="shared" si="197"/>
        <v/>
      </c>
      <c r="BO17" s="624" t="str">
        <f t="shared" si="198"/>
        <v/>
      </c>
      <c r="BP17" s="624" t="str">
        <f t="shared" si="199"/>
        <v/>
      </c>
      <c r="BQ17" s="624" t="str">
        <f t="shared" si="200"/>
        <v/>
      </c>
      <c r="BR17" s="624" t="str">
        <f t="shared" si="201"/>
        <v/>
      </c>
      <c r="BS17" s="624" t="str">
        <f t="shared" si="202"/>
        <v/>
      </c>
      <c r="BT17" s="624" t="str">
        <f t="shared" si="21"/>
        <v/>
      </c>
      <c r="BU17" s="624" t="str">
        <f t="shared" si="22"/>
        <v/>
      </c>
      <c r="BV17" s="624" t="str">
        <f t="shared" si="23"/>
        <v/>
      </c>
      <c r="BW17" s="624" t="str">
        <f t="shared" si="24"/>
        <v/>
      </c>
      <c r="BX17" s="624" t="str">
        <f t="shared" si="25"/>
        <v/>
      </c>
      <c r="BY17" s="624" t="str">
        <f t="shared" si="26"/>
        <v/>
      </c>
      <c r="BZ17" s="624" t="str">
        <f t="shared" si="27"/>
        <v/>
      </c>
      <c r="CA17" s="624" t="str">
        <f t="shared" si="28"/>
        <v/>
      </c>
      <c r="CB17" s="624" t="str">
        <f t="shared" si="29"/>
        <v/>
      </c>
      <c r="CC17" s="624" t="str">
        <f t="shared" si="30"/>
        <v/>
      </c>
      <c r="CD17" s="624" t="str">
        <f t="shared" si="31"/>
        <v/>
      </c>
      <c r="CE17" s="624" t="str">
        <f t="shared" si="32"/>
        <v/>
      </c>
      <c r="CF17" s="624" t="str">
        <f t="shared" si="33"/>
        <v/>
      </c>
      <c r="CG17" s="624" t="str">
        <f t="shared" si="34"/>
        <v/>
      </c>
      <c r="CH17" s="624" t="str">
        <f t="shared" si="35"/>
        <v/>
      </c>
      <c r="CI17" s="624" t="str">
        <f t="shared" si="36"/>
        <v/>
      </c>
      <c r="CJ17" s="624" t="str">
        <f t="shared" si="37"/>
        <v/>
      </c>
      <c r="CK17" s="624" t="str">
        <f t="shared" si="38"/>
        <v/>
      </c>
      <c r="CL17" s="624" t="str">
        <f t="shared" si="39"/>
        <v/>
      </c>
      <c r="CM17" s="624" t="str">
        <f t="shared" si="40"/>
        <v/>
      </c>
      <c r="CN17" s="624" t="str">
        <f t="shared" si="41"/>
        <v/>
      </c>
      <c r="CO17" s="624" t="str">
        <f t="shared" si="42"/>
        <v/>
      </c>
      <c r="CP17" s="624" t="str">
        <f t="shared" si="43"/>
        <v/>
      </c>
      <c r="CQ17" s="624" t="str">
        <f t="shared" si="44"/>
        <v/>
      </c>
      <c r="CR17" s="624" t="str">
        <f t="shared" si="45"/>
        <v/>
      </c>
      <c r="CS17" s="624" t="str">
        <f t="shared" si="46"/>
        <v/>
      </c>
      <c r="CT17" s="624" t="str">
        <f t="shared" si="47"/>
        <v/>
      </c>
      <c r="CU17" s="624" t="str">
        <f t="shared" si="48"/>
        <v/>
      </c>
      <c r="CV17" s="624" t="str">
        <f t="shared" si="49"/>
        <v/>
      </c>
      <c r="CW17" s="624" t="str">
        <f t="shared" si="50"/>
        <v/>
      </c>
      <c r="CX17" s="624" t="str">
        <f t="shared" si="51"/>
        <v/>
      </c>
      <c r="CY17" s="624" t="str">
        <f t="shared" si="52"/>
        <v/>
      </c>
      <c r="CZ17" s="624" t="str">
        <f t="shared" si="53"/>
        <v/>
      </c>
      <c r="DA17" s="624" t="str">
        <f t="shared" si="54"/>
        <v/>
      </c>
      <c r="DB17" s="624" t="str">
        <f t="shared" si="55"/>
        <v/>
      </c>
      <c r="DC17" s="624" t="str">
        <f t="shared" si="56"/>
        <v/>
      </c>
      <c r="DD17" s="624" t="str">
        <f t="shared" si="57"/>
        <v/>
      </c>
      <c r="DE17" s="624" t="str">
        <f t="shared" si="58"/>
        <v/>
      </c>
      <c r="DF17" s="624" t="str">
        <f t="shared" si="59"/>
        <v/>
      </c>
      <c r="DG17" s="624" t="str">
        <f t="shared" si="60"/>
        <v/>
      </c>
      <c r="DH17" s="624" t="str">
        <f t="shared" si="61"/>
        <v/>
      </c>
      <c r="DI17" s="624" t="str">
        <f t="shared" si="62"/>
        <v/>
      </c>
      <c r="DJ17" s="624" t="str">
        <f t="shared" si="63"/>
        <v/>
      </c>
      <c r="DK17" s="624" t="str">
        <f t="shared" si="64"/>
        <v/>
      </c>
      <c r="DL17" s="624" t="str">
        <f t="shared" si="65"/>
        <v/>
      </c>
      <c r="DM17" s="624" t="str">
        <f t="shared" si="66"/>
        <v/>
      </c>
      <c r="DN17" s="624" t="str">
        <f t="shared" si="67"/>
        <v/>
      </c>
      <c r="DO17" s="624" t="str">
        <f t="shared" si="68"/>
        <v/>
      </c>
      <c r="DP17" s="624" t="str">
        <f t="shared" si="69"/>
        <v/>
      </c>
      <c r="DQ17" s="624" t="str">
        <f t="shared" si="70"/>
        <v/>
      </c>
      <c r="DR17" s="624" t="str">
        <f t="shared" si="71"/>
        <v/>
      </c>
      <c r="DS17" s="624" t="str">
        <f t="shared" si="72"/>
        <v/>
      </c>
      <c r="DT17" s="624" t="str">
        <f t="shared" si="73"/>
        <v/>
      </c>
      <c r="DU17" s="624" t="str">
        <f t="shared" si="74"/>
        <v/>
      </c>
      <c r="DV17" s="624" t="str">
        <f t="shared" si="75"/>
        <v/>
      </c>
      <c r="DW17" s="624" t="str">
        <f t="shared" si="76"/>
        <v/>
      </c>
      <c r="DX17" s="624" t="str">
        <f t="shared" si="77"/>
        <v/>
      </c>
      <c r="DY17" s="624" t="str">
        <f t="shared" si="78"/>
        <v/>
      </c>
      <c r="DZ17" s="624" t="str">
        <f t="shared" si="79"/>
        <v/>
      </c>
      <c r="EA17" s="624" t="str">
        <f t="shared" si="80"/>
        <v/>
      </c>
      <c r="EB17" s="624" t="str">
        <f t="shared" si="81"/>
        <v/>
      </c>
      <c r="EC17" s="624" t="str">
        <f t="shared" si="82"/>
        <v/>
      </c>
      <c r="ED17" s="624" t="str">
        <f t="shared" si="83"/>
        <v/>
      </c>
      <c r="EE17" s="624" t="str">
        <f t="shared" si="84"/>
        <v/>
      </c>
      <c r="EF17" s="624" t="str">
        <f t="shared" si="85"/>
        <v/>
      </c>
      <c r="EG17" s="624" t="str">
        <f t="shared" si="86"/>
        <v/>
      </c>
      <c r="EH17" s="624" t="str">
        <f t="shared" si="87"/>
        <v/>
      </c>
      <c r="EI17" s="624" t="str">
        <f t="shared" si="88"/>
        <v/>
      </c>
      <c r="EJ17" s="624" t="str">
        <f t="shared" si="89"/>
        <v/>
      </c>
      <c r="EK17" s="624" t="str">
        <f t="shared" si="90"/>
        <v/>
      </c>
      <c r="EL17" s="624" t="str">
        <f t="shared" si="91"/>
        <v/>
      </c>
      <c r="EM17" s="624" t="str">
        <f t="shared" si="92"/>
        <v/>
      </c>
      <c r="EN17" s="624" t="str">
        <f t="shared" si="93"/>
        <v/>
      </c>
      <c r="EO17" s="624" t="str">
        <f t="shared" si="94"/>
        <v/>
      </c>
      <c r="EP17" s="624" t="str">
        <f t="shared" si="95"/>
        <v/>
      </c>
      <c r="EQ17" s="624" t="str">
        <f t="shared" si="96"/>
        <v/>
      </c>
      <c r="ER17" s="624" t="str">
        <f t="shared" si="97"/>
        <v/>
      </c>
      <c r="ES17" s="624" t="str">
        <f t="shared" si="98"/>
        <v/>
      </c>
      <c r="ET17" s="624" t="str">
        <f t="shared" si="99"/>
        <v/>
      </c>
      <c r="EU17" s="624" t="str">
        <f t="shared" si="100"/>
        <v/>
      </c>
      <c r="EV17" s="636" t="str">
        <f t="shared" si="101"/>
        <v/>
      </c>
      <c r="EW17" s="636" t="str">
        <f t="shared" si="102"/>
        <v/>
      </c>
      <c r="EX17" s="636" t="str">
        <f t="shared" si="103"/>
        <v/>
      </c>
      <c r="EY17" s="636" t="str">
        <f t="shared" si="104"/>
        <v/>
      </c>
      <c r="EZ17" s="636" t="str">
        <f t="shared" si="105"/>
        <v/>
      </c>
      <c r="FA17" s="636" t="str">
        <f t="shared" si="106"/>
        <v/>
      </c>
      <c r="FB17" s="636" t="str">
        <f t="shared" si="107"/>
        <v/>
      </c>
      <c r="FC17" s="636" t="str">
        <f t="shared" si="108"/>
        <v/>
      </c>
      <c r="FD17" s="636" t="str">
        <f t="shared" si="109"/>
        <v/>
      </c>
      <c r="FE17" s="636" t="str">
        <f t="shared" si="110"/>
        <v/>
      </c>
      <c r="FF17" s="636" t="str">
        <f t="shared" si="111"/>
        <v/>
      </c>
      <c r="FG17" s="636" t="str">
        <f t="shared" si="112"/>
        <v/>
      </c>
      <c r="FH17" s="636" t="str">
        <f t="shared" si="113"/>
        <v/>
      </c>
      <c r="FI17" s="636" t="str">
        <f t="shared" si="114"/>
        <v/>
      </c>
      <c r="FJ17" s="636" t="str">
        <f t="shared" si="115"/>
        <v/>
      </c>
      <c r="FK17" s="636" t="str">
        <f t="shared" si="116"/>
        <v/>
      </c>
      <c r="FL17" s="636" t="str">
        <f t="shared" si="117"/>
        <v/>
      </c>
      <c r="FM17" s="636" t="str">
        <f t="shared" si="118"/>
        <v/>
      </c>
      <c r="FN17" s="636" t="str">
        <f t="shared" si="119"/>
        <v/>
      </c>
      <c r="FO17" s="636" t="str">
        <f t="shared" si="120"/>
        <v/>
      </c>
      <c r="FP17" s="636" t="str">
        <f t="shared" si="121"/>
        <v/>
      </c>
      <c r="FQ17" s="636" t="str">
        <f t="shared" si="122"/>
        <v/>
      </c>
      <c r="FR17" s="636" t="str">
        <f t="shared" si="123"/>
        <v/>
      </c>
      <c r="FS17" s="636" t="str">
        <f t="shared" si="124"/>
        <v/>
      </c>
      <c r="FT17" s="636" t="str">
        <f t="shared" si="125"/>
        <v/>
      </c>
      <c r="FU17" s="636" t="str">
        <f t="shared" si="126"/>
        <v/>
      </c>
      <c r="FV17" s="636" t="str">
        <f t="shared" si="127"/>
        <v/>
      </c>
      <c r="FW17" s="636" t="str">
        <f t="shared" si="128"/>
        <v/>
      </c>
      <c r="FX17" s="636" t="str">
        <f t="shared" si="129"/>
        <v/>
      </c>
      <c r="FY17" s="636" t="str">
        <f t="shared" si="130"/>
        <v/>
      </c>
      <c r="FZ17" s="636" t="str">
        <f t="shared" si="131"/>
        <v/>
      </c>
      <c r="GA17" s="636" t="str">
        <f t="shared" si="132"/>
        <v/>
      </c>
      <c r="GB17" s="636" t="str">
        <f t="shared" si="133"/>
        <v/>
      </c>
      <c r="GC17" s="636" t="str">
        <f t="shared" si="134"/>
        <v/>
      </c>
      <c r="GD17" s="636" t="str">
        <f t="shared" si="135"/>
        <v/>
      </c>
      <c r="GE17" s="636" t="str">
        <f t="shared" si="136"/>
        <v/>
      </c>
      <c r="GF17" s="636" t="str">
        <f t="shared" si="137"/>
        <v/>
      </c>
      <c r="GG17" s="636" t="str">
        <f t="shared" si="138"/>
        <v/>
      </c>
      <c r="GH17" s="636" t="str">
        <f t="shared" si="139"/>
        <v/>
      </c>
      <c r="GI17" s="636" t="str">
        <f t="shared" si="140"/>
        <v/>
      </c>
      <c r="GJ17" s="636" t="str">
        <f t="shared" si="141"/>
        <v/>
      </c>
      <c r="GK17" s="636" t="str">
        <f t="shared" si="142"/>
        <v/>
      </c>
      <c r="GL17" s="636" t="str">
        <f t="shared" si="143"/>
        <v/>
      </c>
      <c r="GM17" s="636" t="str">
        <f t="shared" si="144"/>
        <v/>
      </c>
      <c r="GN17" s="636" t="str">
        <f t="shared" si="145"/>
        <v/>
      </c>
      <c r="GO17" s="637" t="str">
        <f t="shared" si="146"/>
        <v/>
      </c>
      <c r="GP17" s="637" t="str">
        <f t="shared" si="147"/>
        <v/>
      </c>
      <c r="GQ17" s="637" t="str">
        <f t="shared" si="148"/>
        <v/>
      </c>
      <c r="GR17" s="637" t="str">
        <f t="shared" si="149"/>
        <v/>
      </c>
      <c r="GS17" s="637" t="str">
        <f t="shared" si="150"/>
        <v/>
      </c>
      <c r="GT17" s="624" t="str">
        <f t="shared" si="151"/>
        <v/>
      </c>
      <c r="GU17" s="624" t="str">
        <f t="shared" si="152"/>
        <v/>
      </c>
      <c r="GV17" s="624" t="str">
        <f t="shared" si="153"/>
        <v/>
      </c>
      <c r="GW17" s="624" t="str">
        <f t="shared" si="154"/>
        <v/>
      </c>
      <c r="GX17" s="624" t="str">
        <f t="shared" si="155"/>
        <v/>
      </c>
      <c r="GY17" s="624" t="str">
        <f t="shared" si="156"/>
        <v/>
      </c>
      <c r="GZ17" s="624" t="str">
        <f t="shared" si="157"/>
        <v/>
      </c>
      <c r="HA17" s="624" t="str">
        <f t="shared" si="158"/>
        <v/>
      </c>
      <c r="HB17" s="624" t="str">
        <f t="shared" si="159"/>
        <v/>
      </c>
      <c r="HC17" s="624" t="str">
        <f t="shared" si="160"/>
        <v/>
      </c>
      <c r="HD17" s="624" t="str">
        <f t="shared" si="161"/>
        <v/>
      </c>
      <c r="HE17" s="624" t="str">
        <f t="shared" si="162"/>
        <v/>
      </c>
      <c r="HF17" s="624" t="str">
        <f t="shared" si="163"/>
        <v/>
      </c>
      <c r="HG17" s="624" t="str">
        <f t="shared" si="164"/>
        <v/>
      </c>
      <c r="HH17" s="624" t="str">
        <f t="shared" si="165"/>
        <v/>
      </c>
      <c r="HI17" s="624" t="str">
        <f t="shared" si="166"/>
        <v/>
      </c>
      <c r="HJ17" s="624" t="str">
        <f t="shared" si="167"/>
        <v/>
      </c>
      <c r="HK17" s="624" t="str">
        <f t="shared" si="168"/>
        <v/>
      </c>
      <c r="HL17" s="624" t="str">
        <f t="shared" si="169"/>
        <v/>
      </c>
      <c r="HM17" s="624" t="str">
        <f t="shared" si="170"/>
        <v/>
      </c>
    </row>
    <row r="18" spans="1:221" ht="13.15" customHeight="1">
      <c r="A18" s="130" t="str">
        <f t="shared" si="171"/>
        <v/>
      </c>
      <c r="B18" s="1553" t="s">
        <v>2466</v>
      </c>
      <c r="C18" s="1554"/>
      <c r="D18" s="1555"/>
      <c r="E18" s="1556"/>
      <c r="F18" s="1556"/>
      <c r="G18" s="1556"/>
      <c r="H18" s="1556"/>
      <c r="I18" s="1556"/>
      <c r="J18" s="1557"/>
      <c r="K18" s="205">
        <f t="shared" si="172"/>
        <v>0</v>
      </c>
      <c r="L18" s="205">
        <f t="shared" si="0"/>
        <v>0</v>
      </c>
      <c r="M18" s="1558"/>
      <c r="N18" s="1558"/>
      <c r="O18" s="1558"/>
      <c r="P18" s="559" t="str">
        <f t="shared" si="203"/>
        <v/>
      </c>
      <c r="Q18" s="560" t="str">
        <f>IF(H18="","",P18/($P$6*VLOOKUP(C18,'DCA Underwriting Assumptions'!$J$81:$K$86,2,FALSE)))</f>
        <v/>
      </c>
      <c r="R18" s="667"/>
      <c r="S18" s="560"/>
      <c r="T18" s="1497"/>
      <c r="U18" s="1498"/>
      <c r="V18" s="624" t="str">
        <f t="shared" si="1"/>
        <v/>
      </c>
      <c r="W18" s="624" t="str">
        <f t="shared" si="2"/>
        <v/>
      </c>
      <c r="X18" s="624" t="str">
        <f t="shared" si="3"/>
        <v/>
      </c>
      <c r="Y18" s="624" t="str">
        <f t="shared" si="4"/>
        <v/>
      </c>
      <c r="Z18" s="624" t="str">
        <f t="shared" si="5"/>
        <v/>
      </c>
      <c r="AA18" s="624" t="str">
        <f t="shared" si="6"/>
        <v/>
      </c>
      <c r="AB18" s="624" t="str">
        <f t="shared" si="7"/>
        <v/>
      </c>
      <c r="AC18" s="624" t="str">
        <f t="shared" si="8"/>
        <v/>
      </c>
      <c r="AD18" s="624" t="str">
        <f t="shared" si="9"/>
        <v/>
      </c>
      <c r="AE18" s="624" t="str">
        <f t="shared" si="10"/>
        <v/>
      </c>
      <c r="AF18" s="624" t="str">
        <f t="shared" si="11"/>
        <v/>
      </c>
      <c r="AG18" s="624" t="str">
        <f t="shared" si="12"/>
        <v/>
      </c>
      <c r="AH18" s="624" t="str">
        <f t="shared" si="13"/>
        <v/>
      </c>
      <c r="AI18" s="624" t="str">
        <f t="shared" si="14"/>
        <v/>
      </c>
      <c r="AJ18" s="624" t="str">
        <f t="shared" si="15"/>
        <v/>
      </c>
      <c r="AK18" s="624" t="str">
        <f t="shared" si="16"/>
        <v/>
      </c>
      <c r="AL18" s="624" t="str">
        <f t="shared" si="17"/>
        <v/>
      </c>
      <c r="AM18" s="624" t="str">
        <f t="shared" si="18"/>
        <v/>
      </c>
      <c r="AN18" s="624" t="str">
        <f t="shared" si="19"/>
        <v/>
      </c>
      <c r="AO18" s="624" t="str">
        <f t="shared" si="20"/>
        <v/>
      </c>
      <c r="AP18" s="624" t="str">
        <f t="shared" si="173"/>
        <v/>
      </c>
      <c r="AQ18" s="624" t="str">
        <f t="shared" si="174"/>
        <v/>
      </c>
      <c r="AR18" s="624" t="str">
        <f t="shared" si="175"/>
        <v/>
      </c>
      <c r="AS18" s="624" t="str">
        <f t="shared" si="176"/>
        <v/>
      </c>
      <c r="AT18" s="624" t="str">
        <f t="shared" si="177"/>
        <v/>
      </c>
      <c r="AU18" s="624" t="str">
        <f t="shared" si="178"/>
        <v/>
      </c>
      <c r="AV18" s="624" t="str">
        <f t="shared" si="179"/>
        <v/>
      </c>
      <c r="AW18" s="624" t="str">
        <f t="shared" si="180"/>
        <v/>
      </c>
      <c r="AX18" s="624" t="str">
        <f t="shared" si="181"/>
        <v/>
      </c>
      <c r="AY18" s="624" t="str">
        <f t="shared" si="182"/>
        <v/>
      </c>
      <c r="AZ18" s="624" t="str">
        <f t="shared" si="183"/>
        <v/>
      </c>
      <c r="BA18" s="624" t="str">
        <f t="shared" si="184"/>
        <v/>
      </c>
      <c r="BB18" s="624" t="str">
        <f t="shared" si="185"/>
        <v/>
      </c>
      <c r="BC18" s="624" t="str">
        <f t="shared" si="186"/>
        <v/>
      </c>
      <c r="BD18" s="624" t="str">
        <f t="shared" si="187"/>
        <v/>
      </c>
      <c r="BE18" s="624" t="str">
        <f t="shared" si="188"/>
        <v/>
      </c>
      <c r="BF18" s="624" t="str">
        <f t="shared" si="189"/>
        <v/>
      </c>
      <c r="BG18" s="624" t="str">
        <f t="shared" si="190"/>
        <v/>
      </c>
      <c r="BH18" s="624" t="str">
        <f t="shared" si="191"/>
        <v/>
      </c>
      <c r="BI18" s="624" t="str">
        <f t="shared" si="192"/>
        <v/>
      </c>
      <c r="BJ18" s="624" t="str">
        <f t="shared" si="193"/>
        <v/>
      </c>
      <c r="BK18" s="624" t="str">
        <f t="shared" si="194"/>
        <v/>
      </c>
      <c r="BL18" s="624" t="str">
        <f t="shared" si="195"/>
        <v/>
      </c>
      <c r="BM18" s="624" t="str">
        <f t="shared" si="196"/>
        <v/>
      </c>
      <c r="BN18" s="624" t="str">
        <f t="shared" si="197"/>
        <v/>
      </c>
      <c r="BO18" s="624" t="str">
        <f t="shared" si="198"/>
        <v/>
      </c>
      <c r="BP18" s="624" t="str">
        <f t="shared" si="199"/>
        <v/>
      </c>
      <c r="BQ18" s="624" t="str">
        <f t="shared" si="200"/>
        <v/>
      </c>
      <c r="BR18" s="624" t="str">
        <f t="shared" si="201"/>
        <v/>
      </c>
      <c r="BS18" s="624" t="str">
        <f t="shared" si="202"/>
        <v/>
      </c>
      <c r="BT18" s="624" t="str">
        <f t="shared" si="21"/>
        <v/>
      </c>
      <c r="BU18" s="624" t="str">
        <f t="shared" si="22"/>
        <v/>
      </c>
      <c r="BV18" s="624" t="str">
        <f t="shared" si="23"/>
        <v/>
      </c>
      <c r="BW18" s="624" t="str">
        <f t="shared" si="24"/>
        <v/>
      </c>
      <c r="BX18" s="624" t="str">
        <f t="shared" si="25"/>
        <v/>
      </c>
      <c r="BY18" s="624" t="str">
        <f t="shared" si="26"/>
        <v/>
      </c>
      <c r="BZ18" s="624" t="str">
        <f t="shared" si="27"/>
        <v/>
      </c>
      <c r="CA18" s="624" t="str">
        <f t="shared" si="28"/>
        <v/>
      </c>
      <c r="CB18" s="624" t="str">
        <f t="shared" si="29"/>
        <v/>
      </c>
      <c r="CC18" s="624" t="str">
        <f t="shared" si="30"/>
        <v/>
      </c>
      <c r="CD18" s="624" t="str">
        <f t="shared" si="31"/>
        <v/>
      </c>
      <c r="CE18" s="624" t="str">
        <f t="shared" si="32"/>
        <v/>
      </c>
      <c r="CF18" s="624" t="str">
        <f t="shared" si="33"/>
        <v/>
      </c>
      <c r="CG18" s="624" t="str">
        <f t="shared" si="34"/>
        <v/>
      </c>
      <c r="CH18" s="624" t="str">
        <f t="shared" si="35"/>
        <v/>
      </c>
      <c r="CI18" s="624" t="str">
        <f t="shared" si="36"/>
        <v/>
      </c>
      <c r="CJ18" s="624" t="str">
        <f t="shared" si="37"/>
        <v/>
      </c>
      <c r="CK18" s="624" t="str">
        <f t="shared" si="38"/>
        <v/>
      </c>
      <c r="CL18" s="624" t="str">
        <f t="shared" si="39"/>
        <v/>
      </c>
      <c r="CM18" s="624" t="str">
        <f t="shared" si="40"/>
        <v/>
      </c>
      <c r="CN18" s="624" t="str">
        <f t="shared" si="41"/>
        <v/>
      </c>
      <c r="CO18" s="624" t="str">
        <f t="shared" si="42"/>
        <v/>
      </c>
      <c r="CP18" s="624" t="str">
        <f t="shared" si="43"/>
        <v/>
      </c>
      <c r="CQ18" s="624" t="str">
        <f t="shared" si="44"/>
        <v/>
      </c>
      <c r="CR18" s="624" t="str">
        <f t="shared" si="45"/>
        <v/>
      </c>
      <c r="CS18" s="624" t="str">
        <f t="shared" si="46"/>
        <v/>
      </c>
      <c r="CT18" s="624" t="str">
        <f t="shared" si="47"/>
        <v/>
      </c>
      <c r="CU18" s="624" t="str">
        <f t="shared" si="48"/>
        <v/>
      </c>
      <c r="CV18" s="624" t="str">
        <f t="shared" si="49"/>
        <v/>
      </c>
      <c r="CW18" s="624" t="str">
        <f t="shared" si="50"/>
        <v/>
      </c>
      <c r="CX18" s="624" t="str">
        <f t="shared" si="51"/>
        <v/>
      </c>
      <c r="CY18" s="624" t="str">
        <f t="shared" si="52"/>
        <v/>
      </c>
      <c r="CZ18" s="624" t="str">
        <f t="shared" si="53"/>
        <v/>
      </c>
      <c r="DA18" s="624" t="str">
        <f t="shared" si="54"/>
        <v/>
      </c>
      <c r="DB18" s="624" t="str">
        <f t="shared" si="55"/>
        <v/>
      </c>
      <c r="DC18" s="624" t="str">
        <f t="shared" si="56"/>
        <v/>
      </c>
      <c r="DD18" s="624" t="str">
        <f t="shared" si="57"/>
        <v/>
      </c>
      <c r="DE18" s="624" t="str">
        <f t="shared" si="58"/>
        <v/>
      </c>
      <c r="DF18" s="624" t="str">
        <f t="shared" si="59"/>
        <v/>
      </c>
      <c r="DG18" s="624" t="str">
        <f t="shared" si="60"/>
        <v/>
      </c>
      <c r="DH18" s="624" t="str">
        <f t="shared" si="61"/>
        <v/>
      </c>
      <c r="DI18" s="624" t="str">
        <f t="shared" si="62"/>
        <v/>
      </c>
      <c r="DJ18" s="624" t="str">
        <f t="shared" si="63"/>
        <v/>
      </c>
      <c r="DK18" s="624" t="str">
        <f t="shared" si="64"/>
        <v/>
      </c>
      <c r="DL18" s="624" t="str">
        <f t="shared" si="65"/>
        <v/>
      </c>
      <c r="DM18" s="624" t="str">
        <f t="shared" si="66"/>
        <v/>
      </c>
      <c r="DN18" s="624" t="str">
        <f t="shared" si="67"/>
        <v/>
      </c>
      <c r="DO18" s="624" t="str">
        <f t="shared" si="68"/>
        <v/>
      </c>
      <c r="DP18" s="624" t="str">
        <f t="shared" si="69"/>
        <v/>
      </c>
      <c r="DQ18" s="624" t="str">
        <f t="shared" si="70"/>
        <v/>
      </c>
      <c r="DR18" s="624" t="str">
        <f t="shared" si="71"/>
        <v/>
      </c>
      <c r="DS18" s="624" t="str">
        <f t="shared" si="72"/>
        <v/>
      </c>
      <c r="DT18" s="624" t="str">
        <f t="shared" si="73"/>
        <v/>
      </c>
      <c r="DU18" s="624" t="str">
        <f t="shared" si="74"/>
        <v/>
      </c>
      <c r="DV18" s="624" t="str">
        <f t="shared" si="75"/>
        <v/>
      </c>
      <c r="DW18" s="624" t="str">
        <f t="shared" si="76"/>
        <v/>
      </c>
      <c r="DX18" s="624" t="str">
        <f t="shared" si="77"/>
        <v/>
      </c>
      <c r="DY18" s="624" t="str">
        <f t="shared" si="78"/>
        <v/>
      </c>
      <c r="DZ18" s="624" t="str">
        <f t="shared" si="79"/>
        <v/>
      </c>
      <c r="EA18" s="624" t="str">
        <f t="shared" si="80"/>
        <v/>
      </c>
      <c r="EB18" s="624" t="str">
        <f t="shared" si="81"/>
        <v/>
      </c>
      <c r="EC18" s="624" t="str">
        <f t="shared" si="82"/>
        <v/>
      </c>
      <c r="ED18" s="624" t="str">
        <f t="shared" si="83"/>
        <v/>
      </c>
      <c r="EE18" s="624" t="str">
        <f t="shared" si="84"/>
        <v/>
      </c>
      <c r="EF18" s="624" t="str">
        <f t="shared" si="85"/>
        <v/>
      </c>
      <c r="EG18" s="624" t="str">
        <f t="shared" si="86"/>
        <v/>
      </c>
      <c r="EH18" s="624" t="str">
        <f t="shared" si="87"/>
        <v/>
      </c>
      <c r="EI18" s="624" t="str">
        <f t="shared" si="88"/>
        <v/>
      </c>
      <c r="EJ18" s="624" t="str">
        <f t="shared" si="89"/>
        <v/>
      </c>
      <c r="EK18" s="624" t="str">
        <f t="shared" si="90"/>
        <v/>
      </c>
      <c r="EL18" s="624" t="str">
        <f t="shared" si="91"/>
        <v/>
      </c>
      <c r="EM18" s="624" t="str">
        <f t="shared" si="92"/>
        <v/>
      </c>
      <c r="EN18" s="624" t="str">
        <f t="shared" si="93"/>
        <v/>
      </c>
      <c r="EO18" s="624" t="str">
        <f t="shared" si="94"/>
        <v/>
      </c>
      <c r="EP18" s="624" t="str">
        <f t="shared" si="95"/>
        <v/>
      </c>
      <c r="EQ18" s="624" t="str">
        <f t="shared" si="96"/>
        <v/>
      </c>
      <c r="ER18" s="624" t="str">
        <f t="shared" si="97"/>
        <v/>
      </c>
      <c r="ES18" s="624" t="str">
        <f t="shared" si="98"/>
        <v/>
      </c>
      <c r="ET18" s="624" t="str">
        <f t="shared" si="99"/>
        <v/>
      </c>
      <c r="EU18" s="624" t="str">
        <f t="shared" si="100"/>
        <v/>
      </c>
      <c r="EV18" s="636" t="str">
        <f t="shared" si="101"/>
        <v/>
      </c>
      <c r="EW18" s="636" t="str">
        <f t="shared" si="102"/>
        <v/>
      </c>
      <c r="EX18" s="636" t="str">
        <f t="shared" si="103"/>
        <v/>
      </c>
      <c r="EY18" s="636" t="str">
        <f t="shared" si="104"/>
        <v/>
      </c>
      <c r="EZ18" s="636" t="str">
        <f t="shared" si="105"/>
        <v/>
      </c>
      <c r="FA18" s="636" t="str">
        <f t="shared" si="106"/>
        <v/>
      </c>
      <c r="FB18" s="636" t="str">
        <f t="shared" si="107"/>
        <v/>
      </c>
      <c r="FC18" s="636" t="str">
        <f t="shared" si="108"/>
        <v/>
      </c>
      <c r="FD18" s="636" t="str">
        <f t="shared" si="109"/>
        <v/>
      </c>
      <c r="FE18" s="636" t="str">
        <f t="shared" si="110"/>
        <v/>
      </c>
      <c r="FF18" s="636" t="str">
        <f t="shared" si="111"/>
        <v/>
      </c>
      <c r="FG18" s="636" t="str">
        <f t="shared" si="112"/>
        <v/>
      </c>
      <c r="FH18" s="636" t="str">
        <f t="shared" si="113"/>
        <v/>
      </c>
      <c r="FI18" s="636" t="str">
        <f t="shared" si="114"/>
        <v/>
      </c>
      <c r="FJ18" s="636" t="str">
        <f t="shared" si="115"/>
        <v/>
      </c>
      <c r="FK18" s="636" t="str">
        <f t="shared" si="116"/>
        <v/>
      </c>
      <c r="FL18" s="636" t="str">
        <f t="shared" si="117"/>
        <v/>
      </c>
      <c r="FM18" s="636" t="str">
        <f t="shared" si="118"/>
        <v/>
      </c>
      <c r="FN18" s="636" t="str">
        <f t="shared" si="119"/>
        <v/>
      </c>
      <c r="FO18" s="636" t="str">
        <f t="shared" si="120"/>
        <v/>
      </c>
      <c r="FP18" s="636" t="str">
        <f t="shared" si="121"/>
        <v/>
      </c>
      <c r="FQ18" s="636" t="str">
        <f t="shared" si="122"/>
        <v/>
      </c>
      <c r="FR18" s="636" t="str">
        <f t="shared" si="123"/>
        <v/>
      </c>
      <c r="FS18" s="636" t="str">
        <f t="shared" si="124"/>
        <v/>
      </c>
      <c r="FT18" s="636" t="str">
        <f t="shared" si="125"/>
        <v/>
      </c>
      <c r="FU18" s="636" t="str">
        <f t="shared" si="126"/>
        <v/>
      </c>
      <c r="FV18" s="636" t="str">
        <f t="shared" si="127"/>
        <v/>
      </c>
      <c r="FW18" s="636" t="str">
        <f t="shared" si="128"/>
        <v/>
      </c>
      <c r="FX18" s="636" t="str">
        <f t="shared" si="129"/>
        <v/>
      </c>
      <c r="FY18" s="636" t="str">
        <f t="shared" si="130"/>
        <v/>
      </c>
      <c r="FZ18" s="636" t="str">
        <f t="shared" si="131"/>
        <v/>
      </c>
      <c r="GA18" s="636" t="str">
        <f t="shared" si="132"/>
        <v/>
      </c>
      <c r="GB18" s="636" t="str">
        <f t="shared" si="133"/>
        <v/>
      </c>
      <c r="GC18" s="636" t="str">
        <f t="shared" si="134"/>
        <v/>
      </c>
      <c r="GD18" s="636" t="str">
        <f t="shared" si="135"/>
        <v/>
      </c>
      <c r="GE18" s="636" t="str">
        <f t="shared" si="136"/>
        <v/>
      </c>
      <c r="GF18" s="636" t="str">
        <f t="shared" si="137"/>
        <v/>
      </c>
      <c r="GG18" s="636" t="str">
        <f t="shared" si="138"/>
        <v/>
      </c>
      <c r="GH18" s="636" t="str">
        <f t="shared" si="139"/>
        <v/>
      </c>
      <c r="GI18" s="636" t="str">
        <f t="shared" si="140"/>
        <v/>
      </c>
      <c r="GJ18" s="636" t="str">
        <f t="shared" si="141"/>
        <v/>
      </c>
      <c r="GK18" s="636" t="str">
        <f t="shared" si="142"/>
        <v/>
      </c>
      <c r="GL18" s="636" t="str">
        <f t="shared" si="143"/>
        <v/>
      </c>
      <c r="GM18" s="636" t="str">
        <f t="shared" si="144"/>
        <v/>
      </c>
      <c r="GN18" s="636" t="str">
        <f t="shared" si="145"/>
        <v/>
      </c>
      <c r="GO18" s="637" t="str">
        <f t="shared" si="146"/>
        <v/>
      </c>
      <c r="GP18" s="637" t="str">
        <f t="shared" si="147"/>
        <v/>
      </c>
      <c r="GQ18" s="637" t="str">
        <f t="shared" si="148"/>
        <v/>
      </c>
      <c r="GR18" s="637" t="str">
        <f t="shared" si="149"/>
        <v/>
      </c>
      <c r="GS18" s="637" t="str">
        <f t="shared" si="150"/>
        <v/>
      </c>
      <c r="GT18" s="624" t="str">
        <f t="shared" si="151"/>
        <v/>
      </c>
      <c r="GU18" s="624" t="str">
        <f t="shared" si="152"/>
        <v/>
      </c>
      <c r="GV18" s="624" t="str">
        <f t="shared" si="153"/>
        <v/>
      </c>
      <c r="GW18" s="624" t="str">
        <f t="shared" si="154"/>
        <v/>
      </c>
      <c r="GX18" s="624" t="str">
        <f t="shared" si="155"/>
        <v/>
      </c>
      <c r="GY18" s="624" t="str">
        <f t="shared" si="156"/>
        <v/>
      </c>
      <c r="GZ18" s="624" t="str">
        <f t="shared" si="157"/>
        <v/>
      </c>
      <c r="HA18" s="624" t="str">
        <f t="shared" si="158"/>
        <v/>
      </c>
      <c r="HB18" s="624" t="str">
        <f t="shared" si="159"/>
        <v/>
      </c>
      <c r="HC18" s="624" t="str">
        <f t="shared" si="160"/>
        <v/>
      </c>
      <c r="HD18" s="624" t="str">
        <f t="shared" si="161"/>
        <v/>
      </c>
      <c r="HE18" s="624" t="str">
        <f t="shared" si="162"/>
        <v/>
      </c>
      <c r="HF18" s="624" t="str">
        <f t="shared" si="163"/>
        <v/>
      </c>
      <c r="HG18" s="624" t="str">
        <f t="shared" si="164"/>
        <v/>
      </c>
      <c r="HH18" s="624" t="str">
        <f t="shared" si="165"/>
        <v/>
      </c>
      <c r="HI18" s="624" t="str">
        <f t="shared" si="166"/>
        <v/>
      </c>
      <c r="HJ18" s="624" t="str">
        <f t="shared" si="167"/>
        <v/>
      </c>
      <c r="HK18" s="624" t="str">
        <f t="shared" si="168"/>
        <v/>
      </c>
      <c r="HL18" s="624" t="str">
        <f t="shared" si="169"/>
        <v/>
      </c>
      <c r="HM18" s="624" t="str">
        <f t="shared" si="170"/>
        <v/>
      </c>
    </row>
    <row r="19" spans="1:221" ht="13.15" customHeight="1">
      <c r="A19" s="130" t="str">
        <f t="shared" si="171"/>
        <v/>
      </c>
      <c r="B19" s="1553" t="s">
        <v>2466</v>
      </c>
      <c r="C19" s="1554"/>
      <c r="D19" s="1555"/>
      <c r="E19" s="1556"/>
      <c r="F19" s="1556"/>
      <c r="G19" s="1556"/>
      <c r="H19" s="1556"/>
      <c r="I19" s="1556"/>
      <c r="J19" s="1557"/>
      <c r="K19" s="205">
        <f t="shared" si="172"/>
        <v>0</v>
      </c>
      <c r="L19" s="205">
        <f t="shared" si="0"/>
        <v>0</v>
      </c>
      <c r="M19" s="1558"/>
      <c r="N19" s="1558"/>
      <c r="O19" s="1558"/>
      <c r="P19" s="559" t="str">
        <f t="shared" si="203"/>
        <v/>
      </c>
      <c r="Q19" s="560" t="str">
        <f>IF(H19="","",P19/($P$6*VLOOKUP(C19,'DCA Underwriting Assumptions'!$J$81:$K$86,2,FALSE)))</f>
        <v/>
      </c>
      <c r="R19" s="667"/>
      <c r="S19" s="560"/>
      <c r="T19" s="1497"/>
      <c r="U19" s="1498"/>
      <c r="V19" s="624" t="str">
        <f t="shared" si="1"/>
        <v/>
      </c>
      <c r="W19" s="624" t="str">
        <f t="shared" si="2"/>
        <v/>
      </c>
      <c r="X19" s="624" t="str">
        <f t="shared" si="3"/>
        <v/>
      </c>
      <c r="Y19" s="624" t="str">
        <f t="shared" si="4"/>
        <v/>
      </c>
      <c r="Z19" s="624" t="str">
        <f t="shared" si="5"/>
        <v/>
      </c>
      <c r="AA19" s="624" t="str">
        <f t="shared" si="6"/>
        <v/>
      </c>
      <c r="AB19" s="624" t="str">
        <f t="shared" si="7"/>
        <v/>
      </c>
      <c r="AC19" s="624" t="str">
        <f t="shared" si="8"/>
        <v/>
      </c>
      <c r="AD19" s="624" t="str">
        <f t="shared" si="9"/>
        <v/>
      </c>
      <c r="AE19" s="624" t="str">
        <f t="shared" si="10"/>
        <v/>
      </c>
      <c r="AF19" s="624" t="str">
        <f t="shared" si="11"/>
        <v/>
      </c>
      <c r="AG19" s="624" t="str">
        <f t="shared" si="12"/>
        <v/>
      </c>
      <c r="AH19" s="624" t="str">
        <f t="shared" si="13"/>
        <v/>
      </c>
      <c r="AI19" s="624" t="str">
        <f t="shared" si="14"/>
        <v/>
      </c>
      <c r="AJ19" s="624" t="str">
        <f t="shared" si="15"/>
        <v/>
      </c>
      <c r="AK19" s="624" t="str">
        <f t="shared" si="16"/>
        <v/>
      </c>
      <c r="AL19" s="624" t="str">
        <f t="shared" si="17"/>
        <v/>
      </c>
      <c r="AM19" s="624" t="str">
        <f t="shared" si="18"/>
        <v/>
      </c>
      <c r="AN19" s="624" t="str">
        <f t="shared" si="19"/>
        <v/>
      </c>
      <c r="AO19" s="624" t="str">
        <f t="shared" si="20"/>
        <v/>
      </c>
      <c r="AP19" s="624" t="str">
        <f t="shared" si="173"/>
        <v/>
      </c>
      <c r="AQ19" s="624" t="str">
        <f t="shared" si="174"/>
        <v/>
      </c>
      <c r="AR19" s="624" t="str">
        <f t="shared" si="175"/>
        <v/>
      </c>
      <c r="AS19" s="624" t="str">
        <f t="shared" si="176"/>
        <v/>
      </c>
      <c r="AT19" s="624" t="str">
        <f t="shared" si="177"/>
        <v/>
      </c>
      <c r="AU19" s="624" t="str">
        <f t="shared" si="178"/>
        <v/>
      </c>
      <c r="AV19" s="624" t="str">
        <f t="shared" si="179"/>
        <v/>
      </c>
      <c r="AW19" s="624" t="str">
        <f t="shared" si="180"/>
        <v/>
      </c>
      <c r="AX19" s="624" t="str">
        <f t="shared" si="181"/>
        <v/>
      </c>
      <c r="AY19" s="624" t="str">
        <f t="shared" si="182"/>
        <v/>
      </c>
      <c r="AZ19" s="624" t="str">
        <f t="shared" si="183"/>
        <v/>
      </c>
      <c r="BA19" s="624" t="str">
        <f t="shared" si="184"/>
        <v/>
      </c>
      <c r="BB19" s="624" t="str">
        <f t="shared" si="185"/>
        <v/>
      </c>
      <c r="BC19" s="624" t="str">
        <f t="shared" si="186"/>
        <v/>
      </c>
      <c r="BD19" s="624" t="str">
        <f t="shared" si="187"/>
        <v/>
      </c>
      <c r="BE19" s="624" t="str">
        <f t="shared" si="188"/>
        <v/>
      </c>
      <c r="BF19" s="624" t="str">
        <f t="shared" si="189"/>
        <v/>
      </c>
      <c r="BG19" s="624" t="str">
        <f t="shared" si="190"/>
        <v/>
      </c>
      <c r="BH19" s="624" t="str">
        <f t="shared" si="191"/>
        <v/>
      </c>
      <c r="BI19" s="624" t="str">
        <f t="shared" si="192"/>
        <v/>
      </c>
      <c r="BJ19" s="624" t="str">
        <f t="shared" si="193"/>
        <v/>
      </c>
      <c r="BK19" s="624" t="str">
        <f t="shared" si="194"/>
        <v/>
      </c>
      <c r="BL19" s="624" t="str">
        <f t="shared" si="195"/>
        <v/>
      </c>
      <c r="BM19" s="624" t="str">
        <f t="shared" si="196"/>
        <v/>
      </c>
      <c r="BN19" s="624" t="str">
        <f t="shared" si="197"/>
        <v/>
      </c>
      <c r="BO19" s="624" t="str">
        <f t="shared" si="198"/>
        <v/>
      </c>
      <c r="BP19" s="624" t="str">
        <f t="shared" si="199"/>
        <v/>
      </c>
      <c r="BQ19" s="624" t="str">
        <f t="shared" si="200"/>
        <v/>
      </c>
      <c r="BR19" s="624" t="str">
        <f t="shared" si="201"/>
        <v/>
      </c>
      <c r="BS19" s="624" t="str">
        <f t="shared" si="202"/>
        <v/>
      </c>
      <c r="BT19" s="624" t="str">
        <f t="shared" si="21"/>
        <v/>
      </c>
      <c r="BU19" s="624" t="str">
        <f t="shared" si="22"/>
        <v/>
      </c>
      <c r="BV19" s="624" t="str">
        <f t="shared" si="23"/>
        <v/>
      </c>
      <c r="BW19" s="624" t="str">
        <f t="shared" si="24"/>
        <v/>
      </c>
      <c r="BX19" s="624" t="str">
        <f t="shared" si="25"/>
        <v/>
      </c>
      <c r="BY19" s="624" t="str">
        <f t="shared" si="26"/>
        <v/>
      </c>
      <c r="BZ19" s="624" t="str">
        <f t="shared" si="27"/>
        <v/>
      </c>
      <c r="CA19" s="624" t="str">
        <f t="shared" si="28"/>
        <v/>
      </c>
      <c r="CB19" s="624" t="str">
        <f t="shared" si="29"/>
        <v/>
      </c>
      <c r="CC19" s="624" t="str">
        <f t="shared" si="30"/>
        <v/>
      </c>
      <c r="CD19" s="624" t="str">
        <f t="shared" si="31"/>
        <v/>
      </c>
      <c r="CE19" s="624" t="str">
        <f t="shared" si="32"/>
        <v/>
      </c>
      <c r="CF19" s="624" t="str">
        <f t="shared" si="33"/>
        <v/>
      </c>
      <c r="CG19" s="624" t="str">
        <f t="shared" si="34"/>
        <v/>
      </c>
      <c r="CH19" s="624" t="str">
        <f t="shared" si="35"/>
        <v/>
      </c>
      <c r="CI19" s="624" t="str">
        <f t="shared" si="36"/>
        <v/>
      </c>
      <c r="CJ19" s="624" t="str">
        <f t="shared" si="37"/>
        <v/>
      </c>
      <c r="CK19" s="624" t="str">
        <f t="shared" si="38"/>
        <v/>
      </c>
      <c r="CL19" s="624" t="str">
        <f t="shared" si="39"/>
        <v/>
      </c>
      <c r="CM19" s="624" t="str">
        <f t="shared" si="40"/>
        <v/>
      </c>
      <c r="CN19" s="624" t="str">
        <f t="shared" si="41"/>
        <v/>
      </c>
      <c r="CO19" s="624" t="str">
        <f t="shared" si="42"/>
        <v/>
      </c>
      <c r="CP19" s="624" t="str">
        <f t="shared" si="43"/>
        <v/>
      </c>
      <c r="CQ19" s="624" t="str">
        <f t="shared" si="44"/>
        <v/>
      </c>
      <c r="CR19" s="624" t="str">
        <f t="shared" si="45"/>
        <v/>
      </c>
      <c r="CS19" s="624" t="str">
        <f t="shared" si="46"/>
        <v/>
      </c>
      <c r="CT19" s="624" t="str">
        <f t="shared" si="47"/>
        <v/>
      </c>
      <c r="CU19" s="624" t="str">
        <f t="shared" si="48"/>
        <v/>
      </c>
      <c r="CV19" s="624" t="str">
        <f t="shared" si="49"/>
        <v/>
      </c>
      <c r="CW19" s="624" t="str">
        <f t="shared" si="50"/>
        <v/>
      </c>
      <c r="CX19" s="624" t="str">
        <f t="shared" si="51"/>
        <v/>
      </c>
      <c r="CY19" s="624" t="str">
        <f t="shared" si="52"/>
        <v/>
      </c>
      <c r="CZ19" s="624" t="str">
        <f t="shared" si="53"/>
        <v/>
      </c>
      <c r="DA19" s="624" t="str">
        <f t="shared" si="54"/>
        <v/>
      </c>
      <c r="DB19" s="624" t="str">
        <f t="shared" si="55"/>
        <v/>
      </c>
      <c r="DC19" s="624" t="str">
        <f t="shared" si="56"/>
        <v/>
      </c>
      <c r="DD19" s="624" t="str">
        <f t="shared" si="57"/>
        <v/>
      </c>
      <c r="DE19" s="624" t="str">
        <f t="shared" si="58"/>
        <v/>
      </c>
      <c r="DF19" s="624" t="str">
        <f t="shared" si="59"/>
        <v/>
      </c>
      <c r="DG19" s="624" t="str">
        <f t="shared" si="60"/>
        <v/>
      </c>
      <c r="DH19" s="624" t="str">
        <f t="shared" si="61"/>
        <v/>
      </c>
      <c r="DI19" s="624" t="str">
        <f t="shared" si="62"/>
        <v/>
      </c>
      <c r="DJ19" s="624" t="str">
        <f t="shared" si="63"/>
        <v/>
      </c>
      <c r="DK19" s="624" t="str">
        <f t="shared" si="64"/>
        <v/>
      </c>
      <c r="DL19" s="624" t="str">
        <f t="shared" si="65"/>
        <v/>
      </c>
      <c r="DM19" s="624" t="str">
        <f t="shared" si="66"/>
        <v/>
      </c>
      <c r="DN19" s="624" t="str">
        <f t="shared" si="67"/>
        <v/>
      </c>
      <c r="DO19" s="624" t="str">
        <f t="shared" si="68"/>
        <v/>
      </c>
      <c r="DP19" s="624" t="str">
        <f t="shared" si="69"/>
        <v/>
      </c>
      <c r="DQ19" s="624" t="str">
        <f t="shared" si="70"/>
        <v/>
      </c>
      <c r="DR19" s="624" t="str">
        <f t="shared" si="71"/>
        <v/>
      </c>
      <c r="DS19" s="624" t="str">
        <f t="shared" si="72"/>
        <v/>
      </c>
      <c r="DT19" s="624" t="str">
        <f t="shared" si="73"/>
        <v/>
      </c>
      <c r="DU19" s="624" t="str">
        <f t="shared" si="74"/>
        <v/>
      </c>
      <c r="DV19" s="624" t="str">
        <f t="shared" si="75"/>
        <v/>
      </c>
      <c r="DW19" s="624" t="str">
        <f t="shared" si="76"/>
        <v/>
      </c>
      <c r="DX19" s="624" t="str">
        <f t="shared" si="77"/>
        <v/>
      </c>
      <c r="DY19" s="624" t="str">
        <f t="shared" si="78"/>
        <v/>
      </c>
      <c r="DZ19" s="624" t="str">
        <f t="shared" si="79"/>
        <v/>
      </c>
      <c r="EA19" s="624" t="str">
        <f t="shared" si="80"/>
        <v/>
      </c>
      <c r="EB19" s="624" t="str">
        <f t="shared" si="81"/>
        <v/>
      </c>
      <c r="EC19" s="624" t="str">
        <f t="shared" si="82"/>
        <v/>
      </c>
      <c r="ED19" s="624" t="str">
        <f t="shared" si="83"/>
        <v/>
      </c>
      <c r="EE19" s="624" t="str">
        <f t="shared" si="84"/>
        <v/>
      </c>
      <c r="EF19" s="624" t="str">
        <f t="shared" si="85"/>
        <v/>
      </c>
      <c r="EG19" s="624" t="str">
        <f t="shared" si="86"/>
        <v/>
      </c>
      <c r="EH19" s="624" t="str">
        <f t="shared" si="87"/>
        <v/>
      </c>
      <c r="EI19" s="624" t="str">
        <f t="shared" si="88"/>
        <v/>
      </c>
      <c r="EJ19" s="624" t="str">
        <f t="shared" si="89"/>
        <v/>
      </c>
      <c r="EK19" s="624" t="str">
        <f t="shared" si="90"/>
        <v/>
      </c>
      <c r="EL19" s="624" t="str">
        <f t="shared" si="91"/>
        <v/>
      </c>
      <c r="EM19" s="624" t="str">
        <f t="shared" si="92"/>
        <v/>
      </c>
      <c r="EN19" s="624" t="str">
        <f t="shared" si="93"/>
        <v/>
      </c>
      <c r="EO19" s="624" t="str">
        <f t="shared" si="94"/>
        <v/>
      </c>
      <c r="EP19" s="624" t="str">
        <f t="shared" si="95"/>
        <v/>
      </c>
      <c r="EQ19" s="624" t="str">
        <f t="shared" si="96"/>
        <v/>
      </c>
      <c r="ER19" s="624" t="str">
        <f t="shared" si="97"/>
        <v/>
      </c>
      <c r="ES19" s="624" t="str">
        <f t="shared" si="98"/>
        <v/>
      </c>
      <c r="ET19" s="624" t="str">
        <f t="shared" si="99"/>
        <v/>
      </c>
      <c r="EU19" s="624" t="str">
        <f t="shared" si="100"/>
        <v/>
      </c>
      <c r="EV19" s="636" t="str">
        <f t="shared" si="101"/>
        <v/>
      </c>
      <c r="EW19" s="636" t="str">
        <f t="shared" si="102"/>
        <v/>
      </c>
      <c r="EX19" s="636" t="str">
        <f t="shared" si="103"/>
        <v/>
      </c>
      <c r="EY19" s="636" t="str">
        <f t="shared" si="104"/>
        <v/>
      </c>
      <c r="EZ19" s="636" t="str">
        <f t="shared" si="105"/>
        <v/>
      </c>
      <c r="FA19" s="636" t="str">
        <f t="shared" si="106"/>
        <v/>
      </c>
      <c r="FB19" s="636" t="str">
        <f t="shared" si="107"/>
        <v/>
      </c>
      <c r="FC19" s="636" t="str">
        <f t="shared" si="108"/>
        <v/>
      </c>
      <c r="FD19" s="636" t="str">
        <f t="shared" si="109"/>
        <v/>
      </c>
      <c r="FE19" s="636" t="str">
        <f t="shared" si="110"/>
        <v/>
      </c>
      <c r="FF19" s="636" t="str">
        <f t="shared" si="111"/>
        <v/>
      </c>
      <c r="FG19" s="636" t="str">
        <f t="shared" si="112"/>
        <v/>
      </c>
      <c r="FH19" s="636" t="str">
        <f t="shared" si="113"/>
        <v/>
      </c>
      <c r="FI19" s="636" t="str">
        <f t="shared" si="114"/>
        <v/>
      </c>
      <c r="FJ19" s="636" t="str">
        <f t="shared" si="115"/>
        <v/>
      </c>
      <c r="FK19" s="636" t="str">
        <f t="shared" si="116"/>
        <v/>
      </c>
      <c r="FL19" s="636" t="str">
        <f t="shared" si="117"/>
        <v/>
      </c>
      <c r="FM19" s="636" t="str">
        <f t="shared" si="118"/>
        <v/>
      </c>
      <c r="FN19" s="636" t="str">
        <f t="shared" si="119"/>
        <v/>
      </c>
      <c r="FO19" s="636" t="str">
        <f t="shared" si="120"/>
        <v/>
      </c>
      <c r="FP19" s="636" t="str">
        <f t="shared" si="121"/>
        <v/>
      </c>
      <c r="FQ19" s="636" t="str">
        <f t="shared" si="122"/>
        <v/>
      </c>
      <c r="FR19" s="636" t="str">
        <f t="shared" si="123"/>
        <v/>
      </c>
      <c r="FS19" s="636" t="str">
        <f t="shared" si="124"/>
        <v/>
      </c>
      <c r="FT19" s="636" t="str">
        <f t="shared" si="125"/>
        <v/>
      </c>
      <c r="FU19" s="636" t="str">
        <f t="shared" si="126"/>
        <v/>
      </c>
      <c r="FV19" s="636" t="str">
        <f t="shared" si="127"/>
        <v/>
      </c>
      <c r="FW19" s="636" t="str">
        <f t="shared" si="128"/>
        <v/>
      </c>
      <c r="FX19" s="636" t="str">
        <f t="shared" si="129"/>
        <v/>
      </c>
      <c r="FY19" s="636" t="str">
        <f t="shared" si="130"/>
        <v/>
      </c>
      <c r="FZ19" s="636" t="str">
        <f t="shared" si="131"/>
        <v/>
      </c>
      <c r="GA19" s="636" t="str">
        <f t="shared" si="132"/>
        <v/>
      </c>
      <c r="GB19" s="636" t="str">
        <f t="shared" si="133"/>
        <v/>
      </c>
      <c r="GC19" s="636" t="str">
        <f t="shared" si="134"/>
        <v/>
      </c>
      <c r="GD19" s="636" t="str">
        <f t="shared" si="135"/>
        <v/>
      </c>
      <c r="GE19" s="636" t="str">
        <f t="shared" si="136"/>
        <v/>
      </c>
      <c r="GF19" s="636" t="str">
        <f t="shared" si="137"/>
        <v/>
      </c>
      <c r="GG19" s="636" t="str">
        <f t="shared" si="138"/>
        <v/>
      </c>
      <c r="GH19" s="636" t="str">
        <f t="shared" si="139"/>
        <v/>
      </c>
      <c r="GI19" s="636" t="str">
        <f t="shared" si="140"/>
        <v/>
      </c>
      <c r="GJ19" s="636" t="str">
        <f t="shared" si="141"/>
        <v/>
      </c>
      <c r="GK19" s="636" t="str">
        <f t="shared" si="142"/>
        <v/>
      </c>
      <c r="GL19" s="636" t="str">
        <f t="shared" si="143"/>
        <v/>
      </c>
      <c r="GM19" s="636" t="str">
        <f t="shared" si="144"/>
        <v/>
      </c>
      <c r="GN19" s="636" t="str">
        <f t="shared" si="145"/>
        <v/>
      </c>
      <c r="GO19" s="637" t="str">
        <f t="shared" si="146"/>
        <v/>
      </c>
      <c r="GP19" s="637" t="str">
        <f t="shared" si="147"/>
        <v/>
      </c>
      <c r="GQ19" s="637" t="str">
        <f t="shared" si="148"/>
        <v/>
      </c>
      <c r="GR19" s="637" t="str">
        <f t="shared" si="149"/>
        <v/>
      </c>
      <c r="GS19" s="637" t="str">
        <f t="shared" si="150"/>
        <v/>
      </c>
      <c r="GT19" s="624" t="str">
        <f t="shared" si="151"/>
        <v/>
      </c>
      <c r="GU19" s="624" t="str">
        <f t="shared" si="152"/>
        <v/>
      </c>
      <c r="GV19" s="624" t="str">
        <f t="shared" si="153"/>
        <v/>
      </c>
      <c r="GW19" s="624" t="str">
        <f t="shared" si="154"/>
        <v/>
      </c>
      <c r="GX19" s="624" t="str">
        <f t="shared" si="155"/>
        <v/>
      </c>
      <c r="GY19" s="624" t="str">
        <f t="shared" si="156"/>
        <v/>
      </c>
      <c r="GZ19" s="624" t="str">
        <f t="shared" si="157"/>
        <v/>
      </c>
      <c r="HA19" s="624" t="str">
        <f t="shared" si="158"/>
        <v/>
      </c>
      <c r="HB19" s="624" t="str">
        <f t="shared" si="159"/>
        <v/>
      </c>
      <c r="HC19" s="624" t="str">
        <f t="shared" si="160"/>
        <v/>
      </c>
      <c r="HD19" s="624" t="str">
        <f t="shared" si="161"/>
        <v/>
      </c>
      <c r="HE19" s="624" t="str">
        <f t="shared" si="162"/>
        <v/>
      </c>
      <c r="HF19" s="624" t="str">
        <f t="shared" si="163"/>
        <v/>
      </c>
      <c r="HG19" s="624" t="str">
        <f t="shared" si="164"/>
        <v/>
      </c>
      <c r="HH19" s="624" t="str">
        <f t="shared" si="165"/>
        <v/>
      </c>
      <c r="HI19" s="624" t="str">
        <f t="shared" si="166"/>
        <v/>
      </c>
      <c r="HJ19" s="624" t="str">
        <f t="shared" si="167"/>
        <v/>
      </c>
      <c r="HK19" s="624" t="str">
        <f t="shared" si="168"/>
        <v/>
      </c>
      <c r="HL19" s="624" t="str">
        <f t="shared" si="169"/>
        <v/>
      </c>
      <c r="HM19" s="624" t="str">
        <f t="shared" si="170"/>
        <v/>
      </c>
    </row>
    <row r="20" spans="1:221" ht="13.15" customHeight="1">
      <c r="A20" s="130" t="str">
        <f t="shared" si="171"/>
        <v/>
      </c>
      <c r="B20" s="1553" t="s">
        <v>2466</v>
      </c>
      <c r="C20" s="1554"/>
      <c r="D20" s="1555"/>
      <c r="E20" s="1556"/>
      <c r="F20" s="1556"/>
      <c r="G20" s="1556"/>
      <c r="H20" s="1556"/>
      <c r="I20" s="1556"/>
      <c r="J20" s="1557"/>
      <c r="K20" s="205">
        <f t="shared" si="172"/>
        <v>0</v>
      </c>
      <c r="L20" s="205">
        <f t="shared" si="0"/>
        <v>0</v>
      </c>
      <c r="M20" s="1558"/>
      <c r="N20" s="1558"/>
      <c r="O20" s="1558"/>
      <c r="P20" s="559" t="str">
        <f t="shared" si="203"/>
        <v/>
      </c>
      <c r="Q20" s="560" t="str">
        <f>IF(H20="","",P20/($P$6*VLOOKUP(C20,'DCA Underwriting Assumptions'!$J$81:$K$86,2,FALSE)))</f>
        <v/>
      </c>
      <c r="R20" s="667"/>
      <c r="S20" s="560"/>
      <c r="T20" s="1497"/>
      <c r="U20" s="1498"/>
      <c r="V20" s="624" t="str">
        <f t="shared" si="1"/>
        <v/>
      </c>
      <c r="W20" s="624" t="str">
        <f t="shared" si="2"/>
        <v/>
      </c>
      <c r="X20" s="624" t="str">
        <f t="shared" si="3"/>
        <v/>
      </c>
      <c r="Y20" s="624" t="str">
        <f t="shared" si="4"/>
        <v/>
      </c>
      <c r="Z20" s="624" t="str">
        <f t="shared" si="5"/>
        <v/>
      </c>
      <c r="AA20" s="624" t="str">
        <f t="shared" si="6"/>
        <v/>
      </c>
      <c r="AB20" s="624" t="str">
        <f t="shared" si="7"/>
        <v/>
      </c>
      <c r="AC20" s="624" t="str">
        <f t="shared" si="8"/>
        <v/>
      </c>
      <c r="AD20" s="624" t="str">
        <f t="shared" si="9"/>
        <v/>
      </c>
      <c r="AE20" s="624" t="str">
        <f t="shared" si="10"/>
        <v/>
      </c>
      <c r="AF20" s="624" t="str">
        <f t="shared" si="11"/>
        <v/>
      </c>
      <c r="AG20" s="624" t="str">
        <f t="shared" si="12"/>
        <v/>
      </c>
      <c r="AH20" s="624" t="str">
        <f t="shared" si="13"/>
        <v/>
      </c>
      <c r="AI20" s="624" t="str">
        <f t="shared" si="14"/>
        <v/>
      </c>
      <c r="AJ20" s="624" t="str">
        <f t="shared" si="15"/>
        <v/>
      </c>
      <c r="AK20" s="624" t="str">
        <f t="shared" si="16"/>
        <v/>
      </c>
      <c r="AL20" s="624" t="str">
        <f t="shared" si="17"/>
        <v/>
      </c>
      <c r="AM20" s="624" t="str">
        <f t="shared" si="18"/>
        <v/>
      </c>
      <c r="AN20" s="624" t="str">
        <f t="shared" si="19"/>
        <v/>
      </c>
      <c r="AO20" s="624" t="str">
        <f t="shared" si="20"/>
        <v/>
      </c>
      <c r="AP20" s="624" t="str">
        <f t="shared" si="173"/>
        <v/>
      </c>
      <c r="AQ20" s="624" t="str">
        <f t="shared" si="174"/>
        <v/>
      </c>
      <c r="AR20" s="624" t="str">
        <f t="shared" si="175"/>
        <v/>
      </c>
      <c r="AS20" s="624" t="str">
        <f t="shared" si="176"/>
        <v/>
      </c>
      <c r="AT20" s="624" t="str">
        <f t="shared" si="177"/>
        <v/>
      </c>
      <c r="AU20" s="624" t="str">
        <f t="shared" si="178"/>
        <v/>
      </c>
      <c r="AV20" s="624" t="str">
        <f t="shared" si="179"/>
        <v/>
      </c>
      <c r="AW20" s="624" t="str">
        <f t="shared" si="180"/>
        <v/>
      </c>
      <c r="AX20" s="624" t="str">
        <f t="shared" si="181"/>
        <v/>
      </c>
      <c r="AY20" s="624" t="str">
        <f t="shared" si="182"/>
        <v/>
      </c>
      <c r="AZ20" s="624" t="str">
        <f t="shared" si="183"/>
        <v/>
      </c>
      <c r="BA20" s="624" t="str">
        <f t="shared" si="184"/>
        <v/>
      </c>
      <c r="BB20" s="624" t="str">
        <f t="shared" si="185"/>
        <v/>
      </c>
      <c r="BC20" s="624" t="str">
        <f t="shared" si="186"/>
        <v/>
      </c>
      <c r="BD20" s="624" t="str">
        <f t="shared" si="187"/>
        <v/>
      </c>
      <c r="BE20" s="624" t="str">
        <f t="shared" si="188"/>
        <v/>
      </c>
      <c r="BF20" s="624" t="str">
        <f t="shared" si="189"/>
        <v/>
      </c>
      <c r="BG20" s="624" t="str">
        <f t="shared" si="190"/>
        <v/>
      </c>
      <c r="BH20" s="624" t="str">
        <f t="shared" si="191"/>
        <v/>
      </c>
      <c r="BI20" s="624" t="str">
        <f t="shared" si="192"/>
        <v/>
      </c>
      <c r="BJ20" s="624" t="str">
        <f t="shared" si="193"/>
        <v/>
      </c>
      <c r="BK20" s="624" t="str">
        <f t="shared" si="194"/>
        <v/>
      </c>
      <c r="BL20" s="624" t="str">
        <f t="shared" si="195"/>
        <v/>
      </c>
      <c r="BM20" s="624" t="str">
        <f t="shared" si="196"/>
        <v/>
      </c>
      <c r="BN20" s="624" t="str">
        <f t="shared" si="197"/>
        <v/>
      </c>
      <c r="BO20" s="624" t="str">
        <f t="shared" si="198"/>
        <v/>
      </c>
      <c r="BP20" s="624" t="str">
        <f t="shared" si="199"/>
        <v/>
      </c>
      <c r="BQ20" s="624" t="str">
        <f t="shared" si="200"/>
        <v/>
      </c>
      <c r="BR20" s="624" t="str">
        <f t="shared" si="201"/>
        <v/>
      </c>
      <c r="BS20" s="624" t="str">
        <f t="shared" si="202"/>
        <v/>
      </c>
      <c r="BT20" s="624" t="str">
        <f t="shared" si="21"/>
        <v/>
      </c>
      <c r="BU20" s="624" t="str">
        <f t="shared" si="22"/>
        <v/>
      </c>
      <c r="BV20" s="624" t="str">
        <f t="shared" si="23"/>
        <v/>
      </c>
      <c r="BW20" s="624" t="str">
        <f t="shared" si="24"/>
        <v/>
      </c>
      <c r="BX20" s="624" t="str">
        <f t="shared" si="25"/>
        <v/>
      </c>
      <c r="BY20" s="624" t="str">
        <f t="shared" si="26"/>
        <v/>
      </c>
      <c r="BZ20" s="624" t="str">
        <f t="shared" si="27"/>
        <v/>
      </c>
      <c r="CA20" s="624" t="str">
        <f t="shared" si="28"/>
        <v/>
      </c>
      <c r="CB20" s="624" t="str">
        <f t="shared" si="29"/>
        <v/>
      </c>
      <c r="CC20" s="624" t="str">
        <f t="shared" si="30"/>
        <v/>
      </c>
      <c r="CD20" s="624" t="str">
        <f t="shared" si="31"/>
        <v/>
      </c>
      <c r="CE20" s="624" t="str">
        <f t="shared" si="32"/>
        <v/>
      </c>
      <c r="CF20" s="624" t="str">
        <f t="shared" si="33"/>
        <v/>
      </c>
      <c r="CG20" s="624" t="str">
        <f t="shared" si="34"/>
        <v/>
      </c>
      <c r="CH20" s="624" t="str">
        <f t="shared" si="35"/>
        <v/>
      </c>
      <c r="CI20" s="624" t="str">
        <f t="shared" si="36"/>
        <v/>
      </c>
      <c r="CJ20" s="624" t="str">
        <f t="shared" si="37"/>
        <v/>
      </c>
      <c r="CK20" s="624" t="str">
        <f t="shared" si="38"/>
        <v/>
      </c>
      <c r="CL20" s="624" t="str">
        <f t="shared" si="39"/>
        <v/>
      </c>
      <c r="CM20" s="624" t="str">
        <f t="shared" si="40"/>
        <v/>
      </c>
      <c r="CN20" s="624" t="str">
        <f t="shared" si="41"/>
        <v/>
      </c>
      <c r="CO20" s="624" t="str">
        <f t="shared" si="42"/>
        <v/>
      </c>
      <c r="CP20" s="624" t="str">
        <f t="shared" si="43"/>
        <v/>
      </c>
      <c r="CQ20" s="624" t="str">
        <f t="shared" si="44"/>
        <v/>
      </c>
      <c r="CR20" s="624" t="str">
        <f t="shared" si="45"/>
        <v/>
      </c>
      <c r="CS20" s="624" t="str">
        <f t="shared" si="46"/>
        <v/>
      </c>
      <c r="CT20" s="624" t="str">
        <f t="shared" si="47"/>
        <v/>
      </c>
      <c r="CU20" s="624" t="str">
        <f t="shared" si="48"/>
        <v/>
      </c>
      <c r="CV20" s="624" t="str">
        <f t="shared" si="49"/>
        <v/>
      </c>
      <c r="CW20" s="624" t="str">
        <f t="shared" si="50"/>
        <v/>
      </c>
      <c r="CX20" s="624" t="str">
        <f t="shared" si="51"/>
        <v/>
      </c>
      <c r="CY20" s="624" t="str">
        <f t="shared" si="52"/>
        <v/>
      </c>
      <c r="CZ20" s="624" t="str">
        <f t="shared" si="53"/>
        <v/>
      </c>
      <c r="DA20" s="624" t="str">
        <f t="shared" si="54"/>
        <v/>
      </c>
      <c r="DB20" s="624" t="str">
        <f t="shared" si="55"/>
        <v/>
      </c>
      <c r="DC20" s="624" t="str">
        <f t="shared" si="56"/>
        <v/>
      </c>
      <c r="DD20" s="624" t="str">
        <f t="shared" si="57"/>
        <v/>
      </c>
      <c r="DE20" s="624" t="str">
        <f t="shared" si="58"/>
        <v/>
      </c>
      <c r="DF20" s="624" t="str">
        <f t="shared" si="59"/>
        <v/>
      </c>
      <c r="DG20" s="624" t="str">
        <f t="shared" si="60"/>
        <v/>
      </c>
      <c r="DH20" s="624" t="str">
        <f t="shared" si="61"/>
        <v/>
      </c>
      <c r="DI20" s="624" t="str">
        <f t="shared" si="62"/>
        <v/>
      </c>
      <c r="DJ20" s="624" t="str">
        <f t="shared" si="63"/>
        <v/>
      </c>
      <c r="DK20" s="624" t="str">
        <f t="shared" si="64"/>
        <v/>
      </c>
      <c r="DL20" s="624" t="str">
        <f t="shared" si="65"/>
        <v/>
      </c>
      <c r="DM20" s="624" t="str">
        <f t="shared" si="66"/>
        <v/>
      </c>
      <c r="DN20" s="624" t="str">
        <f t="shared" si="67"/>
        <v/>
      </c>
      <c r="DO20" s="624" t="str">
        <f t="shared" si="68"/>
        <v/>
      </c>
      <c r="DP20" s="624" t="str">
        <f t="shared" si="69"/>
        <v/>
      </c>
      <c r="DQ20" s="624" t="str">
        <f t="shared" si="70"/>
        <v/>
      </c>
      <c r="DR20" s="624" t="str">
        <f t="shared" si="71"/>
        <v/>
      </c>
      <c r="DS20" s="624" t="str">
        <f t="shared" si="72"/>
        <v/>
      </c>
      <c r="DT20" s="624" t="str">
        <f t="shared" si="73"/>
        <v/>
      </c>
      <c r="DU20" s="624" t="str">
        <f t="shared" si="74"/>
        <v/>
      </c>
      <c r="DV20" s="624" t="str">
        <f t="shared" si="75"/>
        <v/>
      </c>
      <c r="DW20" s="624" t="str">
        <f t="shared" si="76"/>
        <v/>
      </c>
      <c r="DX20" s="624" t="str">
        <f t="shared" si="77"/>
        <v/>
      </c>
      <c r="DY20" s="624" t="str">
        <f t="shared" si="78"/>
        <v/>
      </c>
      <c r="DZ20" s="624" t="str">
        <f t="shared" si="79"/>
        <v/>
      </c>
      <c r="EA20" s="624" t="str">
        <f t="shared" si="80"/>
        <v/>
      </c>
      <c r="EB20" s="624" t="str">
        <f t="shared" si="81"/>
        <v/>
      </c>
      <c r="EC20" s="624" t="str">
        <f t="shared" si="82"/>
        <v/>
      </c>
      <c r="ED20" s="624" t="str">
        <f t="shared" si="83"/>
        <v/>
      </c>
      <c r="EE20" s="624" t="str">
        <f t="shared" si="84"/>
        <v/>
      </c>
      <c r="EF20" s="624" t="str">
        <f t="shared" si="85"/>
        <v/>
      </c>
      <c r="EG20" s="624" t="str">
        <f t="shared" si="86"/>
        <v/>
      </c>
      <c r="EH20" s="624" t="str">
        <f t="shared" si="87"/>
        <v/>
      </c>
      <c r="EI20" s="624" t="str">
        <f t="shared" si="88"/>
        <v/>
      </c>
      <c r="EJ20" s="624" t="str">
        <f t="shared" si="89"/>
        <v/>
      </c>
      <c r="EK20" s="624" t="str">
        <f t="shared" si="90"/>
        <v/>
      </c>
      <c r="EL20" s="624" t="str">
        <f t="shared" si="91"/>
        <v/>
      </c>
      <c r="EM20" s="624" t="str">
        <f t="shared" si="92"/>
        <v/>
      </c>
      <c r="EN20" s="624" t="str">
        <f t="shared" si="93"/>
        <v/>
      </c>
      <c r="EO20" s="624" t="str">
        <f t="shared" si="94"/>
        <v/>
      </c>
      <c r="EP20" s="624" t="str">
        <f t="shared" si="95"/>
        <v/>
      </c>
      <c r="EQ20" s="624" t="str">
        <f t="shared" si="96"/>
        <v/>
      </c>
      <c r="ER20" s="624" t="str">
        <f t="shared" si="97"/>
        <v/>
      </c>
      <c r="ES20" s="624" t="str">
        <f t="shared" si="98"/>
        <v/>
      </c>
      <c r="ET20" s="624" t="str">
        <f t="shared" si="99"/>
        <v/>
      </c>
      <c r="EU20" s="624" t="str">
        <f t="shared" si="100"/>
        <v/>
      </c>
      <c r="EV20" s="636" t="str">
        <f t="shared" si="101"/>
        <v/>
      </c>
      <c r="EW20" s="636" t="str">
        <f t="shared" si="102"/>
        <v/>
      </c>
      <c r="EX20" s="636" t="str">
        <f t="shared" si="103"/>
        <v/>
      </c>
      <c r="EY20" s="636" t="str">
        <f t="shared" si="104"/>
        <v/>
      </c>
      <c r="EZ20" s="636" t="str">
        <f t="shared" si="105"/>
        <v/>
      </c>
      <c r="FA20" s="636" t="str">
        <f t="shared" si="106"/>
        <v/>
      </c>
      <c r="FB20" s="636" t="str">
        <f t="shared" si="107"/>
        <v/>
      </c>
      <c r="FC20" s="636" t="str">
        <f t="shared" si="108"/>
        <v/>
      </c>
      <c r="FD20" s="636" t="str">
        <f t="shared" si="109"/>
        <v/>
      </c>
      <c r="FE20" s="636" t="str">
        <f t="shared" si="110"/>
        <v/>
      </c>
      <c r="FF20" s="636" t="str">
        <f t="shared" si="111"/>
        <v/>
      </c>
      <c r="FG20" s="636" t="str">
        <f t="shared" si="112"/>
        <v/>
      </c>
      <c r="FH20" s="636" t="str">
        <f t="shared" si="113"/>
        <v/>
      </c>
      <c r="FI20" s="636" t="str">
        <f t="shared" si="114"/>
        <v/>
      </c>
      <c r="FJ20" s="636" t="str">
        <f t="shared" si="115"/>
        <v/>
      </c>
      <c r="FK20" s="636" t="str">
        <f t="shared" si="116"/>
        <v/>
      </c>
      <c r="FL20" s="636" t="str">
        <f t="shared" si="117"/>
        <v/>
      </c>
      <c r="FM20" s="636" t="str">
        <f t="shared" si="118"/>
        <v/>
      </c>
      <c r="FN20" s="636" t="str">
        <f t="shared" si="119"/>
        <v/>
      </c>
      <c r="FO20" s="636" t="str">
        <f t="shared" si="120"/>
        <v/>
      </c>
      <c r="FP20" s="636" t="str">
        <f t="shared" si="121"/>
        <v/>
      </c>
      <c r="FQ20" s="636" t="str">
        <f t="shared" si="122"/>
        <v/>
      </c>
      <c r="FR20" s="636" t="str">
        <f t="shared" si="123"/>
        <v/>
      </c>
      <c r="FS20" s="636" t="str">
        <f t="shared" si="124"/>
        <v/>
      </c>
      <c r="FT20" s="636" t="str">
        <f t="shared" si="125"/>
        <v/>
      </c>
      <c r="FU20" s="636" t="str">
        <f t="shared" si="126"/>
        <v/>
      </c>
      <c r="FV20" s="636" t="str">
        <f t="shared" si="127"/>
        <v/>
      </c>
      <c r="FW20" s="636" t="str">
        <f t="shared" si="128"/>
        <v/>
      </c>
      <c r="FX20" s="636" t="str">
        <f t="shared" si="129"/>
        <v/>
      </c>
      <c r="FY20" s="636" t="str">
        <f t="shared" si="130"/>
        <v/>
      </c>
      <c r="FZ20" s="636" t="str">
        <f t="shared" si="131"/>
        <v/>
      </c>
      <c r="GA20" s="636" t="str">
        <f t="shared" si="132"/>
        <v/>
      </c>
      <c r="GB20" s="636" t="str">
        <f t="shared" si="133"/>
        <v/>
      </c>
      <c r="GC20" s="636" t="str">
        <f t="shared" si="134"/>
        <v/>
      </c>
      <c r="GD20" s="636" t="str">
        <f t="shared" si="135"/>
        <v/>
      </c>
      <c r="GE20" s="636" t="str">
        <f t="shared" si="136"/>
        <v/>
      </c>
      <c r="GF20" s="636" t="str">
        <f t="shared" si="137"/>
        <v/>
      </c>
      <c r="GG20" s="636" t="str">
        <f t="shared" si="138"/>
        <v/>
      </c>
      <c r="GH20" s="636" t="str">
        <f t="shared" si="139"/>
        <v/>
      </c>
      <c r="GI20" s="636" t="str">
        <f t="shared" si="140"/>
        <v/>
      </c>
      <c r="GJ20" s="636" t="str">
        <f t="shared" si="141"/>
        <v/>
      </c>
      <c r="GK20" s="636" t="str">
        <f t="shared" si="142"/>
        <v/>
      </c>
      <c r="GL20" s="636" t="str">
        <f t="shared" si="143"/>
        <v/>
      </c>
      <c r="GM20" s="636" t="str">
        <f t="shared" si="144"/>
        <v/>
      </c>
      <c r="GN20" s="636" t="str">
        <f t="shared" si="145"/>
        <v/>
      </c>
      <c r="GO20" s="637" t="str">
        <f t="shared" si="146"/>
        <v/>
      </c>
      <c r="GP20" s="637" t="str">
        <f t="shared" si="147"/>
        <v/>
      </c>
      <c r="GQ20" s="637" t="str">
        <f t="shared" si="148"/>
        <v/>
      </c>
      <c r="GR20" s="637" t="str">
        <f t="shared" si="149"/>
        <v/>
      </c>
      <c r="GS20" s="637" t="str">
        <f t="shared" si="150"/>
        <v/>
      </c>
      <c r="GT20" s="624" t="str">
        <f t="shared" si="151"/>
        <v/>
      </c>
      <c r="GU20" s="624" t="str">
        <f t="shared" si="152"/>
        <v/>
      </c>
      <c r="GV20" s="624" t="str">
        <f t="shared" si="153"/>
        <v/>
      </c>
      <c r="GW20" s="624" t="str">
        <f t="shared" si="154"/>
        <v/>
      </c>
      <c r="GX20" s="624" t="str">
        <f t="shared" si="155"/>
        <v/>
      </c>
      <c r="GY20" s="624" t="str">
        <f t="shared" si="156"/>
        <v/>
      </c>
      <c r="GZ20" s="624" t="str">
        <f t="shared" si="157"/>
        <v/>
      </c>
      <c r="HA20" s="624" t="str">
        <f t="shared" si="158"/>
        <v/>
      </c>
      <c r="HB20" s="624" t="str">
        <f t="shared" si="159"/>
        <v/>
      </c>
      <c r="HC20" s="624" t="str">
        <f t="shared" si="160"/>
        <v/>
      </c>
      <c r="HD20" s="624" t="str">
        <f t="shared" si="161"/>
        <v/>
      </c>
      <c r="HE20" s="624" t="str">
        <f t="shared" si="162"/>
        <v/>
      </c>
      <c r="HF20" s="624" t="str">
        <f t="shared" si="163"/>
        <v/>
      </c>
      <c r="HG20" s="624" t="str">
        <f t="shared" si="164"/>
        <v/>
      </c>
      <c r="HH20" s="624" t="str">
        <f t="shared" si="165"/>
        <v/>
      </c>
      <c r="HI20" s="624" t="str">
        <f t="shared" si="166"/>
        <v/>
      </c>
      <c r="HJ20" s="624" t="str">
        <f t="shared" si="167"/>
        <v/>
      </c>
      <c r="HK20" s="624" t="str">
        <f t="shared" si="168"/>
        <v/>
      </c>
      <c r="HL20" s="624" t="str">
        <f t="shared" si="169"/>
        <v/>
      </c>
      <c r="HM20" s="624" t="str">
        <f t="shared" si="170"/>
        <v/>
      </c>
    </row>
    <row r="21" spans="1:221" ht="13.15" customHeight="1">
      <c r="A21" s="130" t="str">
        <f t="shared" si="171"/>
        <v/>
      </c>
      <c r="B21" s="1553" t="s">
        <v>2466</v>
      </c>
      <c r="C21" s="1554"/>
      <c r="D21" s="1555"/>
      <c r="E21" s="1556"/>
      <c r="F21" s="1556"/>
      <c r="G21" s="1556"/>
      <c r="H21" s="1556"/>
      <c r="I21" s="1556"/>
      <c r="J21" s="1557"/>
      <c r="K21" s="205">
        <f t="shared" si="172"/>
        <v>0</v>
      </c>
      <c r="L21" s="205">
        <f t="shared" si="0"/>
        <v>0</v>
      </c>
      <c r="M21" s="1558"/>
      <c r="N21" s="1558"/>
      <c r="O21" s="1558"/>
      <c r="P21" s="559" t="str">
        <f t="shared" si="203"/>
        <v/>
      </c>
      <c r="Q21" s="560" t="str">
        <f>IF(H21="","",P21/($P$6*VLOOKUP(C21,'DCA Underwriting Assumptions'!$J$81:$K$86,2,FALSE)))</f>
        <v/>
      </c>
      <c r="R21" s="667"/>
      <c r="S21" s="560"/>
      <c r="T21" s="1497"/>
      <c r="U21" s="1498"/>
      <c r="V21" s="624" t="str">
        <f t="shared" si="1"/>
        <v/>
      </c>
      <c r="W21" s="624" t="str">
        <f t="shared" si="2"/>
        <v/>
      </c>
      <c r="X21" s="624" t="str">
        <f t="shared" si="3"/>
        <v/>
      </c>
      <c r="Y21" s="624" t="str">
        <f t="shared" si="4"/>
        <v/>
      </c>
      <c r="Z21" s="624" t="str">
        <f t="shared" si="5"/>
        <v/>
      </c>
      <c r="AA21" s="624" t="str">
        <f t="shared" si="6"/>
        <v/>
      </c>
      <c r="AB21" s="624" t="str">
        <f t="shared" si="7"/>
        <v/>
      </c>
      <c r="AC21" s="624" t="str">
        <f t="shared" si="8"/>
        <v/>
      </c>
      <c r="AD21" s="624" t="str">
        <f t="shared" si="9"/>
        <v/>
      </c>
      <c r="AE21" s="624" t="str">
        <f t="shared" si="10"/>
        <v/>
      </c>
      <c r="AF21" s="624" t="str">
        <f t="shared" si="11"/>
        <v/>
      </c>
      <c r="AG21" s="624" t="str">
        <f t="shared" si="12"/>
        <v/>
      </c>
      <c r="AH21" s="624" t="str">
        <f t="shared" si="13"/>
        <v/>
      </c>
      <c r="AI21" s="624" t="str">
        <f t="shared" si="14"/>
        <v/>
      </c>
      <c r="AJ21" s="624" t="str">
        <f t="shared" si="15"/>
        <v/>
      </c>
      <c r="AK21" s="624" t="str">
        <f t="shared" si="16"/>
        <v/>
      </c>
      <c r="AL21" s="624" t="str">
        <f t="shared" si="17"/>
        <v/>
      </c>
      <c r="AM21" s="624" t="str">
        <f t="shared" si="18"/>
        <v/>
      </c>
      <c r="AN21" s="624" t="str">
        <f t="shared" si="19"/>
        <v/>
      </c>
      <c r="AO21" s="624" t="str">
        <f t="shared" si="20"/>
        <v/>
      </c>
      <c r="AP21" s="624" t="str">
        <f t="shared" si="173"/>
        <v/>
      </c>
      <c r="AQ21" s="624" t="str">
        <f t="shared" si="174"/>
        <v/>
      </c>
      <c r="AR21" s="624" t="str">
        <f t="shared" si="175"/>
        <v/>
      </c>
      <c r="AS21" s="624" t="str">
        <f t="shared" si="176"/>
        <v/>
      </c>
      <c r="AT21" s="624" t="str">
        <f t="shared" si="177"/>
        <v/>
      </c>
      <c r="AU21" s="624" t="str">
        <f t="shared" si="178"/>
        <v/>
      </c>
      <c r="AV21" s="624" t="str">
        <f t="shared" si="179"/>
        <v/>
      </c>
      <c r="AW21" s="624" t="str">
        <f t="shared" si="180"/>
        <v/>
      </c>
      <c r="AX21" s="624" t="str">
        <f t="shared" si="181"/>
        <v/>
      </c>
      <c r="AY21" s="624" t="str">
        <f t="shared" si="182"/>
        <v/>
      </c>
      <c r="AZ21" s="624" t="str">
        <f t="shared" si="183"/>
        <v/>
      </c>
      <c r="BA21" s="624" t="str">
        <f t="shared" si="184"/>
        <v/>
      </c>
      <c r="BB21" s="624" t="str">
        <f t="shared" si="185"/>
        <v/>
      </c>
      <c r="BC21" s="624" t="str">
        <f t="shared" si="186"/>
        <v/>
      </c>
      <c r="BD21" s="624" t="str">
        <f t="shared" si="187"/>
        <v/>
      </c>
      <c r="BE21" s="624" t="str">
        <f t="shared" si="188"/>
        <v/>
      </c>
      <c r="BF21" s="624" t="str">
        <f t="shared" si="189"/>
        <v/>
      </c>
      <c r="BG21" s="624" t="str">
        <f t="shared" si="190"/>
        <v/>
      </c>
      <c r="BH21" s="624" t="str">
        <f t="shared" si="191"/>
        <v/>
      </c>
      <c r="BI21" s="624" t="str">
        <f t="shared" si="192"/>
        <v/>
      </c>
      <c r="BJ21" s="624" t="str">
        <f t="shared" si="193"/>
        <v/>
      </c>
      <c r="BK21" s="624" t="str">
        <f t="shared" si="194"/>
        <v/>
      </c>
      <c r="BL21" s="624" t="str">
        <f t="shared" si="195"/>
        <v/>
      </c>
      <c r="BM21" s="624" t="str">
        <f t="shared" si="196"/>
        <v/>
      </c>
      <c r="BN21" s="624" t="str">
        <f t="shared" si="197"/>
        <v/>
      </c>
      <c r="BO21" s="624" t="str">
        <f t="shared" si="198"/>
        <v/>
      </c>
      <c r="BP21" s="624" t="str">
        <f t="shared" si="199"/>
        <v/>
      </c>
      <c r="BQ21" s="624" t="str">
        <f t="shared" si="200"/>
        <v/>
      </c>
      <c r="BR21" s="624" t="str">
        <f t="shared" si="201"/>
        <v/>
      </c>
      <c r="BS21" s="624" t="str">
        <f t="shared" si="202"/>
        <v/>
      </c>
      <c r="BT21" s="624" t="str">
        <f t="shared" si="21"/>
        <v/>
      </c>
      <c r="BU21" s="624" t="str">
        <f t="shared" si="22"/>
        <v/>
      </c>
      <c r="BV21" s="624" t="str">
        <f t="shared" si="23"/>
        <v/>
      </c>
      <c r="BW21" s="624" t="str">
        <f t="shared" si="24"/>
        <v/>
      </c>
      <c r="BX21" s="624" t="str">
        <f t="shared" si="25"/>
        <v/>
      </c>
      <c r="BY21" s="624" t="str">
        <f t="shared" si="26"/>
        <v/>
      </c>
      <c r="BZ21" s="624" t="str">
        <f t="shared" si="27"/>
        <v/>
      </c>
      <c r="CA21" s="624" t="str">
        <f t="shared" si="28"/>
        <v/>
      </c>
      <c r="CB21" s="624" t="str">
        <f t="shared" si="29"/>
        <v/>
      </c>
      <c r="CC21" s="624" t="str">
        <f t="shared" si="30"/>
        <v/>
      </c>
      <c r="CD21" s="624" t="str">
        <f t="shared" si="31"/>
        <v/>
      </c>
      <c r="CE21" s="624" t="str">
        <f t="shared" si="32"/>
        <v/>
      </c>
      <c r="CF21" s="624" t="str">
        <f t="shared" si="33"/>
        <v/>
      </c>
      <c r="CG21" s="624" t="str">
        <f t="shared" si="34"/>
        <v/>
      </c>
      <c r="CH21" s="624" t="str">
        <f t="shared" si="35"/>
        <v/>
      </c>
      <c r="CI21" s="624" t="str">
        <f t="shared" si="36"/>
        <v/>
      </c>
      <c r="CJ21" s="624" t="str">
        <f t="shared" si="37"/>
        <v/>
      </c>
      <c r="CK21" s="624" t="str">
        <f t="shared" si="38"/>
        <v/>
      </c>
      <c r="CL21" s="624" t="str">
        <f t="shared" si="39"/>
        <v/>
      </c>
      <c r="CM21" s="624" t="str">
        <f t="shared" si="40"/>
        <v/>
      </c>
      <c r="CN21" s="624" t="str">
        <f t="shared" si="41"/>
        <v/>
      </c>
      <c r="CO21" s="624" t="str">
        <f t="shared" si="42"/>
        <v/>
      </c>
      <c r="CP21" s="624" t="str">
        <f t="shared" si="43"/>
        <v/>
      </c>
      <c r="CQ21" s="624" t="str">
        <f t="shared" si="44"/>
        <v/>
      </c>
      <c r="CR21" s="624" t="str">
        <f t="shared" si="45"/>
        <v/>
      </c>
      <c r="CS21" s="624" t="str">
        <f t="shared" si="46"/>
        <v/>
      </c>
      <c r="CT21" s="624" t="str">
        <f t="shared" si="47"/>
        <v/>
      </c>
      <c r="CU21" s="624" t="str">
        <f t="shared" si="48"/>
        <v/>
      </c>
      <c r="CV21" s="624" t="str">
        <f t="shared" si="49"/>
        <v/>
      </c>
      <c r="CW21" s="624" t="str">
        <f t="shared" si="50"/>
        <v/>
      </c>
      <c r="CX21" s="624" t="str">
        <f t="shared" si="51"/>
        <v/>
      </c>
      <c r="CY21" s="624" t="str">
        <f t="shared" si="52"/>
        <v/>
      </c>
      <c r="CZ21" s="624" t="str">
        <f t="shared" si="53"/>
        <v/>
      </c>
      <c r="DA21" s="624" t="str">
        <f t="shared" si="54"/>
        <v/>
      </c>
      <c r="DB21" s="624" t="str">
        <f t="shared" si="55"/>
        <v/>
      </c>
      <c r="DC21" s="624" t="str">
        <f t="shared" si="56"/>
        <v/>
      </c>
      <c r="DD21" s="624" t="str">
        <f t="shared" si="57"/>
        <v/>
      </c>
      <c r="DE21" s="624" t="str">
        <f t="shared" si="58"/>
        <v/>
      </c>
      <c r="DF21" s="624" t="str">
        <f t="shared" si="59"/>
        <v/>
      </c>
      <c r="DG21" s="624" t="str">
        <f t="shared" si="60"/>
        <v/>
      </c>
      <c r="DH21" s="624" t="str">
        <f t="shared" si="61"/>
        <v/>
      </c>
      <c r="DI21" s="624" t="str">
        <f t="shared" si="62"/>
        <v/>
      </c>
      <c r="DJ21" s="624" t="str">
        <f t="shared" si="63"/>
        <v/>
      </c>
      <c r="DK21" s="624" t="str">
        <f t="shared" si="64"/>
        <v/>
      </c>
      <c r="DL21" s="624" t="str">
        <f t="shared" si="65"/>
        <v/>
      </c>
      <c r="DM21" s="624" t="str">
        <f t="shared" si="66"/>
        <v/>
      </c>
      <c r="DN21" s="624" t="str">
        <f t="shared" si="67"/>
        <v/>
      </c>
      <c r="DO21" s="624" t="str">
        <f t="shared" si="68"/>
        <v/>
      </c>
      <c r="DP21" s="624" t="str">
        <f t="shared" si="69"/>
        <v/>
      </c>
      <c r="DQ21" s="624" t="str">
        <f t="shared" si="70"/>
        <v/>
      </c>
      <c r="DR21" s="624" t="str">
        <f t="shared" si="71"/>
        <v/>
      </c>
      <c r="DS21" s="624" t="str">
        <f t="shared" si="72"/>
        <v/>
      </c>
      <c r="DT21" s="624" t="str">
        <f t="shared" si="73"/>
        <v/>
      </c>
      <c r="DU21" s="624" t="str">
        <f t="shared" si="74"/>
        <v/>
      </c>
      <c r="DV21" s="624" t="str">
        <f t="shared" si="75"/>
        <v/>
      </c>
      <c r="DW21" s="624" t="str">
        <f t="shared" si="76"/>
        <v/>
      </c>
      <c r="DX21" s="624" t="str">
        <f t="shared" si="77"/>
        <v/>
      </c>
      <c r="DY21" s="624" t="str">
        <f t="shared" si="78"/>
        <v/>
      </c>
      <c r="DZ21" s="624" t="str">
        <f t="shared" si="79"/>
        <v/>
      </c>
      <c r="EA21" s="624" t="str">
        <f t="shared" si="80"/>
        <v/>
      </c>
      <c r="EB21" s="624" t="str">
        <f t="shared" si="81"/>
        <v/>
      </c>
      <c r="EC21" s="624" t="str">
        <f t="shared" si="82"/>
        <v/>
      </c>
      <c r="ED21" s="624" t="str">
        <f t="shared" si="83"/>
        <v/>
      </c>
      <c r="EE21" s="624" t="str">
        <f t="shared" si="84"/>
        <v/>
      </c>
      <c r="EF21" s="624" t="str">
        <f t="shared" si="85"/>
        <v/>
      </c>
      <c r="EG21" s="624" t="str">
        <f t="shared" si="86"/>
        <v/>
      </c>
      <c r="EH21" s="624" t="str">
        <f t="shared" si="87"/>
        <v/>
      </c>
      <c r="EI21" s="624" t="str">
        <f t="shared" si="88"/>
        <v/>
      </c>
      <c r="EJ21" s="624" t="str">
        <f t="shared" si="89"/>
        <v/>
      </c>
      <c r="EK21" s="624" t="str">
        <f t="shared" si="90"/>
        <v/>
      </c>
      <c r="EL21" s="624" t="str">
        <f t="shared" si="91"/>
        <v/>
      </c>
      <c r="EM21" s="624" t="str">
        <f t="shared" si="92"/>
        <v/>
      </c>
      <c r="EN21" s="624" t="str">
        <f t="shared" si="93"/>
        <v/>
      </c>
      <c r="EO21" s="624" t="str">
        <f t="shared" si="94"/>
        <v/>
      </c>
      <c r="EP21" s="624" t="str">
        <f t="shared" si="95"/>
        <v/>
      </c>
      <c r="EQ21" s="624" t="str">
        <f t="shared" si="96"/>
        <v/>
      </c>
      <c r="ER21" s="624" t="str">
        <f t="shared" si="97"/>
        <v/>
      </c>
      <c r="ES21" s="624" t="str">
        <f t="shared" si="98"/>
        <v/>
      </c>
      <c r="ET21" s="624" t="str">
        <f t="shared" si="99"/>
        <v/>
      </c>
      <c r="EU21" s="624" t="str">
        <f t="shared" si="100"/>
        <v/>
      </c>
      <c r="EV21" s="636" t="str">
        <f t="shared" si="101"/>
        <v/>
      </c>
      <c r="EW21" s="636" t="str">
        <f t="shared" si="102"/>
        <v/>
      </c>
      <c r="EX21" s="636" t="str">
        <f t="shared" si="103"/>
        <v/>
      </c>
      <c r="EY21" s="636" t="str">
        <f t="shared" si="104"/>
        <v/>
      </c>
      <c r="EZ21" s="636" t="str">
        <f t="shared" si="105"/>
        <v/>
      </c>
      <c r="FA21" s="636" t="str">
        <f t="shared" si="106"/>
        <v/>
      </c>
      <c r="FB21" s="636" t="str">
        <f t="shared" si="107"/>
        <v/>
      </c>
      <c r="FC21" s="636" t="str">
        <f t="shared" si="108"/>
        <v/>
      </c>
      <c r="FD21" s="636" t="str">
        <f t="shared" si="109"/>
        <v/>
      </c>
      <c r="FE21" s="636" t="str">
        <f t="shared" si="110"/>
        <v/>
      </c>
      <c r="FF21" s="636" t="str">
        <f t="shared" si="111"/>
        <v/>
      </c>
      <c r="FG21" s="636" t="str">
        <f t="shared" si="112"/>
        <v/>
      </c>
      <c r="FH21" s="636" t="str">
        <f t="shared" si="113"/>
        <v/>
      </c>
      <c r="FI21" s="636" t="str">
        <f t="shared" si="114"/>
        <v/>
      </c>
      <c r="FJ21" s="636" t="str">
        <f t="shared" si="115"/>
        <v/>
      </c>
      <c r="FK21" s="636" t="str">
        <f t="shared" si="116"/>
        <v/>
      </c>
      <c r="FL21" s="636" t="str">
        <f t="shared" si="117"/>
        <v/>
      </c>
      <c r="FM21" s="636" t="str">
        <f t="shared" si="118"/>
        <v/>
      </c>
      <c r="FN21" s="636" t="str">
        <f t="shared" si="119"/>
        <v/>
      </c>
      <c r="FO21" s="636" t="str">
        <f t="shared" si="120"/>
        <v/>
      </c>
      <c r="FP21" s="636" t="str">
        <f t="shared" si="121"/>
        <v/>
      </c>
      <c r="FQ21" s="636" t="str">
        <f t="shared" si="122"/>
        <v/>
      </c>
      <c r="FR21" s="636" t="str">
        <f t="shared" si="123"/>
        <v/>
      </c>
      <c r="FS21" s="636" t="str">
        <f t="shared" si="124"/>
        <v/>
      </c>
      <c r="FT21" s="636" t="str">
        <f t="shared" si="125"/>
        <v/>
      </c>
      <c r="FU21" s="636" t="str">
        <f t="shared" si="126"/>
        <v/>
      </c>
      <c r="FV21" s="636" t="str">
        <f t="shared" si="127"/>
        <v/>
      </c>
      <c r="FW21" s="636" t="str">
        <f t="shared" si="128"/>
        <v/>
      </c>
      <c r="FX21" s="636" t="str">
        <f t="shared" si="129"/>
        <v/>
      </c>
      <c r="FY21" s="636" t="str">
        <f t="shared" si="130"/>
        <v/>
      </c>
      <c r="FZ21" s="636" t="str">
        <f t="shared" si="131"/>
        <v/>
      </c>
      <c r="GA21" s="636" t="str">
        <f t="shared" si="132"/>
        <v/>
      </c>
      <c r="GB21" s="636" t="str">
        <f t="shared" si="133"/>
        <v/>
      </c>
      <c r="GC21" s="636" t="str">
        <f t="shared" si="134"/>
        <v/>
      </c>
      <c r="GD21" s="636" t="str">
        <f t="shared" si="135"/>
        <v/>
      </c>
      <c r="GE21" s="636" t="str">
        <f t="shared" si="136"/>
        <v/>
      </c>
      <c r="GF21" s="636" t="str">
        <f t="shared" si="137"/>
        <v/>
      </c>
      <c r="GG21" s="636" t="str">
        <f t="shared" si="138"/>
        <v/>
      </c>
      <c r="GH21" s="636" t="str">
        <f t="shared" si="139"/>
        <v/>
      </c>
      <c r="GI21" s="636" t="str">
        <f t="shared" si="140"/>
        <v/>
      </c>
      <c r="GJ21" s="636" t="str">
        <f t="shared" si="141"/>
        <v/>
      </c>
      <c r="GK21" s="636" t="str">
        <f t="shared" si="142"/>
        <v/>
      </c>
      <c r="GL21" s="636" t="str">
        <f t="shared" si="143"/>
        <v/>
      </c>
      <c r="GM21" s="636" t="str">
        <f t="shared" si="144"/>
        <v/>
      </c>
      <c r="GN21" s="636" t="str">
        <f t="shared" si="145"/>
        <v/>
      </c>
      <c r="GO21" s="637" t="str">
        <f t="shared" si="146"/>
        <v/>
      </c>
      <c r="GP21" s="637" t="str">
        <f t="shared" si="147"/>
        <v/>
      </c>
      <c r="GQ21" s="637" t="str">
        <f t="shared" si="148"/>
        <v/>
      </c>
      <c r="GR21" s="637" t="str">
        <f t="shared" si="149"/>
        <v/>
      </c>
      <c r="GS21" s="637" t="str">
        <f t="shared" si="150"/>
        <v/>
      </c>
      <c r="GT21" s="624" t="str">
        <f t="shared" si="151"/>
        <v/>
      </c>
      <c r="GU21" s="624" t="str">
        <f t="shared" si="152"/>
        <v/>
      </c>
      <c r="GV21" s="624" t="str">
        <f t="shared" si="153"/>
        <v/>
      </c>
      <c r="GW21" s="624" t="str">
        <f t="shared" si="154"/>
        <v/>
      </c>
      <c r="GX21" s="624" t="str">
        <f t="shared" si="155"/>
        <v/>
      </c>
      <c r="GY21" s="624" t="str">
        <f t="shared" si="156"/>
        <v/>
      </c>
      <c r="GZ21" s="624" t="str">
        <f t="shared" si="157"/>
        <v/>
      </c>
      <c r="HA21" s="624" t="str">
        <f t="shared" si="158"/>
        <v/>
      </c>
      <c r="HB21" s="624" t="str">
        <f t="shared" si="159"/>
        <v/>
      </c>
      <c r="HC21" s="624" t="str">
        <f t="shared" si="160"/>
        <v/>
      </c>
      <c r="HD21" s="624" t="str">
        <f t="shared" si="161"/>
        <v/>
      </c>
      <c r="HE21" s="624" t="str">
        <f t="shared" si="162"/>
        <v/>
      </c>
      <c r="HF21" s="624" t="str">
        <f t="shared" si="163"/>
        <v/>
      </c>
      <c r="HG21" s="624" t="str">
        <f t="shared" si="164"/>
        <v/>
      </c>
      <c r="HH21" s="624" t="str">
        <f t="shared" si="165"/>
        <v/>
      </c>
      <c r="HI21" s="624" t="str">
        <f t="shared" si="166"/>
        <v/>
      </c>
      <c r="HJ21" s="624" t="str">
        <f t="shared" si="167"/>
        <v/>
      </c>
      <c r="HK21" s="624" t="str">
        <f t="shared" si="168"/>
        <v/>
      </c>
      <c r="HL21" s="624" t="str">
        <f t="shared" si="169"/>
        <v/>
      </c>
      <c r="HM21" s="624" t="str">
        <f t="shared" si="170"/>
        <v/>
      </c>
    </row>
    <row r="22" spans="1:221" ht="13.15" customHeight="1">
      <c r="A22" s="130" t="str">
        <f t="shared" si="171"/>
        <v/>
      </c>
      <c r="B22" s="1553" t="s">
        <v>2466</v>
      </c>
      <c r="C22" s="1554"/>
      <c r="D22" s="1555"/>
      <c r="E22" s="1556"/>
      <c r="F22" s="1556"/>
      <c r="G22" s="1556"/>
      <c r="H22" s="1556"/>
      <c r="I22" s="1556"/>
      <c r="J22" s="1557"/>
      <c r="K22" s="205">
        <f t="shared" si="172"/>
        <v>0</v>
      </c>
      <c r="L22" s="205">
        <f t="shared" si="0"/>
        <v>0</v>
      </c>
      <c r="M22" s="1558"/>
      <c r="N22" s="1558"/>
      <c r="O22" s="1558"/>
      <c r="P22" s="559" t="str">
        <f t="shared" si="203"/>
        <v/>
      </c>
      <c r="Q22" s="560" t="str">
        <f>IF(H22="","",P22/($P$6*VLOOKUP(C22,'DCA Underwriting Assumptions'!$J$81:$K$86,2,FALSE)))</f>
        <v/>
      </c>
      <c r="R22" s="667"/>
      <c r="S22" s="560"/>
      <c r="T22" s="1497"/>
      <c r="U22" s="1498"/>
      <c r="V22" s="624" t="str">
        <f t="shared" si="1"/>
        <v/>
      </c>
      <c r="W22" s="624" t="str">
        <f t="shared" si="2"/>
        <v/>
      </c>
      <c r="X22" s="624" t="str">
        <f t="shared" si="3"/>
        <v/>
      </c>
      <c r="Y22" s="624" t="str">
        <f t="shared" si="4"/>
        <v/>
      </c>
      <c r="Z22" s="624" t="str">
        <f t="shared" si="5"/>
        <v/>
      </c>
      <c r="AA22" s="624" t="str">
        <f t="shared" si="6"/>
        <v/>
      </c>
      <c r="AB22" s="624" t="str">
        <f t="shared" si="7"/>
        <v/>
      </c>
      <c r="AC22" s="624" t="str">
        <f t="shared" si="8"/>
        <v/>
      </c>
      <c r="AD22" s="624" t="str">
        <f t="shared" si="9"/>
        <v/>
      </c>
      <c r="AE22" s="624" t="str">
        <f t="shared" si="10"/>
        <v/>
      </c>
      <c r="AF22" s="624" t="str">
        <f t="shared" si="11"/>
        <v/>
      </c>
      <c r="AG22" s="624" t="str">
        <f t="shared" si="12"/>
        <v/>
      </c>
      <c r="AH22" s="624" t="str">
        <f t="shared" si="13"/>
        <v/>
      </c>
      <c r="AI22" s="624" t="str">
        <f t="shared" si="14"/>
        <v/>
      </c>
      <c r="AJ22" s="624" t="str">
        <f t="shared" si="15"/>
        <v/>
      </c>
      <c r="AK22" s="624" t="str">
        <f t="shared" si="16"/>
        <v/>
      </c>
      <c r="AL22" s="624" t="str">
        <f t="shared" si="17"/>
        <v/>
      </c>
      <c r="AM22" s="624" t="str">
        <f t="shared" si="18"/>
        <v/>
      </c>
      <c r="AN22" s="624" t="str">
        <f t="shared" si="19"/>
        <v/>
      </c>
      <c r="AO22" s="624" t="str">
        <f t="shared" si="20"/>
        <v/>
      </c>
      <c r="AP22" s="624" t="str">
        <f t="shared" si="173"/>
        <v/>
      </c>
      <c r="AQ22" s="624" t="str">
        <f t="shared" si="174"/>
        <v/>
      </c>
      <c r="AR22" s="624" t="str">
        <f t="shared" si="175"/>
        <v/>
      </c>
      <c r="AS22" s="624" t="str">
        <f t="shared" si="176"/>
        <v/>
      </c>
      <c r="AT22" s="624" t="str">
        <f t="shared" si="177"/>
        <v/>
      </c>
      <c r="AU22" s="624" t="str">
        <f t="shared" si="178"/>
        <v/>
      </c>
      <c r="AV22" s="624" t="str">
        <f t="shared" si="179"/>
        <v/>
      </c>
      <c r="AW22" s="624" t="str">
        <f t="shared" si="180"/>
        <v/>
      </c>
      <c r="AX22" s="624" t="str">
        <f t="shared" si="181"/>
        <v/>
      </c>
      <c r="AY22" s="624" t="str">
        <f t="shared" si="182"/>
        <v/>
      </c>
      <c r="AZ22" s="624" t="str">
        <f t="shared" si="183"/>
        <v/>
      </c>
      <c r="BA22" s="624" t="str">
        <f t="shared" si="184"/>
        <v/>
      </c>
      <c r="BB22" s="624" t="str">
        <f t="shared" si="185"/>
        <v/>
      </c>
      <c r="BC22" s="624" t="str">
        <f t="shared" si="186"/>
        <v/>
      </c>
      <c r="BD22" s="624" t="str">
        <f t="shared" si="187"/>
        <v/>
      </c>
      <c r="BE22" s="624" t="str">
        <f t="shared" si="188"/>
        <v/>
      </c>
      <c r="BF22" s="624" t="str">
        <f t="shared" si="189"/>
        <v/>
      </c>
      <c r="BG22" s="624" t="str">
        <f t="shared" si="190"/>
        <v/>
      </c>
      <c r="BH22" s="624" t="str">
        <f t="shared" si="191"/>
        <v/>
      </c>
      <c r="BI22" s="624" t="str">
        <f t="shared" si="192"/>
        <v/>
      </c>
      <c r="BJ22" s="624" t="str">
        <f t="shared" si="193"/>
        <v/>
      </c>
      <c r="BK22" s="624" t="str">
        <f t="shared" si="194"/>
        <v/>
      </c>
      <c r="BL22" s="624" t="str">
        <f t="shared" si="195"/>
        <v/>
      </c>
      <c r="BM22" s="624" t="str">
        <f t="shared" si="196"/>
        <v/>
      </c>
      <c r="BN22" s="624" t="str">
        <f t="shared" si="197"/>
        <v/>
      </c>
      <c r="BO22" s="624" t="str">
        <f t="shared" si="198"/>
        <v/>
      </c>
      <c r="BP22" s="624" t="str">
        <f t="shared" si="199"/>
        <v/>
      </c>
      <c r="BQ22" s="624" t="str">
        <f t="shared" si="200"/>
        <v/>
      </c>
      <c r="BR22" s="624" t="str">
        <f t="shared" si="201"/>
        <v/>
      </c>
      <c r="BS22" s="624" t="str">
        <f t="shared" si="202"/>
        <v/>
      </c>
      <c r="BT22" s="624" t="str">
        <f t="shared" si="21"/>
        <v/>
      </c>
      <c r="BU22" s="624" t="str">
        <f t="shared" si="22"/>
        <v/>
      </c>
      <c r="BV22" s="624" t="str">
        <f t="shared" si="23"/>
        <v/>
      </c>
      <c r="BW22" s="624" t="str">
        <f t="shared" si="24"/>
        <v/>
      </c>
      <c r="BX22" s="624" t="str">
        <f t="shared" si="25"/>
        <v/>
      </c>
      <c r="BY22" s="624" t="str">
        <f t="shared" si="26"/>
        <v/>
      </c>
      <c r="BZ22" s="624" t="str">
        <f t="shared" si="27"/>
        <v/>
      </c>
      <c r="CA22" s="624" t="str">
        <f t="shared" si="28"/>
        <v/>
      </c>
      <c r="CB22" s="624" t="str">
        <f t="shared" si="29"/>
        <v/>
      </c>
      <c r="CC22" s="624" t="str">
        <f t="shared" si="30"/>
        <v/>
      </c>
      <c r="CD22" s="624" t="str">
        <f t="shared" si="31"/>
        <v/>
      </c>
      <c r="CE22" s="624" t="str">
        <f t="shared" si="32"/>
        <v/>
      </c>
      <c r="CF22" s="624" t="str">
        <f t="shared" si="33"/>
        <v/>
      </c>
      <c r="CG22" s="624" t="str">
        <f t="shared" si="34"/>
        <v/>
      </c>
      <c r="CH22" s="624" t="str">
        <f t="shared" si="35"/>
        <v/>
      </c>
      <c r="CI22" s="624" t="str">
        <f t="shared" si="36"/>
        <v/>
      </c>
      <c r="CJ22" s="624" t="str">
        <f t="shared" si="37"/>
        <v/>
      </c>
      <c r="CK22" s="624" t="str">
        <f t="shared" si="38"/>
        <v/>
      </c>
      <c r="CL22" s="624" t="str">
        <f t="shared" si="39"/>
        <v/>
      </c>
      <c r="CM22" s="624" t="str">
        <f t="shared" si="40"/>
        <v/>
      </c>
      <c r="CN22" s="624" t="str">
        <f t="shared" si="41"/>
        <v/>
      </c>
      <c r="CO22" s="624" t="str">
        <f t="shared" si="42"/>
        <v/>
      </c>
      <c r="CP22" s="624" t="str">
        <f t="shared" si="43"/>
        <v/>
      </c>
      <c r="CQ22" s="624" t="str">
        <f t="shared" si="44"/>
        <v/>
      </c>
      <c r="CR22" s="624" t="str">
        <f t="shared" si="45"/>
        <v/>
      </c>
      <c r="CS22" s="624" t="str">
        <f t="shared" si="46"/>
        <v/>
      </c>
      <c r="CT22" s="624" t="str">
        <f t="shared" si="47"/>
        <v/>
      </c>
      <c r="CU22" s="624" t="str">
        <f t="shared" si="48"/>
        <v/>
      </c>
      <c r="CV22" s="624" t="str">
        <f t="shared" si="49"/>
        <v/>
      </c>
      <c r="CW22" s="624" t="str">
        <f t="shared" si="50"/>
        <v/>
      </c>
      <c r="CX22" s="624" t="str">
        <f t="shared" si="51"/>
        <v/>
      </c>
      <c r="CY22" s="624" t="str">
        <f t="shared" si="52"/>
        <v/>
      </c>
      <c r="CZ22" s="624" t="str">
        <f t="shared" si="53"/>
        <v/>
      </c>
      <c r="DA22" s="624" t="str">
        <f t="shared" si="54"/>
        <v/>
      </c>
      <c r="DB22" s="624" t="str">
        <f t="shared" si="55"/>
        <v/>
      </c>
      <c r="DC22" s="624" t="str">
        <f t="shared" si="56"/>
        <v/>
      </c>
      <c r="DD22" s="624" t="str">
        <f t="shared" si="57"/>
        <v/>
      </c>
      <c r="DE22" s="624" t="str">
        <f t="shared" si="58"/>
        <v/>
      </c>
      <c r="DF22" s="624" t="str">
        <f t="shared" si="59"/>
        <v/>
      </c>
      <c r="DG22" s="624" t="str">
        <f t="shared" si="60"/>
        <v/>
      </c>
      <c r="DH22" s="624" t="str">
        <f t="shared" si="61"/>
        <v/>
      </c>
      <c r="DI22" s="624" t="str">
        <f t="shared" si="62"/>
        <v/>
      </c>
      <c r="DJ22" s="624" t="str">
        <f t="shared" si="63"/>
        <v/>
      </c>
      <c r="DK22" s="624" t="str">
        <f t="shared" si="64"/>
        <v/>
      </c>
      <c r="DL22" s="624" t="str">
        <f t="shared" si="65"/>
        <v/>
      </c>
      <c r="DM22" s="624" t="str">
        <f t="shared" si="66"/>
        <v/>
      </c>
      <c r="DN22" s="624" t="str">
        <f t="shared" si="67"/>
        <v/>
      </c>
      <c r="DO22" s="624" t="str">
        <f t="shared" si="68"/>
        <v/>
      </c>
      <c r="DP22" s="624" t="str">
        <f t="shared" si="69"/>
        <v/>
      </c>
      <c r="DQ22" s="624" t="str">
        <f t="shared" si="70"/>
        <v/>
      </c>
      <c r="DR22" s="624" t="str">
        <f t="shared" si="71"/>
        <v/>
      </c>
      <c r="DS22" s="624" t="str">
        <f t="shared" si="72"/>
        <v/>
      </c>
      <c r="DT22" s="624" t="str">
        <f t="shared" si="73"/>
        <v/>
      </c>
      <c r="DU22" s="624" t="str">
        <f t="shared" si="74"/>
        <v/>
      </c>
      <c r="DV22" s="624" t="str">
        <f t="shared" si="75"/>
        <v/>
      </c>
      <c r="DW22" s="624" t="str">
        <f t="shared" si="76"/>
        <v/>
      </c>
      <c r="DX22" s="624" t="str">
        <f t="shared" si="77"/>
        <v/>
      </c>
      <c r="DY22" s="624" t="str">
        <f t="shared" si="78"/>
        <v/>
      </c>
      <c r="DZ22" s="624" t="str">
        <f t="shared" si="79"/>
        <v/>
      </c>
      <c r="EA22" s="624" t="str">
        <f t="shared" si="80"/>
        <v/>
      </c>
      <c r="EB22" s="624" t="str">
        <f t="shared" si="81"/>
        <v/>
      </c>
      <c r="EC22" s="624" t="str">
        <f t="shared" si="82"/>
        <v/>
      </c>
      <c r="ED22" s="624" t="str">
        <f t="shared" si="83"/>
        <v/>
      </c>
      <c r="EE22" s="624" t="str">
        <f t="shared" si="84"/>
        <v/>
      </c>
      <c r="EF22" s="624" t="str">
        <f t="shared" si="85"/>
        <v/>
      </c>
      <c r="EG22" s="624" t="str">
        <f t="shared" si="86"/>
        <v/>
      </c>
      <c r="EH22" s="624" t="str">
        <f t="shared" si="87"/>
        <v/>
      </c>
      <c r="EI22" s="624" t="str">
        <f t="shared" si="88"/>
        <v/>
      </c>
      <c r="EJ22" s="624" t="str">
        <f t="shared" si="89"/>
        <v/>
      </c>
      <c r="EK22" s="624" t="str">
        <f t="shared" si="90"/>
        <v/>
      </c>
      <c r="EL22" s="624" t="str">
        <f t="shared" si="91"/>
        <v/>
      </c>
      <c r="EM22" s="624" t="str">
        <f t="shared" si="92"/>
        <v/>
      </c>
      <c r="EN22" s="624" t="str">
        <f t="shared" si="93"/>
        <v/>
      </c>
      <c r="EO22" s="624" t="str">
        <f t="shared" si="94"/>
        <v/>
      </c>
      <c r="EP22" s="624" t="str">
        <f t="shared" si="95"/>
        <v/>
      </c>
      <c r="EQ22" s="624" t="str">
        <f t="shared" si="96"/>
        <v/>
      </c>
      <c r="ER22" s="624" t="str">
        <f t="shared" si="97"/>
        <v/>
      </c>
      <c r="ES22" s="624" t="str">
        <f t="shared" si="98"/>
        <v/>
      </c>
      <c r="ET22" s="624" t="str">
        <f t="shared" si="99"/>
        <v/>
      </c>
      <c r="EU22" s="624" t="str">
        <f t="shared" si="100"/>
        <v/>
      </c>
      <c r="EV22" s="636" t="str">
        <f t="shared" si="101"/>
        <v/>
      </c>
      <c r="EW22" s="636" t="str">
        <f t="shared" si="102"/>
        <v/>
      </c>
      <c r="EX22" s="636" t="str">
        <f t="shared" si="103"/>
        <v/>
      </c>
      <c r="EY22" s="636" t="str">
        <f t="shared" si="104"/>
        <v/>
      </c>
      <c r="EZ22" s="636" t="str">
        <f t="shared" si="105"/>
        <v/>
      </c>
      <c r="FA22" s="636" t="str">
        <f t="shared" si="106"/>
        <v/>
      </c>
      <c r="FB22" s="636" t="str">
        <f t="shared" si="107"/>
        <v/>
      </c>
      <c r="FC22" s="636" t="str">
        <f t="shared" si="108"/>
        <v/>
      </c>
      <c r="FD22" s="636" t="str">
        <f t="shared" si="109"/>
        <v/>
      </c>
      <c r="FE22" s="636" t="str">
        <f t="shared" si="110"/>
        <v/>
      </c>
      <c r="FF22" s="636" t="str">
        <f t="shared" si="111"/>
        <v/>
      </c>
      <c r="FG22" s="636" t="str">
        <f t="shared" si="112"/>
        <v/>
      </c>
      <c r="FH22" s="636" t="str">
        <f t="shared" si="113"/>
        <v/>
      </c>
      <c r="FI22" s="636" t="str">
        <f t="shared" si="114"/>
        <v/>
      </c>
      <c r="FJ22" s="636" t="str">
        <f t="shared" si="115"/>
        <v/>
      </c>
      <c r="FK22" s="636" t="str">
        <f t="shared" si="116"/>
        <v/>
      </c>
      <c r="FL22" s="636" t="str">
        <f t="shared" si="117"/>
        <v/>
      </c>
      <c r="FM22" s="636" t="str">
        <f t="shared" si="118"/>
        <v/>
      </c>
      <c r="FN22" s="636" t="str">
        <f t="shared" si="119"/>
        <v/>
      </c>
      <c r="FO22" s="636" t="str">
        <f t="shared" si="120"/>
        <v/>
      </c>
      <c r="FP22" s="636" t="str">
        <f t="shared" si="121"/>
        <v/>
      </c>
      <c r="FQ22" s="636" t="str">
        <f t="shared" si="122"/>
        <v/>
      </c>
      <c r="FR22" s="636" t="str">
        <f t="shared" si="123"/>
        <v/>
      </c>
      <c r="FS22" s="636" t="str">
        <f t="shared" si="124"/>
        <v/>
      </c>
      <c r="FT22" s="636" t="str">
        <f t="shared" si="125"/>
        <v/>
      </c>
      <c r="FU22" s="636" t="str">
        <f t="shared" si="126"/>
        <v/>
      </c>
      <c r="FV22" s="636" t="str">
        <f t="shared" si="127"/>
        <v/>
      </c>
      <c r="FW22" s="636" t="str">
        <f t="shared" si="128"/>
        <v/>
      </c>
      <c r="FX22" s="636" t="str">
        <f t="shared" si="129"/>
        <v/>
      </c>
      <c r="FY22" s="636" t="str">
        <f t="shared" si="130"/>
        <v/>
      </c>
      <c r="FZ22" s="636" t="str">
        <f t="shared" si="131"/>
        <v/>
      </c>
      <c r="GA22" s="636" t="str">
        <f t="shared" si="132"/>
        <v/>
      </c>
      <c r="GB22" s="636" t="str">
        <f t="shared" si="133"/>
        <v/>
      </c>
      <c r="GC22" s="636" t="str">
        <f t="shared" si="134"/>
        <v/>
      </c>
      <c r="GD22" s="636" t="str">
        <f t="shared" si="135"/>
        <v/>
      </c>
      <c r="GE22" s="636" t="str">
        <f t="shared" si="136"/>
        <v/>
      </c>
      <c r="GF22" s="636" t="str">
        <f t="shared" si="137"/>
        <v/>
      </c>
      <c r="GG22" s="636" t="str">
        <f t="shared" si="138"/>
        <v/>
      </c>
      <c r="GH22" s="636" t="str">
        <f t="shared" si="139"/>
        <v/>
      </c>
      <c r="GI22" s="636" t="str">
        <f t="shared" si="140"/>
        <v/>
      </c>
      <c r="GJ22" s="636" t="str">
        <f t="shared" si="141"/>
        <v/>
      </c>
      <c r="GK22" s="636" t="str">
        <f t="shared" si="142"/>
        <v/>
      </c>
      <c r="GL22" s="636" t="str">
        <f t="shared" si="143"/>
        <v/>
      </c>
      <c r="GM22" s="636" t="str">
        <f t="shared" si="144"/>
        <v/>
      </c>
      <c r="GN22" s="636" t="str">
        <f t="shared" si="145"/>
        <v/>
      </c>
      <c r="GO22" s="637" t="str">
        <f t="shared" si="146"/>
        <v/>
      </c>
      <c r="GP22" s="637" t="str">
        <f t="shared" si="147"/>
        <v/>
      </c>
      <c r="GQ22" s="637" t="str">
        <f t="shared" si="148"/>
        <v/>
      </c>
      <c r="GR22" s="637" t="str">
        <f t="shared" si="149"/>
        <v/>
      </c>
      <c r="GS22" s="637" t="str">
        <f t="shared" si="150"/>
        <v/>
      </c>
      <c r="GT22" s="624" t="str">
        <f t="shared" si="151"/>
        <v/>
      </c>
      <c r="GU22" s="624" t="str">
        <f t="shared" si="152"/>
        <v/>
      </c>
      <c r="GV22" s="624" t="str">
        <f t="shared" si="153"/>
        <v/>
      </c>
      <c r="GW22" s="624" t="str">
        <f t="shared" si="154"/>
        <v/>
      </c>
      <c r="GX22" s="624" t="str">
        <f t="shared" si="155"/>
        <v/>
      </c>
      <c r="GY22" s="624" t="str">
        <f t="shared" si="156"/>
        <v/>
      </c>
      <c r="GZ22" s="624" t="str">
        <f t="shared" si="157"/>
        <v/>
      </c>
      <c r="HA22" s="624" t="str">
        <f t="shared" si="158"/>
        <v/>
      </c>
      <c r="HB22" s="624" t="str">
        <f t="shared" si="159"/>
        <v/>
      </c>
      <c r="HC22" s="624" t="str">
        <f t="shared" si="160"/>
        <v/>
      </c>
      <c r="HD22" s="624" t="str">
        <f t="shared" si="161"/>
        <v/>
      </c>
      <c r="HE22" s="624" t="str">
        <f t="shared" si="162"/>
        <v/>
      </c>
      <c r="HF22" s="624" t="str">
        <f t="shared" si="163"/>
        <v/>
      </c>
      <c r="HG22" s="624" t="str">
        <f t="shared" si="164"/>
        <v/>
      </c>
      <c r="HH22" s="624" t="str">
        <f t="shared" si="165"/>
        <v/>
      </c>
      <c r="HI22" s="624" t="str">
        <f t="shared" si="166"/>
        <v/>
      </c>
      <c r="HJ22" s="624" t="str">
        <f t="shared" si="167"/>
        <v/>
      </c>
      <c r="HK22" s="624" t="str">
        <f t="shared" si="168"/>
        <v/>
      </c>
      <c r="HL22" s="624" t="str">
        <f t="shared" si="169"/>
        <v/>
      </c>
      <c r="HM22" s="624" t="str">
        <f t="shared" si="170"/>
        <v/>
      </c>
    </row>
    <row r="23" spans="1:221" ht="13.15" customHeight="1">
      <c r="A23" s="130" t="str">
        <f t="shared" si="171"/>
        <v/>
      </c>
      <c r="B23" s="1553" t="s">
        <v>2466</v>
      </c>
      <c r="C23" s="1554"/>
      <c r="D23" s="1555"/>
      <c r="E23" s="1556"/>
      <c r="F23" s="1556"/>
      <c r="G23" s="1556"/>
      <c r="H23" s="1556"/>
      <c r="I23" s="1556"/>
      <c r="J23" s="1557"/>
      <c r="K23" s="205">
        <f t="shared" si="172"/>
        <v>0</v>
      </c>
      <c r="L23" s="205">
        <f t="shared" si="0"/>
        <v>0</v>
      </c>
      <c r="M23" s="1558"/>
      <c r="N23" s="1558"/>
      <c r="O23" s="1558"/>
      <c r="P23" s="559" t="str">
        <f t="shared" si="203"/>
        <v/>
      </c>
      <c r="Q23" s="560" t="str">
        <f>IF(H23="","",P23/($P$6*VLOOKUP(C23,'DCA Underwriting Assumptions'!$J$81:$K$86,2,FALSE)))</f>
        <v/>
      </c>
      <c r="R23" s="667"/>
      <c r="S23" s="560"/>
      <c r="T23" s="1497"/>
      <c r="U23" s="1498"/>
      <c r="V23" s="624" t="str">
        <f t="shared" si="1"/>
        <v/>
      </c>
      <c r="W23" s="624" t="str">
        <f t="shared" si="2"/>
        <v/>
      </c>
      <c r="X23" s="624" t="str">
        <f t="shared" si="3"/>
        <v/>
      </c>
      <c r="Y23" s="624" t="str">
        <f t="shared" si="4"/>
        <v/>
      </c>
      <c r="Z23" s="624" t="str">
        <f t="shared" si="5"/>
        <v/>
      </c>
      <c r="AA23" s="624" t="str">
        <f t="shared" si="6"/>
        <v/>
      </c>
      <c r="AB23" s="624" t="str">
        <f t="shared" si="7"/>
        <v/>
      </c>
      <c r="AC23" s="624" t="str">
        <f t="shared" si="8"/>
        <v/>
      </c>
      <c r="AD23" s="624" t="str">
        <f t="shared" si="9"/>
        <v/>
      </c>
      <c r="AE23" s="624" t="str">
        <f t="shared" si="10"/>
        <v/>
      </c>
      <c r="AF23" s="624" t="str">
        <f t="shared" si="11"/>
        <v/>
      </c>
      <c r="AG23" s="624" t="str">
        <f t="shared" si="12"/>
        <v/>
      </c>
      <c r="AH23" s="624" t="str">
        <f t="shared" si="13"/>
        <v/>
      </c>
      <c r="AI23" s="624" t="str">
        <f t="shared" si="14"/>
        <v/>
      </c>
      <c r="AJ23" s="624" t="str">
        <f t="shared" si="15"/>
        <v/>
      </c>
      <c r="AK23" s="624" t="str">
        <f t="shared" si="16"/>
        <v/>
      </c>
      <c r="AL23" s="624" t="str">
        <f t="shared" si="17"/>
        <v/>
      </c>
      <c r="AM23" s="624" t="str">
        <f t="shared" si="18"/>
        <v/>
      </c>
      <c r="AN23" s="624" t="str">
        <f t="shared" si="19"/>
        <v/>
      </c>
      <c r="AO23" s="624" t="str">
        <f t="shared" si="20"/>
        <v/>
      </c>
      <c r="AP23" s="624" t="str">
        <f t="shared" si="173"/>
        <v/>
      </c>
      <c r="AQ23" s="624" t="str">
        <f t="shared" si="174"/>
        <v/>
      </c>
      <c r="AR23" s="624" t="str">
        <f t="shared" si="175"/>
        <v/>
      </c>
      <c r="AS23" s="624" t="str">
        <f t="shared" si="176"/>
        <v/>
      </c>
      <c r="AT23" s="624" t="str">
        <f t="shared" si="177"/>
        <v/>
      </c>
      <c r="AU23" s="624" t="str">
        <f t="shared" si="178"/>
        <v/>
      </c>
      <c r="AV23" s="624" t="str">
        <f t="shared" si="179"/>
        <v/>
      </c>
      <c r="AW23" s="624" t="str">
        <f t="shared" si="180"/>
        <v/>
      </c>
      <c r="AX23" s="624" t="str">
        <f t="shared" si="181"/>
        <v/>
      </c>
      <c r="AY23" s="624" t="str">
        <f t="shared" si="182"/>
        <v/>
      </c>
      <c r="AZ23" s="624" t="str">
        <f t="shared" si="183"/>
        <v/>
      </c>
      <c r="BA23" s="624" t="str">
        <f t="shared" si="184"/>
        <v/>
      </c>
      <c r="BB23" s="624" t="str">
        <f t="shared" si="185"/>
        <v/>
      </c>
      <c r="BC23" s="624" t="str">
        <f t="shared" si="186"/>
        <v/>
      </c>
      <c r="BD23" s="624" t="str">
        <f t="shared" si="187"/>
        <v/>
      </c>
      <c r="BE23" s="624" t="str">
        <f t="shared" si="188"/>
        <v/>
      </c>
      <c r="BF23" s="624" t="str">
        <f t="shared" si="189"/>
        <v/>
      </c>
      <c r="BG23" s="624" t="str">
        <f t="shared" si="190"/>
        <v/>
      </c>
      <c r="BH23" s="624" t="str">
        <f t="shared" si="191"/>
        <v/>
      </c>
      <c r="BI23" s="624" t="str">
        <f t="shared" si="192"/>
        <v/>
      </c>
      <c r="BJ23" s="624" t="str">
        <f t="shared" si="193"/>
        <v/>
      </c>
      <c r="BK23" s="624" t="str">
        <f t="shared" si="194"/>
        <v/>
      </c>
      <c r="BL23" s="624" t="str">
        <f t="shared" si="195"/>
        <v/>
      </c>
      <c r="BM23" s="624" t="str">
        <f t="shared" si="196"/>
        <v/>
      </c>
      <c r="BN23" s="624" t="str">
        <f t="shared" si="197"/>
        <v/>
      </c>
      <c r="BO23" s="624" t="str">
        <f t="shared" si="198"/>
        <v/>
      </c>
      <c r="BP23" s="624" t="str">
        <f t="shared" si="199"/>
        <v/>
      </c>
      <c r="BQ23" s="624" t="str">
        <f t="shared" si="200"/>
        <v/>
      </c>
      <c r="BR23" s="624" t="str">
        <f t="shared" si="201"/>
        <v/>
      </c>
      <c r="BS23" s="624" t="str">
        <f t="shared" si="202"/>
        <v/>
      </c>
      <c r="BT23" s="624" t="str">
        <f t="shared" si="21"/>
        <v/>
      </c>
      <c r="BU23" s="624" t="str">
        <f t="shared" si="22"/>
        <v/>
      </c>
      <c r="BV23" s="624" t="str">
        <f t="shared" si="23"/>
        <v/>
      </c>
      <c r="BW23" s="624" t="str">
        <f t="shared" si="24"/>
        <v/>
      </c>
      <c r="BX23" s="624" t="str">
        <f t="shared" si="25"/>
        <v/>
      </c>
      <c r="BY23" s="624" t="str">
        <f t="shared" si="26"/>
        <v/>
      </c>
      <c r="BZ23" s="624" t="str">
        <f t="shared" si="27"/>
        <v/>
      </c>
      <c r="CA23" s="624" t="str">
        <f t="shared" si="28"/>
        <v/>
      </c>
      <c r="CB23" s="624" t="str">
        <f t="shared" si="29"/>
        <v/>
      </c>
      <c r="CC23" s="624" t="str">
        <f t="shared" si="30"/>
        <v/>
      </c>
      <c r="CD23" s="624" t="str">
        <f t="shared" si="31"/>
        <v/>
      </c>
      <c r="CE23" s="624" t="str">
        <f t="shared" si="32"/>
        <v/>
      </c>
      <c r="CF23" s="624" t="str">
        <f t="shared" si="33"/>
        <v/>
      </c>
      <c r="CG23" s="624" t="str">
        <f t="shared" si="34"/>
        <v/>
      </c>
      <c r="CH23" s="624" t="str">
        <f t="shared" si="35"/>
        <v/>
      </c>
      <c r="CI23" s="624" t="str">
        <f t="shared" si="36"/>
        <v/>
      </c>
      <c r="CJ23" s="624" t="str">
        <f t="shared" si="37"/>
        <v/>
      </c>
      <c r="CK23" s="624" t="str">
        <f t="shared" si="38"/>
        <v/>
      </c>
      <c r="CL23" s="624" t="str">
        <f t="shared" si="39"/>
        <v/>
      </c>
      <c r="CM23" s="624" t="str">
        <f t="shared" si="40"/>
        <v/>
      </c>
      <c r="CN23" s="624" t="str">
        <f t="shared" si="41"/>
        <v/>
      </c>
      <c r="CO23" s="624" t="str">
        <f t="shared" si="42"/>
        <v/>
      </c>
      <c r="CP23" s="624" t="str">
        <f t="shared" si="43"/>
        <v/>
      </c>
      <c r="CQ23" s="624" t="str">
        <f t="shared" si="44"/>
        <v/>
      </c>
      <c r="CR23" s="624" t="str">
        <f t="shared" si="45"/>
        <v/>
      </c>
      <c r="CS23" s="624" t="str">
        <f t="shared" si="46"/>
        <v/>
      </c>
      <c r="CT23" s="624" t="str">
        <f t="shared" si="47"/>
        <v/>
      </c>
      <c r="CU23" s="624" t="str">
        <f t="shared" si="48"/>
        <v/>
      </c>
      <c r="CV23" s="624" t="str">
        <f t="shared" si="49"/>
        <v/>
      </c>
      <c r="CW23" s="624" t="str">
        <f t="shared" si="50"/>
        <v/>
      </c>
      <c r="CX23" s="624" t="str">
        <f t="shared" si="51"/>
        <v/>
      </c>
      <c r="CY23" s="624" t="str">
        <f t="shared" si="52"/>
        <v/>
      </c>
      <c r="CZ23" s="624" t="str">
        <f t="shared" si="53"/>
        <v/>
      </c>
      <c r="DA23" s="624" t="str">
        <f t="shared" si="54"/>
        <v/>
      </c>
      <c r="DB23" s="624" t="str">
        <f t="shared" si="55"/>
        <v/>
      </c>
      <c r="DC23" s="624" t="str">
        <f t="shared" si="56"/>
        <v/>
      </c>
      <c r="DD23" s="624" t="str">
        <f t="shared" si="57"/>
        <v/>
      </c>
      <c r="DE23" s="624" t="str">
        <f t="shared" si="58"/>
        <v/>
      </c>
      <c r="DF23" s="624" t="str">
        <f t="shared" si="59"/>
        <v/>
      </c>
      <c r="DG23" s="624" t="str">
        <f t="shared" si="60"/>
        <v/>
      </c>
      <c r="DH23" s="624" t="str">
        <f t="shared" si="61"/>
        <v/>
      </c>
      <c r="DI23" s="624" t="str">
        <f t="shared" si="62"/>
        <v/>
      </c>
      <c r="DJ23" s="624" t="str">
        <f t="shared" si="63"/>
        <v/>
      </c>
      <c r="DK23" s="624" t="str">
        <f t="shared" si="64"/>
        <v/>
      </c>
      <c r="DL23" s="624" t="str">
        <f t="shared" si="65"/>
        <v/>
      </c>
      <c r="DM23" s="624" t="str">
        <f t="shared" si="66"/>
        <v/>
      </c>
      <c r="DN23" s="624" t="str">
        <f t="shared" si="67"/>
        <v/>
      </c>
      <c r="DO23" s="624" t="str">
        <f t="shared" si="68"/>
        <v/>
      </c>
      <c r="DP23" s="624" t="str">
        <f t="shared" si="69"/>
        <v/>
      </c>
      <c r="DQ23" s="624" t="str">
        <f t="shared" si="70"/>
        <v/>
      </c>
      <c r="DR23" s="624" t="str">
        <f t="shared" si="71"/>
        <v/>
      </c>
      <c r="DS23" s="624" t="str">
        <f t="shared" si="72"/>
        <v/>
      </c>
      <c r="DT23" s="624" t="str">
        <f t="shared" si="73"/>
        <v/>
      </c>
      <c r="DU23" s="624" t="str">
        <f t="shared" si="74"/>
        <v/>
      </c>
      <c r="DV23" s="624" t="str">
        <f t="shared" si="75"/>
        <v/>
      </c>
      <c r="DW23" s="624" t="str">
        <f t="shared" si="76"/>
        <v/>
      </c>
      <c r="DX23" s="624" t="str">
        <f t="shared" si="77"/>
        <v/>
      </c>
      <c r="DY23" s="624" t="str">
        <f t="shared" si="78"/>
        <v/>
      </c>
      <c r="DZ23" s="624" t="str">
        <f t="shared" si="79"/>
        <v/>
      </c>
      <c r="EA23" s="624" t="str">
        <f t="shared" si="80"/>
        <v/>
      </c>
      <c r="EB23" s="624" t="str">
        <f t="shared" si="81"/>
        <v/>
      </c>
      <c r="EC23" s="624" t="str">
        <f t="shared" si="82"/>
        <v/>
      </c>
      <c r="ED23" s="624" t="str">
        <f t="shared" si="83"/>
        <v/>
      </c>
      <c r="EE23" s="624" t="str">
        <f t="shared" si="84"/>
        <v/>
      </c>
      <c r="EF23" s="624" t="str">
        <f t="shared" si="85"/>
        <v/>
      </c>
      <c r="EG23" s="624" t="str">
        <f t="shared" si="86"/>
        <v/>
      </c>
      <c r="EH23" s="624" t="str">
        <f t="shared" si="87"/>
        <v/>
      </c>
      <c r="EI23" s="624" t="str">
        <f t="shared" si="88"/>
        <v/>
      </c>
      <c r="EJ23" s="624" t="str">
        <f t="shared" si="89"/>
        <v/>
      </c>
      <c r="EK23" s="624" t="str">
        <f t="shared" si="90"/>
        <v/>
      </c>
      <c r="EL23" s="624" t="str">
        <f t="shared" si="91"/>
        <v/>
      </c>
      <c r="EM23" s="624" t="str">
        <f t="shared" si="92"/>
        <v/>
      </c>
      <c r="EN23" s="624" t="str">
        <f t="shared" si="93"/>
        <v/>
      </c>
      <c r="EO23" s="624" t="str">
        <f t="shared" si="94"/>
        <v/>
      </c>
      <c r="EP23" s="624" t="str">
        <f t="shared" si="95"/>
        <v/>
      </c>
      <c r="EQ23" s="624" t="str">
        <f t="shared" si="96"/>
        <v/>
      </c>
      <c r="ER23" s="624" t="str">
        <f t="shared" si="97"/>
        <v/>
      </c>
      <c r="ES23" s="624" t="str">
        <f t="shared" si="98"/>
        <v/>
      </c>
      <c r="ET23" s="624" t="str">
        <f t="shared" si="99"/>
        <v/>
      </c>
      <c r="EU23" s="624" t="str">
        <f t="shared" si="100"/>
        <v/>
      </c>
      <c r="EV23" s="636" t="str">
        <f t="shared" si="101"/>
        <v/>
      </c>
      <c r="EW23" s="636" t="str">
        <f t="shared" si="102"/>
        <v/>
      </c>
      <c r="EX23" s="636" t="str">
        <f t="shared" si="103"/>
        <v/>
      </c>
      <c r="EY23" s="636" t="str">
        <f t="shared" si="104"/>
        <v/>
      </c>
      <c r="EZ23" s="636" t="str">
        <f t="shared" si="105"/>
        <v/>
      </c>
      <c r="FA23" s="636" t="str">
        <f t="shared" si="106"/>
        <v/>
      </c>
      <c r="FB23" s="636" t="str">
        <f t="shared" si="107"/>
        <v/>
      </c>
      <c r="FC23" s="636" t="str">
        <f t="shared" si="108"/>
        <v/>
      </c>
      <c r="FD23" s="636" t="str">
        <f t="shared" si="109"/>
        <v/>
      </c>
      <c r="FE23" s="636" t="str">
        <f t="shared" si="110"/>
        <v/>
      </c>
      <c r="FF23" s="636" t="str">
        <f t="shared" si="111"/>
        <v/>
      </c>
      <c r="FG23" s="636" t="str">
        <f t="shared" si="112"/>
        <v/>
      </c>
      <c r="FH23" s="636" t="str">
        <f t="shared" si="113"/>
        <v/>
      </c>
      <c r="FI23" s="636" t="str">
        <f t="shared" si="114"/>
        <v/>
      </c>
      <c r="FJ23" s="636" t="str">
        <f t="shared" si="115"/>
        <v/>
      </c>
      <c r="FK23" s="636" t="str">
        <f t="shared" si="116"/>
        <v/>
      </c>
      <c r="FL23" s="636" t="str">
        <f t="shared" si="117"/>
        <v/>
      </c>
      <c r="FM23" s="636" t="str">
        <f t="shared" si="118"/>
        <v/>
      </c>
      <c r="FN23" s="636" t="str">
        <f t="shared" si="119"/>
        <v/>
      </c>
      <c r="FO23" s="636" t="str">
        <f t="shared" si="120"/>
        <v/>
      </c>
      <c r="FP23" s="636" t="str">
        <f t="shared" si="121"/>
        <v/>
      </c>
      <c r="FQ23" s="636" t="str">
        <f t="shared" si="122"/>
        <v/>
      </c>
      <c r="FR23" s="636" t="str">
        <f t="shared" si="123"/>
        <v/>
      </c>
      <c r="FS23" s="636" t="str">
        <f t="shared" si="124"/>
        <v/>
      </c>
      <c r="FT23" s="636" t="str">
        <f t="shared" si="125"/>
        <v/>
      </c>
      <c r="FU23" s="636" t="str">
        <f t="shared" si="126"/>
        <v/>
      </c>
      <c r="FV23" s="636" t="str">
        <f t="shared" si="127"/>
        <v/>
      </c>
      <c r="FW23" s="636" t="str">
        <f t="shared" si="128"/>
        <v/>
      </c>
      <c r="FX23" s="636" t="str">
        <f t="shared" si="129"/>
        <v/>
      </c>
      <c r="FY23" s="636" t="str">
        <f t="shared" si="130"/>
        <v/>
      </c>
      <c r="FZ23" s="636" t="str">
        <f t="shared" si="131"/>
        <v/>
      </c>
      <c r="GA23" s="636" t="str">
        <f t="shared" si="132"/>
        <v/>
      </c>
      <c r="GB23" s="636" t="str">
        <f t="shared" si="133"/>
        <v/>
      </c>
      <c r="GC23" s="636" t="str">
        <f t="shared" si="134"/>
        <v/>
      </c>
      <c r="GD23" s="636" t="str">
        <f t="shared" si="135"/>
        <v/>
      </c>
      <c r="GE23" s="636" t="str">
        <f t="shared" si="136"/>
        <v/>
      </c>
      <c r="GF23" s="636" t="str">
        <f t="shared" si="137"/>
        <v/>
      </c>
      <c r="GG23" s="636" t="str">
        <f t="shared" si="138"/>
        <v/>
      </c>
      <c r="GH23" s="636" t="str">
        <f t="shared" si="139"/>
        <v/>
      </c>
      <c r="GI23" s="636" t="str">
        <f t="shared" si="140"/>
        <v/>
      </c>
      <c r="GJ23" s="636" t="str">
        <f t="shared" si="141"/>
        <v/>
      </c>
      <c r="GK23" s="636" t="str">
        <f t="shared" si="142"/>
        <v/>
      </c>
      <c r="GL23" s="636" t="str">
        <f t="shared" si="143"/>
        <v/>
      </c>
      <c r="GM23" s="636" t="str">
        <f t="shared" si="144"/>
        <v/>
      </c>
      <c r="GN23" s="636" t="str">
        <f t="shared" si="145"/>
        <v/>
      </c>
      <c r="GO23" s="637" t="str">
        <f t="shared" si="146"/>
        <v/>
      </c>
      <c r="GP23" s="637" t="str">
        <f t="shared" si="147"/>
        <v/>
      </c>
      <c r="GQ23" s="637" t="str">
        <f t="shared" si="148"/>
        <v/>
      </c>
      <c r="GR23" s="637" t="str">
        <f t="shared" si="149"/>
        <v/>
      </c>
      <c r="GS23" s="637" t="str">
        <f t="shared" si="150"/>
        <v/>
      </c>
      <c r="GT23" s="624" t="str">
        <f t="shared" si="151"/>
        <v/>
      </c>
      <c r="GU23" s="624" t="str">
        <f t="shared" si="152"/>
        <v/>
      </c>
      <c r="GV23" s="624" t="str">
        <f t="shared" si="153"/>
        <v/>
      </c>
      <c r="GW23" s="624" t="str">
        <f t="shared" si="154"/>
        <v/>
      </c>
      <c r="GX23" s="624" t="str">
        <f t="shared" si="155"/>
        <v/>
      </c>
      <c r="GY23" s="624" t="str">
        <f t="shared" si="156"/>
        <v/>
      </c>
      <c r="GZ23" s="624" t="str">
        <f t="shared" si="157"/>
        <v/>
      </c>
      <c r="HA23" s="624" t="str">
        <f t="shared" si="158"/>
        <v/>
      </c>
      <c r="HB23" s="624" t="str">
        <f t="shared" si="159"/>
        <v/>
      </c>
      <c r="HC23" s="624" t="str">
        <f t="shared" si="160"/>
        <v/>
      </c>
      <c r="HD23" s="624" t="str">
        <f t="shared" si="161"/>
        <v/>
      </c>
      <c r="HE23" s="624" t="str">
        <f t="shared" si="162"/>
        <v/>
      </c>
      <c r="HF23" s="624" t="str">
        <f t="shared" si="163"/>
        <v/>
      </c>
      <c r="HG23" s="624" t="str">
        <f t="shared" si="164"/>
        <v/>
      </c>
      <c r="HH23" s="624" t="str">
        <f t="shared" si="165"/>
        <v/>
      </c>
      <c r="HI23" s="624" t="str">
        <f t="shared" si="166"/>
        <v/>
      </c>
      <c r="HJ23" s="624" t="str">
        <f t="shared" si="167"/>
        <v/>
      </c>
      <c r="HK23" s="624" t="str">
        <f t="shared" si="168"/>
        <v/>
      </c>
      <c r="HL23" s="624" t="str">
        <f t="shared" si="169"/>
        <v/>
      </c>
      <c r="HM23" s="624" t="str">
        <f t="shared" si="170"/>
        <v/>
      </c>
    </row>
    <row r="24" spans="1:221" ht="13.15" customHeight="1">
      <c r="A24" s="130" t="str">
        <f t="shared" si="171"/>
        <v/>
      </c>
      <c r="B24" s="1553" t="s">
        <v>2466</v>
      </c>
      <c r="C24" s="1554"/>
      <c r="D24" s="1555"/>
      <c r="E24" s="1556"/>
      <c r="F24" s="1556"/>
      <c r="G24" s="1556"/>
      <c r="H24" s="1556"/>
      <c r="I24" s="1556"/>
      <c r="J24" s="1557"/>
      <c r="K24" s="205">
        <f t="shared" si="172"/>
        <v>0</v>
      </c>
      <c r="L24" s="205">
        <f t="shared" si="0"/>
        <v>0</v>
      </c>
      <c r="M24" s="1558"/>
      <c r="N24" s="1558"/>
      <c r="O24" s="1558"/>
      <c r="P24" s="559" t="str">
        <f t="shared" si="203"/>
        <v/>
      </c>
      <c r="Q24" s="560" t="str">
        <f>IF(H24="","",P24/($P$6*VLOOKUP(C24,'DCA Underwriting Assumptions'!$J$81:$K$86,2,FALSE)))</f>
        <v/>
      </c>
      <c r="R24" s="667"/>
      <c r="S24" s="560"/>
      <c r="T24" s="1497"/>
      <c r="U24" s="1498"/>
      <c r="V24" s="624" t="str">
        <f t="shared" si="1"/>
        <v/>
      </c>
      <c r="W24" s="624" t="str">
        <f t="shared" si="2"/>
        <v/>
      </c>
      <c r="X24" s="624" t="str">
        <f t="shared" si="3"/>
        <v/>
      </c>
      <c r="Y24" s="624" t="str">
        <f t="shared" si="4"/>
        <v/>
      </c>
      <c r="Z24" s="624" t="str">
        <f t="shared" si="5"/>
        <v/>
      </c>
      <c r="AA24" s="624" t="str">
        <f t="shared" si="6"/>
        <v/>
      </c>
      <c r="AB24" s="624" t="str">
        <f t="shared" si="7"/>
        <v/>
      </c>
      <c r="AC24" s="624" t="str">
        <f t="shared" si="8"/>
        <v/>
      </c>
      <c r="AD24" s="624" t="str">
        <f t="shared" si="9"/>
        <v/>
      </c>
      <c r="AE24" s="624" t="str">
        <f t="shared" si="10"/>
        <v/>
      </c>
      <c r="AF24" s="624" t="str">
        <f t="shared" si="11"/>
        <v/>
      </c>
      <c r="AG24" s="624" t="str">
        <f t="shared" si="12"/>
        <v/>
      </c>
      <c r="AH24" s="624" t="str">
        <f t="shared" si="13"/>
        <v/>
      </c>
      <c r="AI24" s="624" t="str">
        <f t="shared" si="14"/>
        <v/>
      </c>
      <c r="AJ24" s="624" t="str">
        <f t="shared" si="15"/>
        <v/>
      </c>
      <c r="AK24" s="624" t="str">
        <f t="shared" si="16"/>
        <v/>
      </c>
      <c r="AL24" s="624" t="str">
        <f t="shared" si="17"/>
        <v/>
      </c>
      <c r="AM24" s="624" t="str">
        <f t="shared" si="18"/>
        <v/>
      </c>
      <c r="AN24" s="624" t="str">
        <f t="shared" si="19"/>
        <v/>
      </c>
      <c r="AO24" s="624" t="str">
        <f t="shared" si="20"/>
        <v/>
      </c>
      <c r="AP24" s="624" t="str">
        <f t="shared" si="173"/>
        <v/>
      </c>
      <c r="AQ24" s="624" t="str">
        <f t="shared" si="174"/>
        <v/>
      </c>
      <c r="AR24" s="624" t="str">
        <f t="shared" si="175"/>
        <v/>
      </c>
      <c r="AS24" s="624" t="str">
        <f t="shared" si="176"/>
        <v/>
      </c>
      <c r="AT24" s="624" t="str">
        <f t="shared" si="177"/>
        <v/>
      </c>
      <c r="AU24" s="624" t="str">
        <f t="shared" si="178"/>
        <v/>
      </c>
      <c r="AV24" s="624" t="str">
        <f t="shared" si="179"/>
        <v/>
      </c>
      <c r="AW24" s="624" t="str">
        <f t="shared" si="180"/>
        <v/>
      </c>
      <c r="AX24" s="624" t="str">
        <f t="shared" si="181"/>
        <v/>
      </c>
      <c r="AY24" s="624" t="str">
        <f t="shared" si="182"/>
        <v/>
      </c>
      <c r="AZ24" s="624" t="str">
        <f t="shared" si="183"/>
        <v/>
      </c>
      <c r="BA24" s="624" t="str">
        <f t="shared" si="184"/>
        <v/>
      </c>
      <c r="BB24" s="624" t="str">
        <f t="shared" si="185"/>
        <v/>
      </c>
      <c r="BC24" s="624" t="str">
        <f t="shared" si="186"/>
        <v/>
      </c>
      <c r="BD24" s="624" t="str">
        <f t="shared" si="187"/>
        <v/>
      </c>
      <c r="BE24" s="624" t="str">
        <f t="shared" si="188"/>
        <v/>
      </c>
      <c r="BF24" s="624" t="str">
        <f t="shared" si="189"/>
        <v/>
      </c>
      <c r="BG24" s="624" t="str">
        <f t="shared" si="190"/>
        <v/>
      </c>
      <c r="BH24" s="624" t="str">
        <f t="shared" si="191"/>
        <v/>
      </c>
      <c r="BI24" s="624" t="str">
        <f t="shared" si="192"/>
        <v/>
      </c>
      <c r="BJ24" s="624" t="str">
        <f t="shared" si="193"/>
        <v/>
      </c>
      <c r="BK24" s="624" t="str">
        <f t="shared" si="194"/>
        <v/>
      </c>
      <c r="BL24" s="624" t="str">
        <f t="shared" si="195"/>
        <v/>
      </c>
      <c r="BM24" s="624" t="str">
        <f t="shared" si="196"/>
        <v/>
      </c>
      <c r="BN24" s="624" t="str">
        <f t="shared" si="197"/>
        <v/>
      </c>
      <c r="BO24" s="624" t="str">
        <f t="shared" si="198"/>
        <v/>
      </c>
      <c r="BP24" s="624" t="str">
        <f t="shared" si="199"/>
        <v/>
      </c>
      <c r="BQ24" s="624" t="str">
        <f t="shared" si="200"/>
        <v/>
      </c>
      <c r="BR24" s="624" t="str">
        <f t="shared" si="201"/>
        <v/>
      </c>
      <c r="BS24" s="624" t="str">
        <f t="shared" si="202"/>
        <v/>
      </c>
      <c r="BT24" s="624" t="str">
        <f t="shared" si="21"/>
        <v/>
      </c>
      <c r="BU24" s="624" t="str">
        <f t="shared" si="22"/>
        <v/>
      </c>
      <c r="BV24" s="624" t="str">
        <f t="shared" si="23"/>
        <v/>
      </c>
      <c r="BW24" s="624" t="str">
        <f t="shared" si="24"/>
        <v/>
      </c>
      <c r="BX24" s="624" t="str">
        <f t="shared" si="25"/>
        <v/>
      </c>
      <c r="BY24" s="624" t="str">
        <f t="shared" si="26"/>
        <v/>
      </c>
      <c r="BZ24" s="624" t="str">
        <f t="shared" si="27"/>
        <v/>
      </c>
      <c r="CA24" s="624" t="str">
        <f t="shared" si="28"/>
        <v/>
      </c>
      <c r="CB24" s="624" t="str">
        <f t="shared" si="29"/>
        <v/>
      </c>
      <c r="CC24" s="624" t="str">
        <f t="shared" si="30"/>
        <v/>
      </c>
      <c r="CD24" s="624" t="str">
        <f t="shared" si="31"/>
        <v/>
      </c>
      <c r="CE24" s="624" t="str">
        <f t="shared" si="32"/>
        <v/>
      </c>
      <c r="CF24" s="624" t="str">
        <f t="shared" si="33"/>
        <v/>
      </c>
      <c r="CG24" s="624" t="str">
        <f t="shared" si="34"/>
        <v/>
      </c>
      <c r="CH24" s="624" t="str">
        <f t="shared" si="35"/>
        <v/>
      </c>
      <c r="CI24" s="624" t="str">
        <f t="shared" si="36"/>
        <v/>
      </c>
      <c r="CJ24" s="624" t="str">
        <f t="shared" si="37"/>
        <v/>
      </c>
      <c r="CK24" s="624" t="str">
        <f t="shared" si="38"/>
        <v/>
      </c>
      <c r="CL24" s="624" t="str">
        <f t="shared" si="39"/>
        <v/>
      </c>
      <c r="CM24" s="624" t="str">
        <f t="shared" si="40"/>
        <v/>
      </c>
      <c r="CN24" s="624" t="str">
        <f t="shared" si="41"/>
        <v/>
      </c>
      <c r="CO24" s="624" t="str">
        <f t="shared" si="42"/>
        <v/>
      </c>
      <c r="CP24" s="624" t="str">
        <f t="shared" si="43"/>
        <v/>
      </c>
      <c r="CQ24" s="624" t="str">
        <f t="shared" si="44"/>
        <v/>
      </c>
      <c r="CR24" s="624" t="str">
        <f t="shared" si="45"/>
        <v/>
      </c>
      <c r="CS24" s="624" t="str">
        <f t="shared" si="46"/>
        <v/>
      </c>
      <c r="CT24" s="624" t="str">
        <f t="shared" si="47"/>
        <v/>
      </c>
      <c r="CU24" s="624" t="str">
        <f t="shared" si="48"/>
        <v/>
      </c>
      <c r="CV24" s="624" t="str">
        <f t="shared" si="49"/>
        <v/>
      </c>
      <c r="CW24" s="624" t="str">
        <f t="shared" si="50"/>
        <v/>
      </c>
      <c r="CX24" s="624" t="str">
        <f t="shared" si="51"/>
        <v/>
      </c>
      <c r="CY24" s="624" t="str">
        <f t="shared" si="52"/>
        <v/>
      </c>
      <c r="CZ24" s="624" t="str">
        <f t="shared" si="53"/>
        <v/>
      </c>
      <c r="DA24" s="624" t="str">
        <f t="shared" si="54"/>
        <v/>
      </c>
      <c r="DB24" s="624" t="str">
        <f t="shared" si="55"/>
        <v/>
      </c>
      <c r="DC24" s="624" t="str">
        <f t="shared" si="56"/>
        <v/>
      </c>
      <c r="DD24" s="624" t="str">
        <f t="shared" si="57"/>
        <v/>
      </c>
      <c r="DE24" s="624" t="str">
        <f t="shared" si="58"/>
        <v/>
      </c>
      <c r="DF24" s="624" t="str">
        <f t="shared" si="59"/>
        <v/>
      </c>
      <c r="DG24" s="624" t="str">
        <f t="shared" si="60"/>
        <v/>
      </c>
      <c r="DH24" s="624" t="str">
        <f t="shared" si="61"/>
        <v/>
      </c>
      <c r="DI24" s="624" t="str">
        <f t="shared" si="62"/>
        <v/>
      </c>
      <c r="DJ24" s="624" t="str">
        <f t="shared" si="63"/>
        <v/>
      </c>
      <c r="DK24" s="624" t="str">
        <f t="shared" si="64"/>
        <v/>
      </c>
      <c r="DL24" s="624" t="str">
        <f t="shared" si="65"/>
        <v/>
      </c>
      <c r="DM24" s="624" t="str">
        <f t="shared" si="66"/>
        <v/>
      </c>
      <c r="DN24" s="624" t="str">
        <f t="shared" si="67"/>
        <v/>
      </c>
      <c r="DO24" s="624" t="str">
        <f t="shared" si="68"/>
        <v/>
      </c>
      <c r="DP24" s="624" t="str">
        <f t="shared" si="69"/>
        <v/>
      </c>
      <c r="DQ24" s="624" t="str">
        <f t="shared" si="70"/>
        <v/>
      </c>
      <c r="DR24" s="624" t="str">
        <f t="shared" si="71"/>
        <v/>
      </c>
      <c r="DS24" s="624" t="str">
        <f t="shared" si="72"/>
        <v/>
      </c>
      <c r="DT24" s="624" t="str">
        <f t="shared" si="73"/>
        <v/>
      </c>
      <c r="DU24" s="624" t="str">
        <f t="shared" si="74"/>
        <v/>
      </c>
      <c r="DV24" s="624" t="str">
        <f t="shared" si="75"/>
        <v/>
      </c>
      <c r="DW24" s="624" t="str">
        <f t="shared" si="76"/>
        <v/>
      </c>
      <c r="DX24" s="624" t="str">
        <f t="shared" si="77"/>
        <v/>
      </c>
      <c r="DY24" s="624" t="str">
        <f t="shared" si="78"/>
        <v/>
      </c>
      <c r="DZ24" s="624" t="str">
        <f t="shared" si="79"/>
        <v/>
      </c>
      <c r="EA24" s="624" t="str">
        <f t="shared" si="80"/>
        <v/>
      </c>
      <c r="EB24" s="624" t="str">
        <f t="shared" si="81"/>
        <v/>
      </c>
      <c r="EC24" s="624" t="str">
        <f t="shared" si="82"/>
        <v/>
      </c>
      <c r="ED24" s="624" t="str">
        <f t="shared" si="83"/>
        <v/>
      </c>
      <c r="EE24" s="624" t="str">
        <f t="shared" si="84"/>
        <v/>
      </c>
      <c r="EF24" s="624" t="str">
        <f t="shared" si="85"/>
        <v/>
      </c>
      <c r="EG24" s="624" t="str">
        <f t="shared" si="86"/>
        <v/>
      </c>
      <c r="EH24" s="624" t="str">
        <f t="shared" si="87"/>
        <v/>
      </c>
      <c r="EI24" s="624" t="str">
        <f t="shared" si="88"/>
        <v/>
      </c>
      <c r="EJ24" s="624" t="str">
        <f t="shared" si="89"/>
        <v/>
      </c>
      <c r="EK24" s="624" t="str">
        <f t="shared" si="90"/>
        <v/>
      </c>
      <c r="EL24" s="624" t="str">
        <f t="shared" si="91"/>
        <v/>
      </c>
      <c r="EM24" s="624" t="str">
        <f t="shared" si="92"/>
        <v/>
      </c>
      <c r="EN24" s="624" t="str">
        <f t="shared" si="93"/>
        <v/>
      </c>
      <c r="EO24" s="624" t="str">
        <f t="shared" si="94"/>
        <v/>
      </c>
      <c r="EP24" s="624" t="str">
        <f t="shared" si="95"/>
        <v/>
      </c>
      <c r="EQ24" s="624" t="str">
        <f t="shared" si="96"/>
        <v/>
      </c>
      <c r="ER24" s="624" t="str">
        <f t="shared" si="97"/>
        <v/>
      </c>
      <c r="ES24" s="624" t="str">
        <f t="shared" si="98"/>
        <v/>
      </c>
      <c r="ET24" s="624" t="str">
        <f t="shared" si="99"/>
        <v/>
      </c>
      <c r="EU24" s="624" t="str">
        <f t="shared" si="100"/>
        <v/>
      </c>
      <c r="EV24" s="636" t="str">
        <f t="shared" si="101"/>
        <v/>
      </c>
      <c r="EW24" s="636" t="str">
        <f t="shared" si="102"/>
        <v/>
      </c>
      <c r="EX24" s="636" t="str">
        <f t="shared" si="103"/>
        <v/>
      </c>
      <c r="EY24" s="636" t="str">
        <f t="shared" si="104"/>
        <v/>
      </c>
      <c r="EZ24" s="636" t="str">
        <f t="shared" si="105"/>
        <v/>
      </c>
      <c r="FA24" s="636" t="str">
        <f t="shared" si="106"/>
        <v/>
      </c>
      <c r="FB24" s="636" t="str">
        <f t="shared" si="107"/>
        <v/>
      </c>
      <c r="FC24" s="636" t="str">
        <f t="shared" si="108"/>
        <v/>
      </c>
      <c r="FD24" s="636" t="str">
        <f t="shared" si="109"/>
        <v/>
      </c>
      <c r="FE24" s="636" t="str">
        <f t="shared" si="110"/>
        <v/>
      </c>
      <c r="FF24" s="636" t="str">
        <f t="shared" si="111"/>
        <v/>
      </c>
      <c r="FG24" s="636" t="str">
        <f t="shared" si="112"/>
        <v/>
      </c>
      <c r="FH24" s="636" t="str">
        <f t="shared" si="113"/>
        <v/>
      </c>
      <c r="FI24" s="636" t="str">
        <f t="shared" si="114"/>
        <v/>
      </c>
      <c r="FJ24" s="636" t="str">
        <f t="shared" si="115"/>
        <v/>
      </c>
      <c r="FK24" s="636" t="str">
        <f t="shared" si="116"/>
        <v/>
      </c>
      <c r="FL24" s="636" t="str">
        <f t="shared" si="117"/>
        <v/>
      </c>
      <c r="FM24" s="636" t="str">
        <f t="shared" si="118"/>
        <v/>
      </c>
      <c r="FN24" s="636" t="str">
        <f t="shared" si="119"/>
        <v/>
      </c>
      <c r="FO24" s="636" t="str">
        <f t="shared" si="120"/>
        <v/>
      </c>
      <c r="FP24" s="636" t="str">
        <f t="shared" si="121"/>
        <v/>
      </c>
      <c r="FQ24" s="636" t="str">
        <f t="shared" si="122"/>
        <v/>
      </c>
      <c r="FR24" s="636" t="str">
        <f t="shared" si="123"/>
        <v/>
      </c>
      <c r="FS24" s="636" t="str">
        <f t="shared" si="124"/>
        <v/>
      </c>
      <c r="FT24" s="636" t="str">
        <f t="shared" si="125"/>
        <v/>
      </c>
      <c r="FU24" s="636" t="str">
        <f t="shared" si="126"/>
        <v/>
      </c>
      <c r="FV24" s="636" t="str">
        <f t="shared" si="127"/>
        <v/>
      </c>
      <c r="FW24" s="636" t="str">
        <f t="shared" si="128"/>
        <v/>
      </c>
      <c r="FX24" s="636" t="str">
        <f t="shared" si="129"/>
        <v/>
      </c>
      <c r="FY24" s="636" t="str">
        <f t="shared" si="130"/>
        <v/>
      </c>
      <c r="FZ24" s="636" t="str">
        <f t="shared" si="131"/>
        <v/>
      </c>
      <c r="GA24" s="636" t="str">
        <f t="shared" si="132"/>
        <v/>
      </c>
      <c r="GB24" s="636" t="str">
        <f t="shared" si="133"/>
        <v/>
      </c>
      <c r="GC24" s="636" t="str">
        <f t="shared" si="134"/>
        <v/>
      </c>
      <c r="GD24" s="636" t="str">
        <f t="shared" si="135"/>
        <v/>
      </c>
      <c r="GE24" s="636" t="str">
        <f t="shared" si="136"/>
        <v/>
      </c>
      <c r="GF24" s="636" t="str">
        <f t="shared" si="137"/>
        <v/>
      </c>
      <c r="GG24" s="636" t="str">
        <f t="shared" si="138"/>
        <v/>
      </c>
      <c r="GH24" s="636" t="str">
        <f t="shared" si="139"/>
        <v/>
      </c>
      <c r="GI24" s="636" t="str">
        <f t="shared" si="140"/>
        <v/>
      </c>
      <c r="GJ24" s="636" t="str">
        <f t="shared" si="141"/>
        <v/>
      </c>
      <c r="GK24" s="636" t="str">
        <f t="shared" si="142"/>
        <v/>
      </c>
      <c r="GL24" s="636" t="str">
        <f t="shared" si="143"/>
        <v/>
      </c>
      <c r="GM24" s="636" t="str">
        <f t="shared" si="144"/>
        <v/>
      </c>
      <c r="GN24" s="636" t="str">
        <f t="shared" si="145"/>
        <v/>
      </c>
      <c r="GO24" s="637" t="str">
        <f t="shared" si="146"/>
        <v/>
      </c>
      <c r="GP24" s="637" t="str">
        <f t="shared" si="147"/>
        <v/>
      </c>
      <c r="GQ24" s="637" t="str">
        <f t="shared" si="148"/>
        <v/>
      </c>
      <c r="GR24" s="637" t="str">
        <f t="shared" si="149"/>
        <v/>
      </c>
      <c r="GS24" s="637" t="str">
        <f t="shared" si="150"/>
        <v/>
      </c>
      <c r="GT24" s="624" t="str">
        <f t="shared" si="151"/>
        <v/>
      </c>
      <c r="GU24" s="624" t="str">
        <f t="shared" si="152"/>
        <v/>
      </c>
      <c r="GV24" s="624" t="str">
        <f t="shared" si="153"/>
        <v/>
      </c>
      <c r="GW24" s="624" t="str">
        <f t="shared" si="154"/>
        <v/>
      </c>
      <c r="GX24" s="624" t="str">
        <f t="shared" si="155"/>
        <v/>
      </c>
      <c r="GY24" s="624" t="str">
        <f t="shared" si="156"/>
        <v/>
      </c>
      <c r="GZ24" s="624" t="str">
        <f t="shared" si="157"/>
        <v/>
      </c>
      <c r="HA24" s="624" t="str">
        <f t="shared" si="158"/>
        <v/>
      </c>
      <c r="HB24" s="624" t="str">
        <f t="shared" si="159"/>
        <v/>
      </c>
      <c r="HC24" s="624" t="str">
        <f t="shared" si="160"/>
        <v/>
      </c>
      <c r="HD24" s="624" t="str">
        <f t="shared" si="161"/>
        <v/>
      </c>
      <c r="HE24" s="624" t="str">
        <f t="shared" si="162"/>
        <v/>
      </c>
      <c r="HF24" s="624" t="str">
        <f t="shared" si="163"/>
        <v/>
      </c>
      <c r="HG24" s="624" t="str">
        <f t="shared" si="164"/>
        <v/>
      </c>
      <c r="HH24" s="624" t="str">
        <f t="shared" si="165"/>
        <v/>
      </c>
      <c r="HI24" s="624" t="str">
        <f t="shared" si="166"/>
        <v/>
      </c>
      <c r="HJ24" s="624" t="str">
        <f t="shared" si="167"/>
        <v/>
      </c>
      <c r="HK24" s="624" t="str">
        <f t="shared" si="168"/>
        <v/>
      </c>
      <c r="HL24" s="624" t="str">
        <f t="shared" si="169"/>
        <v/>
      </c>
      <c r="HM24" s="624" t="str">
        <f t="shared" si="170"/>
        <v/>
      </c>
    </row>
    <row r="25" spans="1:221" ht="13.15" customHeight="1">
      <c r="A25" s="130" t="str">
        <f t="shared" si="171"/>
        <v/>
      </c>
      <c r="B25" s="1553" t="s">
        <v>2466</v>
      </c>
      <c r="C25" s="1554"/>
      <c r="D25" s="1555"/>
      <c r="E25" s="1556"/>
      <c r="F25" s="1556"/>
      <c r="G25" s="1556"/>
      <c r="H25" s="1556"/>
      <c r="I25" s="1556"/>
      <c r="J25" s="1557"/>
      <c r="K25" s="205">
        <f t="shared" si="172"/>
        <v>0</v>
      </c>
      <c r="L25" s="205">
        <f t="shared" si="0"/>
        <v>0</v>
      </c>
      <c r="M25" s="1558"/>
      <c r="N25" s="1558"/>
      <c r="O25" s="1558"/>
      <c r="P25" s="559" t="str">
        <f t="shared" si="203"/>
        <v/>
      </c>
      <c r="Q25" s="560" t="str">
        <f>IF(H25="","",P25/($P$6*VLOOKUP(C25,'DCA Underwriting Assumptions'!$J$81:$K$86,2,FALSE)))</f>
        <v/>
      </c>
      <c r="R25" s="667"/>
      <c r="S25" s="560"/>
      <c r="T25" s="1497"/>
      <c r="U25" s="1498"/>
      <c r="V25" s="624" t="str">
        <f t="shared" si="1"/>
        <v/>
      </c>
      <c r="W25" s="624" t="str">
        <f t="shared" si="2"/>
        <v/>
      </c>
      <c r="X25" s="624" t="str">
        <f t="shared" si="3"/>
        <v/>
      </c>
      <c r="Y25" s="624" t="str">
        <f t="shared" si="4"/>
        <v/>
      </c>
      <c r="Z25" s="624" t="str">
        <f t="shared" si="5"/>
        <v/>
      </c>
      <c r="AA25" s="624" t="str">
        <f t="shared" si="6"/>
        <v/>
      </c>
      <c r="AB25" s="624" t="str">
        <f t="shared" si="7"/>
        <v/>
      </c>
      <c r="AC25" s="624" t="str">
        <f t="shared" si="8"/>
        <v/>
      </c>
      <c r="AD25" s="624" t="str">
        <f t="shared" si="9"/>
        <v/>
      </c>
      <c r="AE25" s="624" t="str">
        <f t="shared" si="10"/>
        <v/>
      </c>
      <c r="AF25" s="624" t="str">
        <f t="shared" si="11"/>
        <v/>
      </c>
      <c r="AG25" s="624" t="str">
        <f t="shared" si="12"/>
        <v/>
      </c>
      <c r="AH25" s="624" t="str">
        <f t="shared" si="13"/>
        <v/>
      </c>
      <c r="AI25" s="624" t="str">
        <f t="shared" si="14"/>
        <v/>
      </c>
      <c r="AJ25" s="624" t="str">
        <f t="shared" si="15"/>
        <v/>
      </c>
      <c r="AK25" s="624" t="str">
        <f t="shared" si="16"/>
        <v/>
      </c>
      <c r="AL25" s="624" t="str">
        <f t="shared" si="17"/>
        <v/>
      </c>
      <c r="AM25" s="624" t="str">
        <f t="shared" si="18"/>
        <v/>
      </c>
      <c r="AN25" s="624" t="str">
        <f t="shared" si="19"/>
        <v/>
      </c>
      <c r="AO25" s="624" t="str">
        <f t="shared" si="20"/>
        <v/>
      </c>
      <c r="AP25" s="624" t="str">
        <f t="shared" si="173"/>
        <v/>
      </c>
      <c r="AQ25" s="624" t="str">
        <f t="shared" si="174"/>
        <v/>
      </c>
      <c r="AR25" s="624" t="str">
        <f t="shared" si="175"/>
        <v/>
      </c>
      <c r="AS25" s="624" t="str">
        <f t="shared" si="176"/>
        <v/>
      </c>
      <c r="AT25" s="624" t="str">
        <f t="shared" si="177"/>
        <v/>
      </c>
      <c r="AU25" s="624" t="str">
        <f t="shared" si="178"/>
        <v/>
      </c>
      <c r="AV25" s="624" t="str">
        <f t="shared" si="179"/>
        <v/>
      </c>
      <c r="AW25" s="624" t="str">
        <f t="shared" si="180"/>
        <v/>
      </c>
      <c r="AX25" s="624" t="str">
        <f t="shared" si="181"/>
        <v/>
      </c>
      <c r="AY25" s="624" t="str">
        <f t="shared" si="182"/>
        <v/>
      </c>
      <c r="AZ25" s="624" t="str">
        <f t="shared" si="183"/>
        <v/>
      </c>
      <c r="BA25" s="624" t="str">
        <f t="shared" si="184"/>
        <v/>
      </c>
      <c r="BB25" s="624" t="str">
        <f t="shared" si="185"/>
        <v/>
      </c>
      <c r="BC25" s="624" t="str">
        <f t="shared" si="186"/>
        <v/>
      </c>
      <c r="BD25" s="624" t="str">
        <f t="shared" si="187"/>
        <v/>
      </c>
      <c r="BE25" s="624" t="str">
        <f t="shared" si="188"/>
        <v/>
      </c>
      <c r="BF25" s="624" t="str">
        <f t="shared" si="189"/>
        <v/>
      </c>
      <c r="BG25" s="624" t="str">
        <f t="shared" si="190"/>
        <v/>
      </c>
      <c r="BH25" s="624" t="str">
        <f t="shared" si="191"/>
        <v/>
      </c>
      <c r="BI25" s="624" t="str">
        <f t="shared" si="192"/>
        <v/>
      </c>
      <c r="BJ25" s="624" t="str">
        <f t="shared" si="193"/>
        <v/>
      </c>
      <c r="BK25" s="624" t="str">
        <f t="shared" si="194"/>
        <v/>
      </c>
      <c r="BL25" s="624" t="str">
        <f t="shared" si="195"/>
        <v/>
      </c>
      <c r="BM25" s="624" t="str">
        <f t="shared" si="196"/>
        <v/>
      </c>
      <c r="BN25" s="624" t="str">
        <f t="shared" si="197"/>
        <v/>
      </c>
      <c r="BO25" s="624" t="str">
        <f t="shared" si="198"/>
        <v/>
      </c>
      <c r="BP25" s="624" t="str">
        <f t="shared" si="199"/>
        <v/>
      </c>
      <c r="BQ25" s="624" t="str">
        <f t="shared" si="200"/>
        <v/>
      </c>
      <c r="BR25" s="624" t="str">
        <f t="shared" si="201"/>
        <v/>
      </c>
      <c r="BS25" s="624" t="str">
        <f t="shared" si="202"/>
        <v/>
      </c>
      <c r="BT25" s="624" t="str">
        <f t="shared" si="21"/>
        <v/>
      </c>
      <c r="BU25" s="624" t="str">
        <f t="shared" si="22"/>
        <v/>
      </c>
      <c r="BV25" s="624" t="str">
        <f t="shared" si="23"/>
        <v/>
      </c>
      <c r="BW25" s="624" t="str">
        <f t="shared" si="24"/>
        <v/>
      </c>
      <c r="BX25" s="624" t="str">
        <f t="shared" si="25"/>
        <v/>
      </c>
      <c r="BY25" s="624" t="str">
        <f t="shared" si="26"/>
        <v/>
      </c>
      <c r="BZ25" s="624" t="str">
        <f t="shared" si="27"/>
        <v/>
      </c>
      <c r="CA25" s="624" t="str">
        <f t="shared" si="28"/>
        <v/>
      </c>
      <c r="CB25" s="624" t="str">
        <f t="shared" si="29"/>
        <v/>
      </c>
      <c r="CC25" s="624" t="str">
        <f t="shared" si="30"/>
        <v/>
      </c>
      <c r="CD25" s="624" t="str">
        <f t="shared" si="31"/>
        <v/>
      </c>
      <c r="CE25" s="624" t="str">
        <f t="shared" si="32"/>
        <v/>
      </c>
      <c r="CF25" s="624" t="str">
        <f t="shared" si="33"/>
        <v/>
      </c>
      <c r="CG25" s="624" t="str">
        <f t="shared" si="34"/>
        <v/>
      </c>
      <c r="CH25" s="624" t="str">
        <f t="shared" si="35"/>
        <v/>
      </c>
      <c r="CI25" s="624" t="str">
        <f t="shared" si="36"/>
        <v/>
      </c>
      <c r="CJ25" s="624" t="str">
        <f t="shared" si="37"/>
        <v/>
      </c>
      <c r="CK25" s="624" t="str">
        <f t="shared" si="38"/>
        <v/>
      </c>
      <c r="CL25" s="624" t="str">
        <f t="shared" si="39"/>
        <v/>
      </c>
      <c r="CM25" s="624" t="str">
        <f t="shared" si="40"/>
        <v/>
      </c>
      <c r="CN25" s="624" t="str">
        <f t="shared" si="41"/>
        <v/>
      </c>
      <c r="CO25" s="624" t="str">
        <f t="shared" si="42"/>
        <v/>
      </c>
      <c r="CP25" s="624" t="str">
        <f t="shared" si="43"/>
        <v/>
      </c>
      <c r="CQ25" s="624" t="str">
        <f t="shared" si="44"/>
        <v/>
      </c>
      <c r="CR25" s="624" t="str">
        <f t="shared" si="45"/>
        <v/>
      </c>
      <c r="CS25" s="624" t="str">
        <f t="shared" si="46"/>
        <v/>
      </c>
      <c r="CT25" s="624" t="str">
        <f t="shared" si="47"/>
        <v/>
      </c>
      <c r="CU25" s="624" t="str">
        <f t="shared" si="48"/>
        <v/>
      </c>
      <c r="CV25" s="624" t="str">
        <f t="shared" si="49"/>
        <v/>
      </c>
      <c r="CW25" s="624" t="str">
        <f t="shared" si="50"/>
        <v/>
      </c>
      <c r="CX25" s="624" t="str">
        <f t="shared" si="51"/>
        <v/>
      </c>
      <c r="CY25" s="624" t="str">
        <f t="shared" si="52"/>
        <v/>
      </c>
      <c r="CZ25" s="624" t="str">
        <f t="shared" si="53"/>
        <v/>
      </c>
      <c r="DA25" s="624" t="str">
        <f t="shared" si="54"/>
        <v/>
      </c>
      <c r="DB25" s="624" t="str">
        <f t="shared" si="55"/>
        <v/>
      </c>
      <c r="DC25" s="624" t="str">
        <f t="shared" si="56"/>
        <v/>
      </c>
      <c r="DD25" s="624" t="str">
        <f t="shared" si="57"/>
        <v/>
      </c>
      <c r="DE25" s="624" t="str">
        <f t="shared" si="58"/>
        <v/>
      </c>
      <c r="DF25" s="624" t="str">
        <f t="shared" si="59"/>
        <v/>
      </c>
      <c r="DG25" s="624" t="str">
        <f t="shared" si="60"/>
        <v/>
      </c>
      <c r="DH25" s="624" t="str">
        <f t="shared" si="61"/>
        <v/>
      </c>
      <c r="DI25" s="624" t="str">
        <f t="shared" si="62"/>
        <v/>
      </c>
      <c r="DJ25" s="624" t="str">
        <f t="shared" si="63"/>
        <v/>
      </c>
      <c r="DK25" s="624" t="str">
        <f t="shared" si="64"/>
        <v/>
      </c>
      <c r="DL25" s="624" t="str">
        <f t="shared" si="65"/>
        <v/>
      </c>
      <c r="DM25" s="624" t="str">
        <f t="shared" si="66"/>
        <v/>
      </c>
      <c r="DN25" s="624" t="str">
        <f t="shared" si="67"/>
        <v/>
      </c>
      <c r="DO25" s="624" t="str">
        <f t="shared" si="68"/>
        <v/>
      </c>
      <c r="DP25" s="624" t="str">
        <f t="shared" si="69"/>
        <v/>
      </c>
      <c r="DQ25" s="624" t="str">
        <f t="shared" si="70"/>
        <v/>
      </c>
      <c r="DR25" s="624" t="str">
        <f t="shared" si="71"/>
        <v/>
      </c>
      <c r="DS25" s="624" t="str">
        <f t="shared" si="72"/>
        <v/>
      </c>
      <c r="DT25" s="624" t="str">
        <f t="shared" si="73"/>
        <v/>
      </c>
      <c r="DU25" s="624" t="str">
        <f t="shared" si="74"/>
        <v/>
      </c>
      <c r="DV25" s="624" t="str">
        <f t="shared" si="75"/>
        <v/>
      </c>
      <c r="DW25" s="624" t="str">
        <f t="shared" si="76"/>
        <v/>
      </c>
      <c r="DX25" s="624" t="str">
        <f t="shared" si="77"/>
        <v/>
      </c>
      <c r="DY25" s="624" t="str">
        <f t="shared" si="78"/>
        <v/>
      </c>
      <c r="DZ25" s="624" t="str">
        <f t="shared" si="79"/>
        <v/>
      </c>
      <c r="EA25" s="624" t="str">
        <f t="shared" si="80"/>
        <v/>
      </c>
      <c r="EB25" s="624" t="str">
        <f t="shared" si="81"/>
        <v/>
      </c>
      <c r="EC25" s="624" t="str">
        <f t="shared" si="82"/>
        <v/>
      </c>
      <c r="ED25" s="624" t="str">
        <f t="shared" si="83"/>
        <v/>
      </c>
      <c r="EE25" s="624" t="str">
        <f t="shared" si="84"/>
        <v/>
      </c>
      <c r="EF25" s="624" t="str">
        <f t="shared" si="85"/>
        <v/>
      </c>
      <c r="EG25" s="624" t="str">
        <f t="shared" si="86"/>
        <v/>
      </c>
      <c r="EH25" s="624" t="str">
        <f t="shared" si="87"/>
        <v/>
      </c>
      <c r="EI25" s="624" t="str">
        <f t="shared" si="88"/>
        <v/>
      </c>
      <c r="EJ25" s="624" t="str">
        <f t="shared" si="89"/>
        <v/>
      </c>
      <c r="EK25" s="624" t="str">
        <f t="shared" si="90"/>
        <v/>
      </c>
      <c r="EL25" s="624" t="str">
        <f t="shared" si="91"/>
        <v/>
      </c>
      <c r="EM25" s="624" t="str">
        <f t="shared" si="92"/>
        <v/>
      </c>
      <c r="EN25" s="624" t="str">
        <f t="shared" si="93"/>
        <v/>
      </c>
      <c r="EO25" s="624" t="str">
        <f t="shared" si="94"/>
        <v/>
      </c>
      <c r="EP25" s="624" t="str">
        <f t="shared" si="95"/>
        <v/>
      </c>
      <c r="EQ25" s="624" t="str">
        <f t="shared" si="96"/>
        <v/>
      </c>
      <c r="ER25" s="624" t="str">
        <f t="shared" si="97"/>
        <v/>
      </c>
      <c r="ES25" s="624" t="str">
        <f t="shared" si="98"/>
        <v/>
      </c>
      <c r="ET25" s="624" t="str">
        <f t="shared" si="99"/>
        <v/>
      </c>
      <c r="EU25" s="624" t="str">
        <f t="shared" si="100"/>
        <v/>
      </c>
      <c r="EV25" s="636" t="str">
        <f t="shared" si="101"/>
        <v/>
      </c>
      <c r="EW25" s="636" t="str">
        <f t="shared" si="102"/>
        <v/>
      </c>
      <c r="EX25" s="636" t="str">
        <f t="shared" si="103"/>
        <v/>
      </c>
      <c r="EY25" s="636" t="str">
        <f t="shared" si="104"/>
        <v/>
      </c>
      <c r="EZ25" s="636" t="str">
        <f t="shared" si="105"/>
        <v/>
      </c>
      <c r="FA25" s="636" t="str">
        <f t="shared" si="106"/>
        <v/>
      </c>
      <c r="FB25" s="636" t="str">
        <f t="shared" si="107"/>
        <v/>
      </c>
      <c r="FC25" s="636" t="str">
        <f t="shared" si="108"/>
        <v/>
      </c>
      <c r="FD25" s="636" t="str">
        <f t="shared" si="109"/>
        <v/>
      </c>
      <c r="FE25" s="636" t="str">
        <f t="shared" si="110"/>
        <v/>
      </c>
      <c r="FF25" s="636" t="str">
        <f t="shared" si="111"/>
        <v/>
      </c>
      <c r="FG25" s="636" t="str">
        <f t="shared" si="112"/>
        <v/>
      </c>
      <c r="FH25" s="636" t="str">
        <f t="shared" si="113"/>
        <v/>
      </c>
      <c r="FI25" s="636" t="str">
        <f t="shared" si="114"/>
        <v/>
      </c>
      <c r="FJ25" s="636" t="str">
        <f t="shared" si="115"/>
        <v/>
      </c>
      <c r="FK25" s="636" t="str">
        <f t="shared" si="116"/>
        <v/>
      </c>
      <c r="FL25" s="636" t="str">
        <f t="shared" si="117"/>
        <v/>
      </c>
      <c r="FM25" s="636" t="str">
        <f t="shared" si="118"/>
        <v/>
      </c>
      <c r="FN25" s="636" t="str">
        <f t="shared" si="119"/>
        <v/>
      </c>
      <c r="FO25" s="636" t="str">
        <f t="shared" si="120"/>
        <v/>
      </c>
      <c r="FP25" s="636" t="str">
        <f t="shared" si="121"/>
        <v/>
      </c>
      <c r="FQ25" s="636" t="str">
        <f t="shared" si="122"/>
        <v/>
      </c>
      <c r="FR25" s="636" t="str">
        <f t="shared" si="123"/>
        <v/>
      </c>
      <c r="FS25" s="636" t="str">
        <f t="shared" si="124"/>
        <v/>
      </c>
      <c r="FT25" s="636" t="str">
        <f t="shared" si="125"/>
        <v/>
      </c>
      <c r="FU25" s="636" t="str">
        <f t="shared" si="126"/>
        <v/>
      </c>
      <c r="FV25" s="636" t="str">
        <f t="shared" si="127"/>
        <v/>
      </c>
      <c r="FW25" s="636" t="str">
        <f t="shared" si="128"/>
        <v/>
      </c>
      <c r="FX25" s="636" t="str">
        <f t="shared" si="129"/>
        <v/>
      </c>
      <c r="FY25" s="636" t="str">
        <f t="shared" si="130"/>
        <v/>
      </c>
      <c r="FZ25" s="636" t="str">
        <f t="shared" si="131"/>
        <v/>
      </c>
      <c r="GA25" s="636" t="str">
        <f t="shared" si="132"/>
        <v/>
      </c>
      <c r="GB25" s="636" t="str">
        <f t="shared" si="133"/>
        <v/>
      </c>
      <c r="GC25" s="636" t="str">
        <f t="shared" si="134"/>
        <v/>
      </c>
      <c r="GD25" s="636" t="str">
        <f t="shared" si="135"/>
        <v/>
      </c>
      <c r="GE25" s="636" t="str">
        <f t="shared" si="136"/>
        <v/>
      </c>
      <c r="GF25" s="636" t="str">
        <f t="shared" si="137"/>
        <v/>
      </c>
      <c r="GG25" s="636" t="str">
        <f t="shared" si="138"/>
        <v/>
      </c>
      <c r="GH25" s="636" t="str">
        <f t="shared" si="139"/>
        <v/>
      </c>
      <c r="GI25" s="636" t="str">
        <f t="shared" si="140"/>
        <v/>
      </c>
      <c r="GJ25" s="636" t="str">
        <f t="shared" si="141"/>
        <v/>
      </c>
      <c r="GK25" s="636" t="str">
        <f t="shared" si="142"/>
        <v/>
      </c>
      <c r="GL25" s="636" t="str">
        <f t="shared" si="143"/>
        <v/>
      </c>
      <c r="GM25" s="636" t="str">
        <f t="shared" si="144"/>
        <v/>
      </c>
      <c r="GN25" s="636" t="str">
        <f t="shared" si="145"/>
        <v/>
      </c>
      <c r="GO25" s="637" t="str">
        <f t="shared" si="146"/>
        <v/>
      </c>
      <c r="GP25" s="637" t="str">
        <f t="shared" si="147"/>
        <v/>
      </c>
      <c r="GQ25" s="637" t="str">
        <f t="shared" si="148"/>
        <v/>
      </c>
      <c r="GR25" s="637" t="str">
        <f t="shared" si="149"/>
        <v/>
      </c>
      <c r="GS25" s="637" t="str">
        <f t="shared" si="150"/>
        <v/>
      </c>
      <c r="GT25" s="624" t="str">
        <f t="shared" si="151"/>
        <v/>
      </c>
      <c r="GU25" s="624" t="str">
        <f t="shared" si="152"/>
        <v/>
      </c>
      <c r="GV25" s="624" t="str">
        <f t="shared" si="153"/>
        <v/>
      </c>
      <c r="GW25" s="624" t="str">
        <f t="shared" si="154"/>
        <v/>
      </c>
      <c r="GX25" s="624" t="str">
        <f t="shared" si="155"/>
        <v/>
      </c>
      <c r="GY25" s="624" t="str">
        <f t="shared" si="156"/>
        <v/>
      </c>
      <c r="GZ25" s="624" t="str">
        <f t="shared" si="157"/>
        <v/>
      </c>
      <c r="HA25" s="624" t="str">
        <f t="shared" si="158"/>
        <v/>
      </c>
      <c r="HB25" s="624" t="str">
        <f t="shared" si="159"/>
        <v/>
      </c>
      <c r="HC25" s="624" t="str">
        <f t="shared" si="160"/>
        <v/>
      </c>
      <c r="HD25" s="624" t="str">
        <f t="shared" si="161"/>
        <v/>
      </c>
      <c r="HE25" s="624" t="str">
        <f t="shared" si="162"/>
        <v/>
      </c>
      <c r="HF25" s="624" t="str">
        <f t="shared" si="163"/>
        <v/>
      </c>
      <c r="HG25" s="624" t="str">
        <f t="shared" si="164"/>
        <v/>
      </c>
      <c r="HH25" s="624" t="str">
        <f t="shared" si="165"/>
        <v/>
      </c>
      <c r="HI25" s="624" t="str">
        <f t="shared" si="166"/>
        <v/>
      </c>
      <c r="HJ25" s="624" t="str">
        <f t="shared" si="167"/>
        <v/>
      </c>
      <c r="HK25" s="624" t="str">
        <f t="shared" si="168"/>
        <v/>
      </c>
      <c r="HL25" s="624" t="str">
        <f t="shared" si="169"/>
        <v/>
      </c>
      <c r="HM25" s="624" t="str">
        <f t="shared" si="170"/>
        <v/>
      </c>
    </row>
    <row r="26" spans="1:221" ht="13.15" customHeight="1">
      <c r="A26" s="130" t="str">
        <f t="shared" si="171"/>
        <v/>
      </c>
      <c r="B26" s="1553" t="s">
        <v>2466</v>
      </c>
      <c r="C26" s="1554"/>
      <c r="D26" s="1555"/>
      <c r="E26" s="1556"/>
      <c r="F26" s="1556"/>
      <c r="G26" s="1556"/>
      <c r="H26" s="1556"/>
      <c r="I26" s="1556"/>
      <c r="J26" s="1557"/>
      <c r="K26" s="205">
        <f t="shared" si="172"/>
        <v>0</v>
      </c>
      <c r="L26" s="205">
        <f t="shared" si="0"/>
        <v>0</v>
      </c>
      <c r="M26" s="1558"/>
      <c r="N26" s="1558"/>
      <c r="O26" s="1558"/>
      <c r="P26" s="559" t="str">
        <f t="shared" si="203"/>
        <v/>
      </c>
      <c r="Q26" s="560" t="str">
        <f>IF(H26="","",P26/($P$6*VLOOKUP(C26,'DCA Underwriting Assumptions'!$J$81:$K$86,2,FALSE)))</f>
        <v/>
      </c>
      <c r="R26" s="667"/>
      <c r="S26" s="560"/>
      <c r="T26" s="1497"/>
      <c r="U26" s="1498"/>
      <c r="V26" s="624" t="str">
        <f t="shared" si="1"/>
        <v/>
      </c>
      <c r="W26" s="624" t="str">
        <f t="shared" si="2"/>
        <v/>
      </c>
      <c r="X26" s="624" t="str">
        <f t="shared" si="3"/>
        <v/>
      </c>
      <c r="Y26" s="624" t="str">
        <f t="shared" si="4"/>
        <v/>
      </c>
      <c r="Z26" s="624" t="str">
        <f t="shared" si="5"/>
        <v/>
      </c>
      <c r="AA26" s="624" t="str">
        <f t="shared" si="6"/>
        <v/>
      </c>
      <c r="AB26" s="624" t="str">
        <f t="shared" si="7"/>
        <v/>
      </c>
      <c r="AC26" s="624" t="str">
        <f t="shared" si="8"/>
        <v/>
      </c>
      <c r="AD26" s="624" t="str">
        <f t="shared" si="9"/>
        <v/>
      </c>
      <c r="AE26" s="624" t="str">
        <f t="shared" si="10"/>
        <v/>
      </c>
      <c r="AF26" s="624" t="str">
        <f t="shared" si="11"/>
        <v/>
      </c>
      <c r="AG26" s="624" t="str">
        <f t="shared" si="12"/>
        <v/>
      </c>
      <c r="AH26" s="624" t="str">
        <f t="shared" si="13"/>
        <v/>
      </c>
      <c r="AI26" s="624" t="str">
        <f t="shared" si="14"/>
        <v/>
      </c>
      <c r="AJ26" s="624" t="str">
        <f t="shared" si="15"/>
        <v/>
      </c>
      <c r="AK26" s="624" t="str">
        <f t="shared" si="16"/>
        <v/>
      </c>
      <c r="AL26" s="624" t="str">
        <f t="shared" si="17"/>
        <v/>
      </c>
      <c r="AM26" s="624" t="str">
        <f t="shared" si="18"/>
        <v/>
      </c>
      <c r="AN26" s="624" t="str">
        <f t="shared" si="19"/>
        <v/>
      </c>
      <c r="AO26" s="624" t="str">
        <f t="shared" si="20"/>
        <v/>
      </c>
      <c r="AP26" s="624" t="str">
        <f t="shared" si="173"/>
        <v/>
      </c>
      <c r="AQ26" s="624" t="str">
        <f t="shared" si="174"/>
        <v/>
      </c>
      <c r="AR26" s="624" t="str">
        <f t="shared" si="175"/>
        <v/>
      </c>
      <c r="AS26" s="624" t="str">
        <f t="shared" si="176"/>
        <v/>
      </c>
      <c r="AT26" s="624" t="str">
        <f t="shared" si="177"/>
        <v/>
      </c>
      <c r="AU26" s="624" t="str">
        <f t="shared" si="178"/>
        <v/>
      </c>
      <c r="AV26" s="624" t="str">
        <f t="shared" si="179"/>
        <v/>
      </c>
      <c r="AW26" s="624" t="str">
        <f t="shared" si="180"/>
        <v/>
      </c>
      <c r="AX26" s="624" t="str">
        <f t="shared" si="181"/>
        <v/>
      </c>
      <c r="AY26" s="624" t="str">
        <f t="shared" si="182"/>
        <v/>
      </c>
      <c r="AZ26" s="624" t="str">
        <f t="shared" si="183"/>
        <v/>
      </c>
      <c r="BA26" s="624" t="str">
        <f t="shared" si="184"/>
        <v/>
      </c>
      <c r="BB26" s="624" t="str">
        <f t="shared" si="185"/>
        <v/>
      </c>
      <c r="BC26" s="624" t="str">
        <f t="shared" si="186"/>
        <v/>
      </c>
      <c r="BD26" s="624" t="str">
        <f t="shared" si="187"/>
        <v/>
      </c>
      <c r="BE26" s="624" t="str">
        <f t="shared" si="188"/>
        <v/>
      </c>
      <c r="BF26" s="624" t="str">
        <f t="shared" si="189"/>
        <v/>
      </c>
      <c r="BG26" s="624" t="str">
        <f t="shared" si="190"/>
        <v/>
      </c>
      <c r="BH26" s="624" t="str">
        <f t="shared" si="191"/>
        <v/>
      </c>
      <c r="BI26" s="624" t="str">
        <f t="shared" si="192"/>
        <v/>
      </c>
      <c r="BJ26" s="624" t="str">
        <f t="shared" si="193"/>
        <v/>
      </c>
      <c r="BK26" s="624" t="str">
        <f t="shared" si="194"/>
        <v/>
      </c>
      <c r="BL26" s="624" t="str">
        <f t="shared" si="195"/>
        <v/>
      </c>
      <c r="BM26" s="624" t="str">
        <f t="shared" si="196"/>
        <v/>
      </c>
      <c r="BN26" s="624" t="str">
        <f t="shared" si="197"/>
        <v/>
      </c>
      <c r="BO26" s="624" t="str">
        <f t="shared" si="198"/>
        <v/>
      </c>
      <c r="BP26" s="624" t="str">
        <f t="shared" si="199"/>
        <v/>
      </c>
      <c r="BQ26" s="624" t="str">
        <f t="shared" si="200"/>
        <v/>
      </c>
      <c r="BR26" s="624" t="str">
        <f t="shared" si="201"/>
        <v/>
      </c>
      <c r="BS26" s="624" t="str">
        <f t="shared" si="202"/>
        <v/>
      </c>
      <c r="BT26" s="624" t="str">
        <f t="shared" si="21"/>
        <v/>
      </c>
      <c r="BU26" s="624" t="str">
        <f t="shared" si="22"/>
        <v/>
      </c>
      <c r="BV26" s="624" t="str">
        <f t="shared" si="23"/>
        <v/>
      </c>
      <c r="BW26" s="624" t="str">
        <f t="shared" si="24"/>
        <v/>
      </c>
      <c r="BX26" s="624" t="str">
        <f t="shared" si="25"/>
        <v/>
      </c>
      <c r="BY26" s="624" t="str">
        <f t="shared" si="26"/>
        <v/>
      </c>
      <c r="BZ26" s="624" t="str">
        <f t="shared" si="27"/>
        <v/>
      </c>
      <c r="CA26" s="624" t="str">
        <f t="shared" si="28"/>
        <v/>
      </c>
      <c r="CB26" s="624" t="str">
        <f t="shared" si="29"/>
        <v/>
      </c>
      <c r="CC26" s="624" t="str">
        <f t="shared" si="30"/>
        <v/>
      </c>
      <c r="CD26" s="624" t="str">
        <f t="shared" si="31"/>
        <v/>
      </c>
      <c r="CE26" s="624" t="str">
        <f t="shared" si="32"/>
        <v/>
      </c>
      <c r="CF26" s="624" t="str">
        <f t="shared" si="33"/>
        <v/>
      </c>
      <c r="CG26" s="624" t="str">
        <f t="shared" si="34"/>
        <v/>
      </c>
      <c r="CH26" s="624" t="str">
        <f t="shared" si="35"/>
        <v/>
      </c>
      <c r="CI26" s="624" t="str">
        <f t="shared" si="36"/>
        <v/>
      </c>
      <c r="CJ26" s="624" t="str">
        <f t="shared" si="37"/>
        <v/>
      </c>
      <c r="CK26" s="624" t="str">
        <f t="shared" si="38"/>
        <v/>
      </c>
      <c r="CL26" s="624" t="str">
        <f t="shared" si="39"/>
        <v/>
      </c>
      <c r="CM26" s="624" t="str">
        <f t="shared" si="40"/>
        <v/>
      </c>
      <c r="CN26" s="624" t="str">
        <f t="shared" si="41"/>
        <v/>
      </c>
      <c r="CO26" s="624" t="str">
        <f t="shared" si="42"/>
        <v/>
      </c>
      <c r="CP26" s="624" t="str">
        <f t="shared" si="43"/>
        <v/>
      </c>
      <c r="CQ26" s="624" t="str">
        <f t="shared" si="44"/>
        <v/>
      </c>
      <c r="CR26" s="624" t="str">
        <f t="shared" si="45"/>
        <v/>
      </c>
      <c r="CS26" s="624" t="str">
        <f t="shared" si="46"/>
        <v/>
      </c>
      <c r="CT26" s="624" t="str">
        <f t="shared" si="47"/>
        <v/>
      </c>
      <c r="CU26" s="624" t="str">
        <f t="shared" si="48"/>
        <v/>
      </c>
      <c r="CV26" s="624" t="str">
        <f t="shared" si="49"/>
        <v/>
      </c>
      <c r="CW26" s="624" t="str">
        <f t="shared" si="50"/>
        <v/>
      </c>
      <c r="CX26" s="624" t="str">
        <f t="shared" si="51"/>
        <v/>
      </c>
      <c r="CY26" s="624" t="str">
        <f t="shared" si="52"/>
        <v/>
      </c>
      <c r="CZ26" s="624" t="str">
        <f t="shared" si="53"/>
        <v/>
      </c>
      <c r="DA26" s="624" t="str">
        <f t="shared" si="54"/>
        <v/>
      </c>
      <c r="DB26" s="624" t="str">
        <f t="shared" si="55"/>
        <v/>
      </c>
      <c r="DC26" s="624" t="str">
        <f t="shared" si="56"/>
        <v/>
      </c>
      <c r="DD26" s="624" t="str">
        <f t="shared" si="57"/>
        <v/>
      </c>
      <c r="DE26" s="624" t="str">
        <f t="shared" si="58"/>
        <v/>
      </c>
      <c r="DF26" s="624" t="str">
        <f t="shared" si="59"/>
        <v/>
      </c>
      <c r="DG26" s="624" t="str">
        <f t="shared" si="60"/>
        <v/>
      </c>
      <c r="DH26" s="624" t="str">
        <f t="shared" si="61"/>
        <v/>
      </c>
      <c r="DI26" s="624" t="str">
        <f t="shared" si="62"/>
        <v/>
      </c>
      <c r="DJ26" s="624" t="str">
        <f t="shared" si="63"/>
        <v/>
      </c>
      <c r="DK26" s="624" t="str">
        <f t="shared" si="64"/>
        <v/>
      </c>
      <c r="DL26" s="624" t="str">
        <f t="shared" si="65"/>
        <v/>
      </c>
      <c r="DM26" s="624" t="str">
        <f t="shared" si="66"/>
        <v/>
      </c>
      <c r="DN26" s="624" t="str">
        <f t="shared" si="67"/>
        <v/>
      </c>
      <c r="DO26" s="624" t="str">
        <f t="shared" si="68"/>
        <v/>
      </c>
      <c r="DP26" s="624" t="str">
        <f t="shared" si="69"/>
        <v/>
      </c>
      <c r="DQ26" s="624" t="str">
        <f t="shared" si="70"/>
        <v/>
      </c>
      <c r="DR26" s="624" t="str">
        <f t="shared" si="71"/>
        <v/>
      </c>
      <c r="DS26" s="624" t="str">
        <f t="shared" si="72"/>
        <v/>
      </c>
      <c r="DT26" s="624" t="str">
        <f t="shared" si="73"/>
        <v/>
      </c>
      <c r="DU26" s="624" t="str">
        <f t="shared" si="74"/>
        <v/>
      </c>
      <c r="DV26" s="624" t="str">
        <f t="shared" si="75"/>
        <v/>
      </c>
      <c r="DW26" s="624" t="str">
        <f t="shared" si="76"/>
        <v/>
      </c>
      <c r="DX26" s="624" t="str">
        <f t="shared" si="77"/>
        <v/>
      </c>
      <c r="DY26" s="624" t="str">
        <f t="shared" si="78"/>
        <v/>
      </c>
      <c r="DZ26" s="624" t="str">
        <f t="shared" si="79"/>
        <v/>
      </c>
      <c r="EA26" s="624" t="str">
        <f t="shared" si="80"/>
        <v/>
      </c>
      <c r="EB26" s="624" t="str">
        <f t="shared" si="81"/>
        <v/>
      </c>
      <c r="EC26" s="624" t="str">
        <f t="shared" si="82"/>
        <v/>
      </c>
      <c r="ED26" s="624" t="str">
        <f t="shared" si="83"/>
        <v/>
      </c>
      <c r="EE26" s="624" t="str">
        <f t="shared" si="84"/>
        <v/>
      </c>
      <c r="EF26" s="624" t="str">
        <f t="shared" si="85"/>
        <v/>
      </c>
      <c r="EG26" s="624" t="str">
        <f t="shared" si="86"/>
        <v/>
      </c>
      <c r="EH26" s="624" t="str">
        <f t="shared" si="87"/>
        <v/>
      </c>
      <c r="EI26" s="624" t="str">
        <f t="shared" si="88"/>
        <v/>
      </c>
      <c r="EJ26" s="624" t="str">
        <f t="shared" si="89"/>
        <v/>
      </c>
      <c r="EK26" s="624" t="str">
        <f t="shared" si="90"/>
        <v/>
      </c>
      <c r="EL26" s="624" t="str">
        <f t="shared" si="91"/>
        <v/>
      </c>
      <c r="EM26" s="624" t="str">
        <f t="shared" si="92"/>
        <v/>
      </c>
      <c r="EN26" s="624" t="str">
        <f t="shared" si="93"/>
        <v/>
      </c>
      <c r="EO26" s="624" t="str">
        <f t="shared" si="94"/>
        <v/>
      </c>
      <c r="EP26" s="624" t="str">
        <f t="shared" si="95"/>
        <v/>
      </c>
      <c r="EQ26" s="624" t="str">
        <f t="shared" si="96"/>
        <v/>
      </c>
      <c r="ER26" s="624" t="str">
        <f t="shared" si="97"/>
        <v/>
      </c>
      <c r="ES26" s="624" t="str">
        <f t="shared" si="98"/>
        <v/>
      </c>
      <c r="ET26" s="624" t="str">
        <f t="shared" si="99"/>
        <v/>
      </c>
      <c r="EU26" s="624" t="str">
        <f t="shared" si="100"/>
        <v/>
      </c>
      <c r="EV26" s="636" t="str">
        <f t="shared" si="101"/>
        <v/>
      </c>
      <c r="EW26" s="636" t="str">
        <f t="shared" si="102"/>
        <v/>
      </c>
      <c r="EX26" s="636" t="str">
        <f t="shared" si="103"/>
        <v/>
      </c>
      <c r="EY26" s="636" t="str">
        <f t="shared" si="104"/>
        <v/>
      </c>
      <c r="EZ26" s="636" t="str">
        <f t="shared" si="105"/>
        <v/>
      </c>
      <c r="FA26" s="636" t="str">
        <f t="shared" si="106"/>
        <v/>
      </c>
      <c r="FB26" s="636" t="str">
        <f t="shared" si="107"/>
        <v/>
      </c>
      <c r="FC26" s="636" t="str">
        <f t="shared" si="108"/>
        <v/>
      </c>
      <c r="FD26" s="636" t="str">
        <f t="shared" si="109"/>
        <v/>
      </c>
      <c r="FE26" s="636" t="str">
        <f t="shared" si="110"/>
        <v/>
      </c>
      <c r="FF26" s="636" t="str">
        <f t="shared" si="111"/>
        <v/>
      </c>
      <c r="FG26" s="636" t="str">
        <f t="shared" si="112"/>
        <v/>
      </c>
      <c r="FH26" s="636" t="str">
        <f t="shared" si="113"/>
        <v/>
      </c>
      <c r="FI26" s="636" t="str">
        <f t="shared" si="114"/>
        <v/>
      </c>
      <c r="FJ26" s="636" t="str">
        <f t="shared" si="115"/>
        <v/>
      </c>
      <c r="FK26" s="636" t="str">
        <f t="shared" si="116"/>
        <v/>
      </c>
      <c r="FL26" s="636" t="str">
        <f t="shared" si="117"/>
        <v/>
      </c>
      <c r="FM26" s="636" t="str">
        <f t="shared" si="118"/>
        <v/>
      </c>
      <c r="FN26" s="636" t="str">
        <f t="shared" si="119"/>
        <v/>
      </c>
      <c r="FO26" s="636" t="str">
        <f t="shared" si="120"/>
        <v/>
      </c>
      <c r="FP26" s="636" t="str">
        <f t="shared" si="121"/>
        <v/>
      </c>
      <c r="FQ26" s="636" t="str">
        <f t="shared" si="122"/>
        <v/>
      </c>
      <c r="FR26" s="636" t="str">
        <f t="shared" si="123"/>
        <v/>
      </c>
      <c r="FS26" s="636" t="str">
        <f t="shared" si="124"/>
        <v/>
      </c>
      <c r="FT26" s="636" t="str">
        <f t="shared" si="125"/>
        <v/>
      </c>
      <c r="FU26" s="636" t="str">
        <f t="shared" si="126"/>
        <v/>
      </c>
      <c r="FV26" s="636" t="str">
        <f t="shared" si="127"/>
        <v/>
      </c>
      <c r="FW26" s="636" t="str">
        <f t="shared" si="128"/>
        <v/>
      </c>
      <c r="FX26" s="636" t="str">
        <f t="shared" si="129"/>
        <v/>
      </c>
      <c r="FY26" s="636" t="str">
        <f t="shared" si="130"/>
        <v/>
      </c>
      <c r="FZ26" s="636" t="str">
        <f t="shared" si="131"/>
        <v/>
      </c>
      <c r="GA26" s="636" t="str">
        <f t="shared" si="132"/>
        <v/>
      </c>
      <c r="GB26" s="636" t="str">
        <f t="shared" si="133"/>
        <v/>
      </c>
      <c r="GC26" s="636" t="str">
        <f t="shared" si="134"/>
        <v/>
      </c>
      <c r="GD26" s="636" t="str">
        <f t="shared" si="135"/>
        <v/>
      </c>
      <c r="GE26" s="636" t="str">
        <f t="shared" si="136"/>
        <v/>
      </c>
      <c r="GF26" s="636" t="str">
        <f t="shared" si="137"/>
        <v/>
      </c>
      <c r="GG26" s="636" t="str">
        <f t="shared" si="138"/>
        <v/>
      </c>
      <c r="GH26" s="636" t="str">
        <f t="shared" si="139"/>
        <v/>
      </c>
      <c r="GI26" s="636" t="str">
        <f t="shared" si="140"/>
        <v/>
      </c>
      <c r="GJ26" s="636" t="str">
        <f t="shared" si="141"/>
        <v/>
      </c>
      <c r="GK26" s="636" t="str">
        <f t="shared" si="142"/>
        <v/>
      </c>
      <c r="GL26" s="636" t="str">
        <f t="shared" si="143"/>
        <v/>
      </c>
      <c r="GM26" s="636" t="str">
        <f t="shared" si="144"/>
        <v/>
      </c>
      <c r="GN26" s="636" t="str">
        <f t="shared" si="145"/>
        <v/>
      </c>
      <c r="GO26" s="637" t="str">
        <f t="shared" si="146"/>
        <v/>
      </c>
      <c r="GP26" s="637" t="str">
        <f t="shared" si="147"/>
        <v/>
      </c>
      <c r="GQ26" s="637" t="str">
        <f t="shared" si="148"/>
        <v/>
      </c>
      <c r="GR26" s="637" t="str">
        <f t="shared" si="149"/>
        <v/>
      </c>
      <c r="GS26" s="637" t="str">
        <f t="shared" si="150"/>
        <v/>
      </c>
      <c r="GT26" s="624" t="str">
        <f t="shared" si="151"/>
        <v/>
      </c>
      <c r="GU26" s="624" t="str">
        <f t="shared" si="152"/>
        <v/>
      </c>
      <c r="GV26" s="624" t="str">
        <f t="shared" si="153"/>
        <v/>
      </c>
      <c r="GW26" s="624" t="str">
        <f t="shared" si="154"/>
        <v/>
      </c>
      <c r="GX26" s="624" t="str">
        <f t="shared" si="155"/>
        <v/>
      </c>
      <c r="GY26" s="624" t="str">
        <f t="shared" si="156"/>
        <v/>
      </c>
      <c r="GZ26" s="624" t="str">
        <f t="shared" si="157"/>
        <v/>
      </c>
      <c r="HA26" s="624" t="str">
        <f t="shared" si="158"/>
        <v/>
      </c>
      <c r="HB26" s="624" t="str">
        <f t="shared" si="159"/>
        <v/>
      </c>
      <c r="HC26" s="624" t="str">
        <f t="shared" si="160"/>
        <v/>
      </c>
      <c r="HD26" s="624" t="str">
        <f t="shared" si="161"/>
        <v/>
      </c>
      <c r="HE26" s="624" t="str">
        <f t="shared" si="162"/>
        <v/>
      </c>
      <c r="HF26" s="624" t="str">
        <f t="shared" si="163"/>
        <v/>
      </c>
      <c r="HG26" s="624" t="str">
        <f t="shared" si="164"/>
        <v/>
      </c>
      <c r="HH26" s="624" t="str">
        <f t="shared" si="165"/>
        <v/>
      </c>
      <c r="HI26" s="624" t="str">
        <f t="shared" si="166"/>
        <v/>
      </c>
      <c r="HJ26" s="624" t="str">
        <f t="shared" si="167"/>
        <v/>
      </c>
      <c r="HK26" s="624" t="str">
        <f t="shared" si="168"/>
        <v/>
      </c>
      <c r="HL26" s="624" t="str">
        <f t="shared" si="169"/>
        <v/>
      </c>
      <c r="HM26" s="624" t="str">
        <f t="shared" si="170"/>
        <v/>
      </c>
    </row>
    <row r="27" spans="1:221" ht="13.15" customHeight="1">
      <c r="A27" s="130" t="str">
        <f t="shared" si="171"/>
        <v/>
      </c>
      <c r="B27" s="1553" t="s">
        <v>2466</v>
      </c>
      <c r="C27" s="1554"/>
      <c r="D27" s="1555"/>
      <c r="E27" s="1556"/>
      <c r="F27" s="1556"/>
      <c r="G27" s="1556"/>
      <c r="H27" s="1556"/>
      <c r="I27" s="1556"/>
      <c r="J27" s="1557"/>
      <c r="K27" s="205">
        <f t="shared" si="172"/>
        <v>0</v>
      </c>
      <c r="L27" s="205">
        <f t="shared" si="0"/>
        <v>0</v>
      </c>
      <c r="M27" s="1558"/>
      <c r="N27" s="1558"/>
      <c r="O27" s="1558"/>
      <c r="P27" s="559" t="str">
        <f t="shared" si="203"/>
        <v/>
      </c>
      <c r="Q27" s="560" t="str">
        <f>IF(H27="","",P27/($P$6*VLOOKUP(C27,'DCA Underwriting Assumptions'!$J$81:$K$86,2,FALSE)))</f>
        <v/>
      </c>
      <c r="R27" s="667"/>
      <c r="S27" s="560"/>
      <c r="T27" s="1497"/>
      <c r="U27" s="1498"/>
      <c r="V27" s="624" t="str">
        <f t="shared" si="1"/>
        <v/>
      </c>
      <c r="W27" s="624" t="str">
        <f t="shared" si="2"/>
        <v/>
      </c>
      <c r="X27" s="624" t="str">
        <f t="shared" si="3"/>
        <v/>
      </c>
      <c r="Y27" s="624" t="str">
        <f t="shared" si="4"/>
        <v/>
      </c>
      <c r="Z27" s="624" t="str">
        <f t="shared" si="5"/>
        <v/>
      </c>
      <c r="AA27" s="624" t="str">
        <f t="shared" si="6"/>
        <v/>
      </c>
      <c r="AB27" s="624" t="str">
        <f t="shared" si="7"/>
        <v/>
      </c>
      <c r="AC27" s="624" t="str">
        <f t="shared" si="8"/>
        <v/>
      </c>
      <c r="AD27" s="624" t="str">
        <f t="shared" si="9"/>
        <v/>
      </c>
      <c r="AE27" s="624" t="str">
        <f t="shared" si="10"/>
        <v/>
      </c>
      <c r="AF27" s="624" t="str">
        <f t="shared" si="11"/>
        <v/>
      </c>
      <c r="AG27" s="624" t="str">
        <f t="shared" si="12"/>
        <v/>
      </c>
      <c r="AH27" s="624" t="str">
        <f t="shared" si="13"/>
        <v/>
      </c>
      <c r="AI27" s="624" t="str">
        <f t="shared" si="14"/>
        <v/>
      </c>
      <c r="AJ27" s="624" t="str">
        <f t="shared" si="15"/>
        <v/>
      </c>
      <c r="AK27" s="624" t="str">
        <f t="shared" si="16"/>
        <v/>
      </c>
      <c r="AL27" s="624" t="str">
        <f t="shared" si="17"/>
        <v/>
      </c>
      <c r="AM27" s="624" t="str">
        <f t="shared" si="18"/>
        <v/>
      </c>
      <c r="AN27" s="624" t="str">
        <f t="shared" si="19"/>
        <v/>
      </c>
      <c r="AO27" s="624" t="str">
        <f t="shared" si="20"/>
        <v/>
      </c>
      <c r="AP27" s="624" t="str">
        <f t="shared" si="173"/>
        <v/>
      </c>
      <c r="AQ27" s="624" t="str">
        <f t="shared" si="174"/>
        <v/>
      </c>
      <c r="AR27" s="624" t="str">
        <f t="shared" si="175"/>
        <v/>
      </c>
      <c r="AS27" s="624" t="str">
        <f t="shared" si="176"/>
        <v/>
      </c>
      <c r="AT27" s="624" t="str">
        <f t="shared" si="177"/>
        <v/>
      </c>
      <c r="AU27" s="624" t="str">
        <f t="shared" si="178"/>
        <v/>
      </c>
      <c r="AV27" s="624" t="str">
        <f t="shared" si="179"/>
        <v/>
      </c>
      <c r="AW27" s="624" t="str">
        <f t="shared" si="180"/>
        <v/>
      </c>
      <c r="AX27" s="624" t="str">
        <f t="shared" si="181"/>
        <v/>
      </c>
      <c r="AY27" s="624" t="str">
        <f t="shared" si="182"/>
        <v/>
      </c>
      <c r="AZ27" s="624" t="str">
        <f t="shared" si="183"/>
        <v/>
      </c>
      <c r="BA27" s="624" t="str">
        <f t="shared" si="184"/>
        <v/>
      </c>
      <c r="BB27" s="624" t="str">
        <f t="shared" si="185"/>
        <v/>
      </c>
      <c r="BC27" s="624" t="str">
        <f t="shared" si="186"/>
        <v/>
      </c>
      <c r="BD27" s="624" t="str">
        <f t="shared" si="187"/>
        <v/>
      </c>
      <c r="BE27" s="624" t="str">
        <f t="shared" si="188"/>
        <v/>
      </c>
      <c r="BF27" s="624" t="str">
        <f t="shared" si="189"/>
        <v/>
      </c>
      <c r="BG27" s="624" t="str">
        <f t="shared" si="190"/>
        <v/>
      </c>
      <c r="BH27" s="624" t="str">
        <f t="shared" si="191"/>
        <v/>
      </c>
      <c r="BI27" s="624" t="str">
        <f t="shared" si="192"/>
        <v/>
      </c>
      <c r="BJ27" s="624" t="str">
        <f t="shared" si="193"/>
        <v/>
      </c>
      <c r="BK27" s="624" t="str">
        <f t="shared" si="194"/>
        <v/>
      </c>
      <c r="BL27" s="624" t="str">
        <f t="shared" si="195"/>
        <v/>
      </c>
      <c r="BM27" s="624" t="str">
        <f t="shared" si="196"/>
        <v/>
      </c>
      <c r="BN27" s="624" t="str">
        <f t="shared" si="197"/>
        <v/>
      </c>
      <c r="BO27" s="624" t="str">
        <f t="shared" si="198"/>
        <v/>
      </c>
      <c r="BP27" s="624" t="str">
        <f t="shared" si="199"/>
        <v/>
      </c>
      <c r="BQ27" s="624" t="str">
        <f t="shared" si="200"/>
        <v/>
      </c>
      <c r="BR27" s="624" t="str">
        <f t="shared" si="201"/>
        <v/>
      </c>
      <c r="BS27" s="624" t="str">
        <f t="shared" si="202"/>
        <v/>
      </c>
      <c r="BT27" s="624" t="str">
        <f t="shared" si="21"/>
        <v/>
      </c>
      <c r="BU27" s="624" t="str">
        <f t="shared" si="22"/>
        <v/>
      </c>
      <c r="BV27" s="624" t="str">
        <f t="shared" si="23"/>
        <v/>
      </c>
      <c r="BW27" s="624" t="str">
        <f t="shared" si="24"/>
        <v/>
      </c>
      <c r="BX27" s="624" t="str">
        <f t="shared" si="25"/>
        <v/>
      </c>
      <c r="BY27" s="624" t="str">
        <f t="shared" si="26"/>
        <v/>
      </c>
      <c r="BZ27" s="624" t="str">
        <f t="shared" si="27"/>
        <v/>
      </c>
      <c r="CA27" s="624" t="str">
        <f t="shared" si="28"/>
        <v/>
      </c>
      <c r="CB27" s="624" t="str">
        <f t="shared" si="29"/>
        <v/>
      </c>
      <c r="CC27" s="624" t="str">
        <f t="shared" si="30"/>
        <v/>
      </c>
      <c r="CD27" s="624" t="str">
        <f t="shared" si="31"/>
        <v/>
      </c>
      <c r="CE27" s="624" t="str">
        <f t="shared" si="32"/>
        <v/>
      </c>
      <c r="CF27" s="624" t="str">
        <f t="shared" si="33"/>
        <v/>
      </c>
      <c r="CG27" s="624" t="str">
        <f t="shared" si="34"/>
        <v/>
      </c>
      <c r="CH27" s="624" t="str">
        <f t="shared" si="35"/>
        <v/>
      </c>
      <c r="CI27" s="624" t="str">
        <f t="shared" si="36"/>
        <v/>
      </c>
      <c r="CJ27" s="624" t="str">
        <f t="shared" si="37"/>
        <v/>
      </c>
      <c r="CK27" s="624" t="str">
        <f t="shared" si="38"/>
        <v/>
      </c>
      <c r="CL27" s="624" t="str">
        <f t="shared" si="39"/>
        <v/>
      </c>
      <c r="CM27" s="624" t="str">
        <f t="shared" si="40"/>
        <v/>
      </c>
      <c r="CN27" s="624" t="str">
        <f t="shared" si="41"/>
        <v/>
      </c>
      <c r="CO27" s="624" t="str">
        <f t="shared" si="42"/>
        <v/>
      </c>
      <c r="CP27" s="624" t="str">
        <f t="shared" si="43"/>
        <v/>
      </c>
      <c r="CQ27" s="624" t="str">
        <f t="shared" si="44"/>
        <v/>
      </c>
      <c r="CR27" s="624" t="str">
        <f t="shared" si="45"/>
        <v/>
      </c>
      <c r="CS27" s="624" t="str">
        <f t="shared" si="46"/>
        <v/>
      </c>
      <c r="CT27" s="624" t="str">
        <f t="shared" si="47"/>
        <v/>
      </c>
      <c r="CU27" s="624" t="str">
        <f t="shared" si="48"/>
        <v/>
      </c>
      <c r="CV27" s="624" t="str">
        <f t="shared" si="49"/>
        <v/>
      </c>
      <c r="CW27" s="624" t="str">
        <f t="shared" si="50"/>
        <v/>
      </c>
      <c r="CX27" s="624" t="str">
        <f t="shared" si="51"/>
        <v/>
      </c>
      <c r="CY27" s="624" t="str">
        <f t="shared" si="52"/>
        <v/>
      </c>
      <c r="CZ27" s="624" t="str">
        <f t="shared" si="53"/>
        <v/>
      </c>
      <c r="DA27" s="624" t="str">
        <f t="shared" si="54"/>
        <v/>
      </c>
      <c r="DB27" s="624" t="str">
        <f t="shared" si="55"/>
        <v/>
      </c>
      <c r="DC27" s="624" t="str">
        <f t="shared" si="56"/>
        <v/>
      </c>
      <c r="DD27" s="624" t="str">
        <f t="shared" si="57"/>
        <v/>
      </c>
      <c r="DE27" s="624" t="str">
        <f t="shared" si="58"/>
        <v/>
      </c>
      <c r="DF27" s="624" t="str">
        <f t="shared" si="59"/>
        <v/>
      </c>
      <c r="DG27" s="624" t="str">
        <f t="shared" si="60"/>
        <v/>
      </c>
      <c r="DH27" s="624" t="str">
        <f t="shared" si="61"/>
        <v/>
      </c>
      <c r="DI27" s="624" t="str">
        <f t="shared" si="62"/>
        <v/>
      </c>
      <c r="DJ27" s="624" t="str">
        <f t="shared" si="63"/>
        <v/>
      </c>
      <c r="DK27" s="624" t="str">
        <f t="shared" si="64"/>
        <v/>
      </c>
      <c r="DL27" s="624" t="str">
        <f t="shared" si="65"/>
        <v/>
      </c>
      <c r="DM27" s="624" t="str">
        <f t="shared" si="66"/>
        <v/>
      </c>
      <c r="DN27" s="624" t="str">
        <f t="shared" si="67"/>
        <v/>
      </c>
      <c r="DO27" s="624" t="str">
        <f t="shared" si="68"/>
        <v/>
      </c>
      <c r="DP27" s="624" t="str">
        <f t="shared" si="69"/>
        <v/>
      </c>
      <c r="DQ27" s="624" t="str">
        <f t="shared" si="70"/>
        <v/>
      </c>
      <c r="DR27" s="624" t="str">
        <f t="shared" si="71"/>
        <v/>
      </c>
      <c r="DS27" s="624" t="str">
        <f t="shared" si="72"/>
        <v/>
      </c>
      <c r="DT27" s="624" t="str">
        <f t="shared" si="73"/>
        <v/>
      </c>
      <c r="DU27" s="624" t="str">
        <f t="shared" si="74"/>
        <v/>
      </c>
      <c r="DV27" s="624" t="str">
        <f t="shared" si="75"/>
        <v/>
      </c>
      <c r="DW27" s="624" t="str">
        <f t="shared" si="76"/>
        <v/>
      </c>
      <c r="DX27" s="624" t="str">
        <f t="shared" si="77"/>
        <v/>
      </c>
      <c r="DY27" s="624" t="str">
        <f t="shared" si="78"/>
        <v/>
      </c>
      <c r="DZ27" s="624" t="str">
        <f t="shared" si="79"/>
        <v/>
      </c>
      <c r="EA27" s="624" t="str">
        <f t="shared" si="80"/>
        <v/>
      </c>
      <c r="EB27" s="624" t="str">
        <f t="shared" si="81"/>
        <v/>
      </c>
      <c r="EC27" s="624" t="str">
        <f t="shared" si="82"/>
        <v/>
      </c>
      <c r="ED27" s="624" t="str">
        <f t="shared" si="83"/>
        <v/>
      </c>
      <c r="EE27" s="624" t="str">
        <f t="shared" si="84"/>
        <v/>
      </c>
      <c r="EF27" s="624" t="str">
        <f t="shared" si="85"/>
        <v/>
      </c>
      <c r="EG27" s="624" t="str">
        <f t="shared" si="86"/>
        <v/>
      </c>
      <c r="EH27" s="624" t="str">
        <f t="shared" si="87"/>
        <v/>
      </c>
      <c r="EI27" s="624" t="str">
        <f t="shared" si="88"/>
        <v/>
      </c>
      <c r="EJ27" s="624" t="str">
        <f t="shared" si="89"/>
        <v/>
      </c>
      <c r="EK27" s="624" t="str">
        <f t="shared" si="90"/>
        <v/>
      </c>
      <c r="EL27" s="624" t="str">
        <f t="shared" si="91"/>
        <v/>
      </c>
      <c r="EM27" s="624" t="str">
        <f t="shared" si="92"/>
        <v/>
      </c>
      <c r="EN27" s="624" t="str">
        <f t="shared" si="93"/>
        <v/>
      </c>
      <c r="EO27" s="624" t="str">
        <f t="shared" si="94"/>
        <v/>
      </c>
      <c r="EP27" s="624" t="str">
        <f t="shared" si="95"/>
        <v/>
      </c>
      <c r="EQ27" s="624" t="str">
        <f t="shared" si="96"/>
        <v/>
      </c>
      <c r="ER27" s="624" t="str">
        <f t="shared" si="97"/>
        <v/>
      </c>
      <c r="ES27" s="624" t="str">
        <f t="shared" si="98"/>
        <v/>
      </c>
      <c r="ET27" s="624" t="str">
        <f t="shared" si="99"/>
        <v/>
      </c>
      <c r="EU27" s="624" t="str">
        <f t="shared" si="100"/>
        <v/>
      </c>
      <c r="EV27" s="636" t="str">
        <f t="shared" si="101"/>
        <v/>
      </c>
      <c r="EW27" s="636" t="str">
        <f t="shared" si="102"/>
        <v/>
      </c>
      <c r="EX27" s="636" t="str">
        <f t="shared" si="103"/>
        <v/>
      </c>
      <c r="EY27" s="636" t="str">
        <f t="shared" si="104"/>
        <v/>
      </c>
      <c r="EZ27" s="636" t="str">
        <f t="shared" si="105"/>
        <v/>
      </c>
      <c r="FA27" s="636" t="str">
        <f t="shared" si="106"/>
        <v/>
      </c>
      <c r="FB27" s="636" t="str">
        <f t="shared" si="107"/>
        <v/>
      </c>
      <c r="FC27" s="636" t="str">
        <f t="shared" si="108"/>
        <v/>
      </c>
      <c r="FD27" s="636" t="str">
        <f t="shared" si="109"/>
        <v/>
      </c>
      <c r="FE27" s="636" t="str">
        <f t="shared" si="110"/>
        <v/>
      </c>
      <c r="FF27" s="636" t="str">
        <f t="shared" si="111"/>
        <v/>
      </c>
      <c r="FG27" s="636" t="str">
        <f t="shared" si="112"/>
        <v/>
      </c>
      <c r="FH27" s="636" t="str">
        <f t="shared" si="113"/>
        <v/>
      </c>
      <c r="FI27" s="636" t="str">
        <f t="shared" si="114"/>
        <v/>
      </c>
      <c r="FJ27" s="636" t="str">
        <f t="shared" si="115"/>
        <v/>
      </c>
      <c r="FK27" s="636" t="str">
        <f t="shared" si="116"/>
        <v/>
      </c>
      <c r="FL27" s="636" t="str">
        <f t="shared" si="117"/>
        <v/>
      </c>
      <c r="FM27" s="636" t="str">
        <f t="shared" si="118"/>
        <v/>
      </c>
      <c r="FN27" s="636" t="str">
        <f t="shared" si="119"/>
        <v/>
      </c>
      <c r="FO27" s="636" t="str">
        <f t="shared" si="120"/>
        <v/>
      </c>
      <c r="FP27" s="636" t="str">
        <f t="shared" si="121"/>
        <v/>
      </c>
      <c r="FQ27" s="636" t="str">
        <f t="shared" si="122"/>
        <v/>
      </c>
      <c r="FR27" s="636" t="str">
        <f t="shared" si="123"/>
        <v/>
      </c>
      <c r="FS27" s="636" t="str">
        <f t="shared" si="124"/>
        <v/>
      </c>
      <c r="FT27" s="636" t="str">
        <f t="shared" si="125"/>
        <v/>
      </c>
      <c r="FU27" s="636" t="str">
        <f t="shared" si="126"/>
        <v/>
      </c>
      <c r="FV27" s="636" t="str">
        <f t="shared" si="127"/>
        <v/>
      </c>
      <c r="FW27" s="636" t="str">
        <f t="shared" si="128"/>
        <v/>
      </c>
      <c r="FX27" s="636" t="str">
        <f t="shared" si="129"/>
        <v/>
      </c>
      <c r="FY27" s="636" t="str">
        <f t="shared" si="130"/>
        <v/>
      </c>
      <c r="FZ27" s="636" t="str">
        <f t="shared" si="131"/>
        <v/>
      </c>
      <c r="GA27" s="636" t="str">
        <f t="shared" si="132"/>
        <v/>
      </c>
      <c r="GB27" s="636" t="str">
        <f t="shared" si="133"/>
        <v/>
      </c>
      <c r="GC27" s="636" t="str">
        <f t="shared" si="134"/>
        <v/>
      </c>
      <c r="GD27" s="636" t="str">
        <f t="shared" si="135"/>
        <v/>
      </c>
      <c r="GE27" s="636" t="str">
        <f t="shared" si="136"/>
        <v/>
      </c>
      <c r="GF27" s="636" t="str">
        <f t="shared" si="137"/>
        <v/>
      </c>
      <c r="GG27" s="636" t="str">
        <f t="shared" si="138"/>
        <v/>
      </c>
      <c r="GH27" s="636" t="str">
        <f t="shared" si="139"/>
        <v/>
      </c>
      <c r="GI27" s="636" t="str">
        <f t="shared" si="140"/>
        <v/>
      </c>
      <c r="GJ27" s="636" t="str">
        <f t="shared" si="141"/>
        <v/>
      </c>
      <c r="GK27" s="636" t="str">
        <f t="shared" si="142"/>
        <v/>
      </c>
      <c r="GL27" s="636" t="str">
        <f t="shared" si="143"/>
        <v/>
      </c>
      <c r="GM27" s="636" t="str">
        <f t="shared" si="144"/>
        <v/>
      </c>
      <c r="GN27" s="636" t="str">
        <f t="shared" si="145"/>
        <v/>
      </c>
      <c r="GO27" s="637" t="str">
        <f t="shared" si="146"/>
        <v/>
      </c>
      <c r="GP27" s="637" t="str">
        <f t="shared" si="147"/>
        <v/>
      </c>
      <c r="GQ27" s="637" t="str">
        <f t="shared" si="148"/>
        <v/>
      </c>
      <c r="GR27" s="637" t="str">
        <f t="shared" si="149"/>
        <v/>
      </c>
      <c r="GS27" s="637" t="str">
        <f t="shared" si="150"/>
        <v/>
      </c>
      <c r="GT27" s="624" t="str">
        <f t="shared" si="151"/>
        <v/>
      </c>
      <c r="GU27" s="624" t="str">
        <f t="shared" si="152"/>
        <v/>
      </c>
      <c r="GV27" s="624" t="str">
        <f t="shared" si="153"/>
        <v/>
      </c>
      <c r="GW27" s="624" t="str">
        <f t="shared" si="154"/>
        <v/>
      </c>
      <c r="GX27" s="624" t="str">
        <f t="shared" si="155"/>
        <v/>
      </c>
      <c r="GY27" s="624" t="str">
        <f t="shared" si="156"/>
        <v/>
      </c>
      <c r="GZ27" s="624" t="str">
        <f t="shared" si="157"/>
        <v/>
      </c>
      <c r="HA27" s="624" t="str">
        <f t="shared" si="158"/>
        <v/>
      </c>
      <c r="HB27" s="624" t="str">
        <f t="shared" si="159"/>
        <v/>
      </c>
      <c r="HC27" s="624" t="str">
        <f t="shared" si="160"/>
        <v/>
      </c>
      <c r="HD27" s="624" t="str">
        <f t="shared" si="161"/>
        <v/>
      </c>
      <c r="HE27" s="624" t="str">
        <f t="shared" si="162"/>
        <v/>
      </c>
      <c r="HF27" s="624" t="str">
        <f t="shared" si="163"/>
        <v/>
      </c>
      <c r="HG27" s="624" t="str">
        <f t="shared" si="164"/>
        <v/>
      </c>
      <c r="HH27" s="624" t="str">
        <f t="shared" si="165"/>
        <v/>
      </c>
      <c r="HI27" s="624" t="str">
        <f t="shared" si="166"/>
        <v/>
      </c>
      <c r="HJ27" s="624" t="str">
        <f t="shared" si="167"/>
        <v/>
      </c>
      <c r="HK27" s="624" t="str">
        <f t="shared" si="168"/>
        <v/>
      </c>
      <c r="HL27" s="624" t="str">
        <f t="shared" si="169"/>
        <v/>
      </c>
      <c r="HM27" s="624" t="str">
        <f t="shared" si="170"/>
        <v/>
      </c>
    </row>
    <row r="28" spans="1:221" ht="13.15" customHeight="1">
      <c r="A28" s="130" t="str">
        <f t="shared" si="171"/>
        <v/>
      </c>
      <c r="B28" s="1553" t="s">
        <v>2466</v>
      </c>
      <c r="C28" s="1554"/>
      <c r="D28" s="1555"/>
      <c r="E28" s="1556"/>
      <c r="F28" s="1556"/>
      <c r="G28" s="1556"/>
      <c r="H28" s="1556"/>
      <c r="I28" s="1556"/>
      <c r="J28" s="1557"/>
      <c r="K28" s="205">
        <f>MAX(0,H28-I28)</f>
        <v>0</v>
      </c>
      <c r="L28" s="205">
        <f t="shared" si="0"/>
        <v>0</v>
      </c>
      <c r="M28" s="1558"/>
      <c r="N28" s="1558"/>
      <c r="O28" s="1558"/>
      <c r="P28" s="559" t="str">
        <f t="shared" si="203"/>
        <v/>
      </c>
      <c r="Q28" s="560" t="str">
        <f>IF(H28="","",P28/($P$6*VLOOKUP(C28,'DCA Underwriting Assumptions'!$J$81:$K$86,2,FALSE)))</f>
        <v/>
      </c>
      <c r="R28" s="667"/>
      <c r="S28" s="560"/>
      <c r="T28" s="1497"/>
      <c r="U28" s="1498"/>
      <c r="V28" s="624" t="str">
        <f t="shared" si="1"/>
        <v/>
      </c>
      <c r="W28" s="624" t="str">
        <f t="shared" si="2"/>
        <v/>
      </c>
      <c r="X28" s="624" t="str">
        <f t="shared" si="3"/>
        <v/>
      </c>
      <c r="Y28" s="624" t="str">
        <f t="shared" si="4"/>
        <v/>
      </c>
      <c r="Z28" s="624" t="str">
        <f t="shared" si="5"/>
        <v/>
      </c>
      <c r="AA28" s="624" t="str">
        <f t="shared" si="6"/>
        <v/>
      </c>
      <c r="AB28" s="624" t="str">
        <f t="shared" si="7"/>
        <v/>
      </c>
      <c r="AC28" s="624" t="str">
        <f t="shared" si="8"/>
        <v/>
      </c>
      <c r="AD28" s="624" t="str">
        <f t="shared" si="9"/>
        <v/>
      </c>
      <c r="AE28" s="624" t="str">
        <f t="shared" si="10"/>
        <v/>
      </c>
      <c r="AF28" s="624" t="str">
        <f t="shared" si="11"/>
        <v/>
      </c>
      <c r="AG28" s="624" t="str">
        <f t="shared" si="12"/>
        <v/>
      </c>
      <c r="AH28" s="624" t="str">
        <f t="shared" si="13"/>
        <v/>
      </c>
      <c r="AI28" s="624" t="str">
        <f t="shared" si="14"/>
        <v/>
      </c>
      <c r="AJ28" s="624" t="str">
        <f t="shared" si="15"/>
        <v/>
      </c>
      <c r="AK28" s="624" t="str">
        <f t="shared" si="16"/>
        <v/>
      </c>
      <c r="AL28" s="624" t="str">
        <f t="shared" si="17"/>
        <v/>
      </c>
      <c r="AM28" s="624" t="str">
        <f t="shared" si="18"/>
        <v/>
      </c>
      <c r="AN28" s="624" t="str">
        <f t="shared" si="19"/>
        <v/>
      </c>
      <c r="AO28" s="624" t="str">
        <f t="shared" si="20"/>
        <v/>
      </c>
      <c r="AP28" s="624" t="str">
        <f t="shared" si="173"/>
        <v/>
      </c>
      <c r="AQ28" s="624" t="str">
        <f t="shared" si="174"/>
        <v/>
      </c>
      <c r="AR28" s="624" t="str">
        <f t="shared" si="175"/>
        <v/>
      </c>
      <c r="AS28" s="624" t="str">
        <f t="shared" si="176"/>
        <v/>
      </c>
      <c r="AT28" s="624" t="str">
        <f t="shared" si="177"/>
        <v/>
      </c>
      <c r="AU28" s="624" t="str">
        <f t="shared" si="178"/>
        <v/>
      </c>
      <c r="AV28" s="624" t="str">
        <f t="shared" si="179"/>
        <v/>
      </c>
      <c r="AW28" s="624" t="str">
        <f t="shared" si="180"/>
        <v/>
      </c>
      <c r="AX28" s="624" t="str">
        <f t="shared" si="181"/>
        <v/>
      </c>
      <c r="AY28" s="624" t="str">
        <f t="shared" si="182"/>
        <v/>
      </c>
      <c r="AZ28" s="624" t="str">
        <f t="shared" si="183"/>
        <v/>
      </c>
      <c r="BA28" s="624" t="str">
        <f t="shared" si="184"/>
        <v/>
      </c>
      <c r="BB28" s="624" t="str">
        <f t="shared" si="185"/>
        <v/>
      </c>
      <c r="BC28" s="624" t="str">
        <f t="shared" si="186"/>
        <v/>
      </c>
      <c r="BD28" s="624" t="str">
        <f t="shared" si="187"/>
        <v/>
      </c>
      <c r="BE28" s="624" t="str">
        <f t="shared" si="188"/>
        <v/>
      </c>
      <c r="BF28" s="624" t="str">
        <f t="shared" si="189"/>
        <v/>
      </c>
      <c r="BG28" s="624" t="str">
        <f t="shared" si="190"/>
        <v/>
      </c>
      <c r="BH28" s="624" t="str">
        <f t="shared" si="191"/>
        <v/>
      </c>
      <c r="BI28" s="624" t="str">
        <f t="shared" si="192"/>
        <v/>
      </c>
      <c r="BJ28" s="624" t="str">
        <f t="shared" si="193"/>
        <v/>
      </c>
      <c r="BK28" s="624" t="str">
        <f t="shared" si="194"/>
        <v/>
      </c>
      <c r="BL28" s="624" t="str">
        <f t="shared" si="195"/>
        <v/>
      </c>
      <c r="BM28" s="624" t="str">
        <f t="shared" si="196"/>
        <v/>
      </c>
      <c r="BN28" s="624" t="str">
        <f t="shared" si="197"/>
        <v/>
      </c>
      <c r="BO28" s="624" t="str">
        <f t="shared" si="198"/>
        <v/>
      </c>
      <c r="BP28" s="624" t="str">
        <f t="shared" si="199"/>
        <v/>
      </c>
      <c r="BQ28" s="624" t="str">
        <f t="shared" si="200"/>
        <v/>
      </c>
      <c r="BR28" s="624" t="str">
        <f t="shared" si="201"/>
        <v/>
      </c>
      <c r="BS28" s="624" t="str">
        <f t="shared" si="202"/>
        <v/>
      </c>
      <c r="BT28" s="624" t="str">
        <f t="shared" si="21"/>
        <v/>
      </c>
      <c r="BU28" s="624" t="str">
        <f t="shared" si="22"/>
        <v/>
      </c>
      <c r="BV28" s="624" t="str">
        <f t="shared" si="23"/>
        <v/>
      </c>
      <c r="BW28" s="624" t="str">
        <f t="shared" si="24"/>
        <v/>
      </c>
      <c r="BX28" s="624" t="str">
        <f t="shared" si="25"/>
        <v/>
      </c>
      <c r="BY28" s="624" t="str">
        <f t="shared" si="26"/>
        <v/>
      </c>
      <c r="BZ28" s="624" t="str">
        <f t="shared" si="27"/>
        <v/>
      </c>
      <c r="CA28" s="624" t="str">
        <f t="shared" si="28"/>
        <v/>
      </c>
      <c r="CB28" s="624" t="str">
        <f t="shared" si="29"/>
        <v/>
      </c>
      <c r="CC28" s="624" t="str">
        <f t="shared" si="30"/>
        <v/>
      </c>
      <c r="CD28" s="624" t="str">
        <f t="shared" si="31"/>
        <v/>
      </c>
      <c r="CE28" s="624" t="str">
        <f t="shared" si="32"/>
        <v/>
      </c>
      <c r="CF28" s="624" t="str">
        <f t="shared" si="33"/>
        <v/>
      </c>
      <c r="CG28" s="624" t="str">
        <f t="shared" si="34"/>
        <v/>
      </c>
      <c r="CH28" s="624" t="str">
        <f t="shared" si="35"/>
        <v/>
      </c>
      <c r="CI28" s="624" t="str">
        <f t="shared" si="36"/>
        <v/>
      </c>
      <c r="CJ28" s="624" t="str">
        <f t="shared" si="37"/>
        <v/>
      </c>
      <c r="CK28" s="624" t="str">
        <f t="shared" si="38"/>
        <v/>
      </c>
      <c r="CL28" s="624" t="str">
        <f t="shared" si="39"/>
        <v/>
      </c>
      <c r="CM28" s="624" t="str">
        <f t="shared" si="40"/>
        <v/>
      </c>
      <c r="CN28" s="624" t="str">
        <f t="shared" si="41"/>
        <v/>
      </c>
      <c r="CO28" s="624" t="str">
        <f t="shared" si="42"/>
        <v/>
      </c>
      <c r="CP28" s="624" t="str">
        <f t="shared" si="43"/>
        <v/>
      </c>
      <c r="CQ28" s="624" t="str">
        <f t="shared" si="44"/>
        <v/>
      </c>
      <c r="CR28" s="624" t="str">
        <f t="shared" si="45"/>
        <v/>
      </c>
      <c r="CS28" s="624" t="str">
        <f t="shared" si="46"/>
        <v/>
      </c>
      <c r="CT28" s="624" t="str">
        <f t="shared" si="47"/>
        <v/>
      </c>
      <c r="CU28" s="624" t="str">
        <f t="shared" si="48"/>
        <v/>
      </c>
      <c r="CV28" s="624" t="str">
        <f t="shared" si="49"/>
        <v/>
      </c>
      <c r="CW28" s="624" t="str">
        <f t="shared" si="50"/>
        <v/>
      </c>
      <c r="CX28" s="624" t="str">
        <f t="shared" si="51"/>
        <v/>
      </c>
      <c r="CY28" s="624" t="str">
        <f t="shared" si="52"/>
        <v/>
      </c>
      <c r="CZ28" s="624" t="str">
        <f t="shared" si="53"/>
        <v/>
      </c>
      <c r="DA28" s="624" t="str">
        <f t="shared" si="54"/>
        <v/>
      </c>
      <c r="DB28" s="624" t="str">
        <f t="shared" si="55"/>
        <v/>
      </c>
      <c r="DC28" s="624" t="str">
        <f t="shared" si="56"/>
        <v/>
      </c>
      <c r="DD28" s="624" t="str">
        <f t="shared" si="57"/>
        <v/>
      </c>
      <c r="DE28" s="624" t="str">
        <f t="shared" si="58"/>
        <v/>
      </c>
      <c r="DF28" s="624" t="str">
        <f t="shared" si="59"/>
        <v/>
      </c>
      <c r="DG28" s="624" t="str">
        <f t="shared" si="60"/>
        <v/>
      </c>
      <c r="DH28" s="624" t="str">
        <f t="shared" si="61"/>
        <v/>
      </c>
      <c r="DI28" s="624" t="str">
        <f t="shared" si="62"/>
        <v/>
      </c>
      <c r="DJ28" s="624" t="str">
        <f t="shared" si="63"/>
        <v/>
      </c>
      <c r="DK28" s="624" t="str">
        <f t="shared" si="64"/>
        <v/>
      </c>
      <c r="DL28" s="624" t="str">
        <f t="shared" si="65"/>
        <v/>
      </c>
      <c r="DM28" s="624" t="str">
        <f t="shared" si="66"/>
        <v/>
      </c>
      <c r="DN28" s="624" t="str">
        <f t="shared" si="67"/>
        <v/>
      </c>
      <c r="DO28" s="624" t="str">
        <f t="shared" si="68"/>
        <v/>
      </c>
      <c r="DP28" s="624" t="str">
        <f t="shared" si="69"/>
        <v/>
      </c>
      <c r="DQ28" s="624" t="str">
        <f t="shared" si="70"/>
        <v/>
      </c>
      <c r="DR28" s="624" t="str">
        <f t="shared" si="71"/>
        <v/>
      </c>
      <c r="DS28" s="624" t="str">
        <f t="shared" si="72"/>
        <v/>
      </c>
      <c r="DT28" s="624" t="str">
        <f t="shared" si="73"/>
        <v/>
      </c>
      <c r="DU28" s="624" t="str">
        <f t="shared" si="74"/>
        <v/>
      </c>
      <c r="DV28" s="624" t="str">
        <f t="shared" si="75"/>
        <v/>
      </c>
      <c r="DW28" s="624" t="str">
        <f t="shared" si="76"/>
        <v/>
      </c>
      <c r="DX28" s="624" t="str">
        <f t="shared" si="77"/>
        <v/>
      </c>
      <c r="DY28" s="624" t="str">
        <f t="shared" si="78"/>
        <v/>
      </c>
      <c r="DZ28" s="624" t="str">
        <f t="shared" si="79"/>
        <v/>
      </c>
      <c r="EA28" s="624" t="str">
        <f t="shared" si="80"/>
        <v/>
      </c>
      <c r="EB28" s="624" t="str">
        <f t="shared" si="81"/>
        <v/>
      </c>
      <c r="EC28" s="624" t="str">
        <f t="shared" si="82"/>
        <v/>
      </c>
      <c r="ED28" s="624" t="str">
        <f t="shared" si="83"/>
        <v/>
      </c>
      <c r="EE28" s="624" t="str">
        <f t="shared" si="84"/>
        <v/>
      </c>
      <c r="EF28" s="624" t="str">
        <f t="shared" si="85"/>
        <v/>
      </c>
      <c r="EG28" s="624" t="str">
        <f t="shared" si="86"/>
        <v/>
      </c>
      <c r="EH28" s="624" t="str">
        <f t="shared" si="87"/>
        <v/>
      </c>
      <c r="EI28" s="624" t="str">
        <f t="shared" si="88"/>
        <v/>
      </c>
      <c r="EJ28" s="624" t="str">
        <f t="shared" si="89"/>
        <v/>
      </c>
      <c r="EK28" s="624" t="str">
        <f t="shared" si="90"/>
        <v/>
      </c>
      <c r="EL28" s="624" t="str">
        <f t="shared" si="91"/>
        <v/>
      </c>
      <c r="EM28" s="624" t="str">
        <f t="shared" si="92"/>
        <v/>
      </c>
      <c r="EN28" s="624" t="str">
        <f t="shared" si="93"/>
        <v/>
      </c>
      <c r="EO28" s="624" t="str">
        <f t="shared" si="94"/>
        <v/>
      </c>
      <c r="EP28" s="624" t="str">
        <f t="shared" si="95"/>
        <v/>
      </c>
      <c r="EQ28" s="624" t="str">
        <f t="shared" si="96"/>
        <v/>
      </c>
      <c r="ER28" s="624" t="str">
        <f t="shared" si="97"/>
        <v/>
      </c>
      <c r="ES28" s="624" t="str">
        <f t="shared" si="98"/>
        <v/>
      </c>
      <c r="ET28" s="624" t="str">
        <f t="shared" si="99"/>
        <v/>
      </c>
      <c r="EU28" s="624" t="str">
        <f t="shared" si="100"/>
        <v/>
      </c>
      <c r="EV28" s="636" t="str">
        <f t="shared" si="101"/>
        <v/>
      </c>
      <c r="EW28" s="636" t="str">
        <f t="shared" si="102"/>
        <v/>
      </c>
      <c r="EX28" s="636" t="str">
        <f t="shared" si="103"/>
        <v/>
      </c>
      <c r="EY28" s="636" t="str">
        <f t="shared" si="104"/>
        <v/>
      </c>
      <c r="EZ28" s="636" t="str">
        <f t="shared" si="105"/>
        <v/>
      </c>
      <c r="FA28" s="636" t="str">
        <f t="shared" si="106"/>
        <v/>
      </c>
      <c r="FB28" s="636" t="str">
        <f t="shared" si="107"/>
        <v/>
      </c>
      <c r="FC28" s="636" t="str">
        <f t="shared" si="108"/>
        <v/>
      </c>
      <c r="FD28" s="636" t="str">
        <f t="shared" si="109"/>
        <v/>
      </c>
      <c r="FE28" s="636" t="str">
        <f t="shared" si="110"/>
        <v/>
      </c>
      <c r="FF28" s="636" t="str">
        <f t="shared" si="111"/>
        <v/>
      </c>
      <c r="FG28" s="636" t="str">
        <f t="shared" si="112"/>
        <v/>
      </c>
      <c r="FH28" s="636" t="str">
        <f t="shared" si="113"/>
        <v/>
      </c>
      <c r="FI28" s="636" t="str">
        <f t="shared" si="114"/>
        <v/>
      </c>
      <c r="FJ28" s="636" t="str">
        <f t="shared" si="115"/>
        <v/>
      </c>
      <c r="FK28" s="636" t="str">
        <f t="shared" si="116"/>
        <v/>
      </c>
      <c r="FL28" s="636" t="str">
        <f t="shared" si="117"/>
        <v/>
      </c>
      <c r="FM28" s="636" t="str">
        <f t="shared" si="118"/>
        <v/>
      </c>
      <c r="FN28" s="636" t="str">
        <f t="shared" si="119"/>
        <v/>
      </c>
      <c r="FO28" s="636" t="str">
        <f t="shared" si="120"/>
        <v/>
      </c>
      <c r="FP28" s="636" t="str">
        <f t="shared" si="121"/>
        <v/>
      </c>
      <c r="FQ28" s="636" t="str">
        <f t="shared" si="122"/>
        <v/>
      </c>
      <c r="FR28" s="636" t="str">
        <f t="shared" si="123"/>
        <v/>
      </c>
      <c r="FS28" s="636" t="str">
        <f t="shared" si="124"/>
        <v/>
      </c>
      <c r="FT28" s="636" t="str">
        <f t="shared" si="125"/>
        <v/>
      </c>
      <c r="FU28" s="636" t="str">
        <f t="shared" si="126"/>
        <v/>
      </c>
      <c r="FV28" s="636" t="str">
        <f t="shared" si="127"/>
        <v/>
      </c>
      <c r="FW28" s="636" t="str">
        <f t="shared" si="128"/>
        <v/>
      </c>
      <c r="FX28" s="636" t="str">
        <f t="shared" si="129"/>
        <v/>
      </c>
      <c r="FY28" s="636" t="str">
        <f t="shared" si="130"/>
        <v/>
      </c>
      <c r="FZ28" s="636" t="str">
        <f t="shared" si="131"/>
        <v/>
      </c>
      <c r="GA28" s="636" t="str">
        <f t="shared" si="132"/>
        <v/>
      </c>
      <c r="GB28" s="636" t="str">
        <f t="shared" si="133"/>
        <v/>
      </c>
      <c r="GC28" s="636" t="str">
        <f t="shared" si="134"/>
        <v/>
      </c>
      <c r="GD28" s="636" t="str">
        <f t="shared" si="135"/>
        <v/>
      </c>
      <c r="GE28" s="636" t="str">
        <f t="shared" si="136"/>
        <v/>
      </c>
      <c r="GF28" s="636" t="str">
        <f t="shared" si="137"/>
        <v/>
      </c>
      <c r="GG28" s="636" t="str">
        <f t="shared" si="138"/>
        <v/>
      </c>
      <c r="GH28" s="636" t="str">
        <f t="shared" si="139"/>
        <v/>
      </c>
      <c r="GI28" s="636" t="str">
        <f t="shared" si="140"/>
        <v/>
      </c>
      <c r="GJ28" s="636" t="str">
        <f t="shared" si="141"/>
        <v/>
      </c>
      <c r="GK28" s="636" t="str">
        <f t="shared" si="142"/>
        <v/>
      </c>
      <c r="GL28" s="636" t="str">
        <f t="shared" si="143"/>
        <v/>
      </c>
      <c r="GM28" s="636" t="str">
        <f t="shared" si="144"/>
        <v/>
      </c>
      <c r="GN28" s="636" t="str">
        <f t="shared" si="145"/>
        <v/>
      </c>
      <c r="GO28" s="637" t="str">
        <f t="shared" si="146"/>
        <v/>
      </c>
      <c r="GP28" s="637" t="str">
        <f t="shared" si="147"/>
        <v/>
      </c>
      <c r="GQ28" s="637" t="str">
        <f t="shared" si="148"/>
        <v/>
      </c>
      <c r="GR28" s="637" t="str">
        <f t="shared" si="149"/>
        <v/>
      </c>
      <c r="GS28" s="637" t="str">
        <f t="shared" si="150"/>
        <v/>
      </c>
      <c r="GT28" s="624" t="str">
        <f t="shared" si="151"/>
        <v/>
      </c>
      <c r="GU28" s="624" t="str">
        <f t="shared" si="152"/>
        <v/>
      </c>
      <c r="GV28" s="624" t="str">
        <f t="shared" si="153"/>
        <v/>
      </c>
      <c r="GW28" s="624" t="str">
        <f t="shared" si="154"/>
        <v/>
      </c>
      <c r="GX28" s="624" t="str">
        <f t="shared" si="155"/>
        <v/>
      </c>
      <c r="GY28" s="624" t="str">
        <f t="shared" si="156"/>
        <v/>
      </c>
      <c r="GZ28" s="624" t="str">
        <f t="shared" si="157"/>
        <v/>
      </c>
      <c r="HA28" s="624" t="str">
        <f t="shared" si="158"/>
        <v/>
      </c>
      <c r="HB28" s="624" t="str">
        <f t="shared" si="159"/>
        <v/>
      </c>
      <c r="HC28" s="624" t="str">
        <f t="shared" si="160"/>
        <v/>
      </c>
      <c r="HD28" s="624" t="str">
        <f t="shared" si="161"/>
        <v/>
      </c>
      <c r="HE28" s="624" t="str">
        <f t="shared" si="162"/>
        <v/>
      </c>
      <c r="HF28" s="624" t="str">
        <f t="shared" si="163"/>
        <v/>
      </c>
      <c r="HG28" s="624" t="str">
        <f t="shared" si="164"/>
        <v/>
      </c>
      <c r="HH28" s="624" t="str">
        <f t="shared" si="165"/>
        <v/>
      </c>
      <c r="HI28" s="624" t="str">
        <f t="shared" si="166"/>
        <v/>
      </c>
      <c r="HJ28" s="624" t="str">
        <f t="shared" si="167"/>
        <v/>
      </c>
      <c r="HK28" s="624" t="str">
        <f t="shared" si="168"/>
        <v/>
      </c>
      <c r="HL28" s="624" t="str">
        <f t="shared" si="169"/>
        <v/>
      </c>
      <c r="HM28" s="624" t="str">
        <f t="shared" si="170"/>
        <v/>
      </c>
    </row>
    <row r="29" spans="1:221" ht="13.15" customHeight="1">
      <c r="A29" s="130" t="str">
        <f t="shared" si="171"/>
        <v/>
      </c>
      <c r="B29" s="1553" t="s">
        <v>2466</v>
      </c>
      <c r="C29" s="1554"/>
      <c r="D29" s="1555"/>
      <c r="E29" s="1556"/>
      <c r="F29" s="1556"/>
      <c r="G29" s="1556"/>
      <c r="H29" s="1556"/>
      <c r="I29" s="1556"/>
      <c r="J29" s="1557"/>
      <c r="K29" s="205">
        <f t="shared" ref="K29:K47" si="204">MAX(0,H29-I29)</f>
        <v>0</v>
      </c>
      <c r="L29" s="205">
        <f t="shared" si="0"/>
        <v>0</v>
      </c>
      <c r="M29" s="1558"/>
      <c r="N29" s="1558"/>
      <c r="O29" s="1558"/>
      <c r="P29" s="559" t="str">
        <f t="shared" si="203"/>
        <v/>
      </c>
      <c r="Q29" s="560" t="str">
        <f>IF(H29="","",P29/($P$6*VLOOKUP(C29,'DCA Underwriting Assumptions'!$J$81:$K$86,2,FALSE)))</f>
        <v/>
      </c>
      <c r="R29" s="667"/>
      <c r="S29" s="560"/>
      <c r="T29" s="1497"/>
      <c r="U29" s="1498"/>
      <c r="V29" s="624" t="str">
        <f t="shared" si="1"/>
        <v/>
      </c>
      <c r="W29" s="624" t="str">
        <f t="shared" si="2"/>
        <v/>
      </c>
      <c r="X29" s="624" t="str">
        <f t="shared" si="3"/>
        <v/>
      </c>
      <c r="Y29" s="624" t="str">
        <f t="shared" si="4"/>
        <v/>
      </c>
      <c r="Z29" s="624" t="str">
        <f t="shared" si="5"/>
        <v/>
      </c>
      <c r="AA29" s="624" t="str">
        <f t="shared" si="6"/>
        <v/>
      </c>
      <c r="AB29" s="624" t="str">
        <f t="shared" si="7"/>
        <v/>
      </c>
      <c r="AC29" s="624" t="str">
        <f t="shared" si="8"/>
        <v/>
      </c>
      <c r="AD29" s="624" t="str">
        <f t="shared" si="9"/>
        <v/>
      </c>
      <c r="AE29" s="624" t="str">
        <f t="shared" si="10"/>
        <v/>
      </c>
      <c r="AF29" s="624" t="str">
        <f t="shared" si="11"/>
        <v/>
      </c>
      <c r="AG29" s="624" t="str">
        <f t="shared" si="12"/>
        <v/>
      </c>
      <c r="AH29" s="624" t="str">
        <f t="shared" si="13"/>
        <v/>
      </c>
      <c r="AI29" s="624" t="str">
        <f t="shared" si="14"/>
        <v/>
      </c>
      <c r="AJ29" s="624" t="str">
        <f t="shared" si="15"/>
        <v/>
      </c>
      <c r="AK29" s="624" t="str">
        <f t="shared" si="16"/>
        <v/>
      </c>
      <c r="AL29" s="624" t="str">
        <f t="shared" si="17"/>
        <v/>
      </c>
      <c r="AM29" s="624" t="str">
        <f t="shared" si="18"/>
        <v/>
      </c>
      <c r="AN29" s="624" t="str">
        <f t="shared" si="19"/>
        <v/>
      </c>
      <c r="AO29" s="624" t="str">
        <f t="shared" si="20"/>
        <v/>
      </c>
      <c r="AP29" s="624" t="str">
        <f t="shared" si="173"/>
        <v/>
      </c>
      <c r="AQ29" s="624" t="str">
        <f t="shared" si="174"/>
        <v/>
      </c>
      <c r="AR29" s="624" t="str">
        <f t="shared" si="175"/>
        <v/>
      </c>
      <c r="AS29" s="624" t="str">
        <f t="shared" si="176"/>
        <v/>
      </c>
      <c r="AT29" s="624" t="str">
        <f t="shared" si="177"/>
        <v/>
      </c>
      <c r="AU29" s="624" t="str">
        <f t="shared" si="178"/>
        <v/>
      </c>
      <c r="AV29" s="624" t="str">
        <f t="shared" si="179"/>
        <v/>
      </c>
      <c r="AW29" s="624" t="str">
        <f t="shared" si="180"/>
        <v/>
      </c>
      <c r="AX29" s="624" t="str">
        <f t="shared" si="181"/>
        <v/>
      </c>
      <c r="AY29" s="624" t="str">
        <f t="shared" si="182"/>
        <v/>
      </c>
      <c r="AZ29" s="624" t="str">
        <f t="shared" si="183"/>
        <v/>
      </c>
      <c r="BA29" s="624" t="str">
        <f t="shared" si="184"/>
        <v/>
      </c>
      <c r="BB29" s="624" t="str">
        <f t="shared" si="185"/>
        <v/>
      </c>
      <c r="BC29" s="624" t="str">
        <f t="shared" si="186"/>
        <v/>
      </c>
      <c r="BD29" s="624" t="str">
        <f t="shared" si="187"/>
        <v/>
      </c>
      <c r="BE29" s="624" t="str">
        <f t="shared" si="188"/>
        <v/>
      </c>
      <c r="BF29" s="624" t="str">
        <f t="shared" si="189"/>
        <v/>
      </c>
      <c r="BG29" s="624" t="str">
        <f t="shared" si="190"/>
        <v/>
      </c>
      <c r="BH29" s="624" t="str">
        <f t="shared" si="191"/>
        <v/>
      </c>
      <c r="BI29" s="624" t="str">
        <f t="shared" si="192"/>
        <v/>
      </c>
      <c r="BJ29" s="624" t="str">
        <f t="shared" si="193"/>
        <v/>
      </c>
      <c r="BK29" s="624" t="str">
        <f t="shared" si="194"/>
        <v/>
      </c>
      <c r="BL29" s="624" t="str">
        <f t="shared" si="195"/>
        <v/>
      </c>
      <c r="BM29" s="624" t="str">
        <f t="shared" si="196"/>
        <v/>
      </c>
      <c r="BN29" s="624" t="str">
        <f t="shared" si="197"/>
        <v/>
      </c>
      <c r="BO29" s="624" t="str">
        <f t="shared" si="198"/>
        <v/>
      </c>
      <c r="BP29" s="624" t="str">
        <f t="shared" si="199"/>
        <v/>
      </c>
      <c r="BQ29" s="624" t="str">
        <f t="shared" si="200"/>
        <v/>
      </c>
      <c r="BR29" s="624" t="str">
        <f t="shared" si="201"/>
        <v/>
      </c>
      <c r="BS29" s="624" t="str">
        <f t="shared" si="202"/>
        <v/>
      </c>
      <c r="BT29" s="624" t="str">
        <f t="shared" si="21"/>
        <v/>
      </c>
      <c r="BU29" s="624" t="str">
        <f t="shared" si="22"/>
        <v/>
      </c>
      <c r="BV29" s="624" t="str">
        <f t="shared" si="23"/>
        <v/>
      </c>
      <c r="BW29" s="624" t="str">
        <f t="shared" si="24"/>
        <v/>
      </c>
      <c r="BX29" s="624" t="str">
        <f t="shared" si="25"/>
        <v/>
      </c>
      <c r="BY29" s="624" t="str">
        <f t="shared" si="26"/>
        <v/>
      </c>
      <c r="BZ29" s="624" t="str">
        <f t="shared" si="27"/>
        <v/>
      </c>
      <c r="CA29" s="624" t="str">
        <f t="shared" si="28"/>
        <v/>
      </c>
      <c r="CB29" s="624" t="str">
        <f t="shared" si="29"/>
        <v/>
      </c>
      <c r="CC29" s="624" t="str">
        <f t="shared" si="30"/>
        <v/>
      </c>
      <c r="CD29" s="624" t="str">
        <f t="shared" si="31"/>
        <v/>
      </c>
      <c r="CE29" s="624" t="str">
        <f t="shared" si="32"/>
        <v/>
      </c>
      <c r="CF29" s="624" t="str">
        <f t="shared" si="33"/>
        <v/>
      </c>
      <c r="CG29" s="624" t="str">
        <f t="shared" si="34"/>
        <v/>
      </c>
      <c r="CH29" s="624" t="str">
        <f t="shared" si="35"/>
        <v/>
      </c>
      <c r="CI29" s="624" t="str">
        <f t="shared" si="36"/>
        <v/>
      </c>
      <c r="CJ29" s="624" t="str">
        <f t="shared" si="37"/>
        <v/>
      </c>
      <c r="CK29" s="624" t="str">
        <f t="shared" si="38"/>
        <v/>
      </c>
      <c r="CL29" s="624" t="str">
        <f t="shared" si="39"/>
        <v/>
      </c>
      <c r="CM29" s="624" t="str">
        <f t="shared" si="40"/>
        <v/>
      </c>
      <c r="CN29" s="624" t="str">
        <f t="shared" si="41"/>
        <v/>
      </c>
      <c r="CO29" s="624" t="str">
        <f t="shared" si="42"/>
        <v/>
      </c>
      <c r="CP29" s="624" t="str">
        <f t="shared" si="43"/>
        <v/>
      </c>
      <c r="CQ29" s="624" t="str">
        <f t="shared" si="44"/>
        <v/>
      </c>
      <c r="CR29" s="624" t="str">
        <f t="shared" si="45"/>
        <v/>
      </c>
      <c r="CS29" s="624" t="str">
        <f t="shared" si="46"/>
        <v/>
      </c>
      <c r="CT29" s="624" t="str">
        <f t="shared" si="47"/>
        <v/>
      </c>
      <c r="CU29" s="624" t="str">
        <f t="shared" si="48"/>
        <v/>
      </c>
      <c r="CV29" s="624" t="str">
        <f t="shared" si="49"/>
        <v/>
      </c>
      <c r="CW29" s="624" t="str">
        <f t="shared" si="50"/>
        <v/>
      </c>
      <c r="CX29" s="624" t="str">
        <f t="shared" si="51"/>
        <v/>
      </c>
      <c r="CY29" s="624" t="str">
        <f t="shared" si="52"/>
        <v/>
      </c>
      <c r="CZ29" s="624" t="str">
        <f t="shared" si="53"/>
        <v/>
      </c>
      <c r="DA29" s="624" t="str">
        <f t="shared" si="54"/>
        <v/>
      </c>
      <c r="DB29" s="624" t="str">
        <f t="shared" si="55"/>
        <v/>
      </c>
      <c r="DC29" s="624" t="str">
        <f t="shared" si="56"/>
        <v/>
      </c>
      <c r="DD29" s="624" t="str">
        <f t="shared" si="57"/>
        <v/>
      </c>
      <c r="DE29" s="624" t="str">
        <f t="shared" si="58"/>
        <v/>
      </c>
      <c r="DF29" s="624" t="str">
        <f t="shared" si="59"/>
        <v/>
      </c>
      <c r="DG29" s="624" t="str">
        <f t="shared" si="60"/>
        <v/>
      </c>
      <c r="DH29" s="624" t="str">
        <f t="shared" si="61"/>
        <v/>
      </c>
      <c r="DI29" s="624" t="str">
        <f t="shared" si="62"/>
        <v/>
      </c>
      <c r="DJ29" s="624" t="str">
        <f t="shared" si="63"/>
        <v/>
      </c>
      <c r="DK29" s="624" t="str">
        <f t="shared" si="64"/>
        <v/>
      </c>
      <c r="DL29" s="624" t="str">
        <f t="shared" si="65"/>
        <v/>
      </c>
      <c r="DM29" s="624" t="str">
        <f t="shared" si="66"/>
        <v/>
      </c>
      <c r="DN29" s="624" t="str">
        <f t="shared" si="67"/>
        <v/>
      </c>
      <c r="DO29" s="624" t="str">
        <f t="shared" si="68"/>
        <v/>
      </c>
      <c r="DP29" s="624" t="str">
        <f t="shared" si="69"/>
        <v/>
      </c>
      <c r="DQ29" s="624" t="str">
        <f t="shared" si="70"/>
        <v/>
      </c>
      <c r="DR29" s="624" t="str">
        <f t="shared" si="71"/>
        <v/>
      </c>
      <c r="DS29" s="624" t="str">
        <f t="shared" si="72"/>
        <v/>
      </c>
      <c r="DT29" s="624" t="str">
        <f t="shared" si="73"/>
        <v/>
      </c>
      <c r="DU29" s="624" t="str">
        <f t="shared" si="74"/>
        <v/>
      </c>
      <c r="DV29" s="624" t="str">
        <f t="shared" si="75"/>
        <v/>
      </c>
      <c r="DW29" s="624" t="str">
        <f t="shared" si="76"/>
        <v/>
      </c>
      <c r="DX29" s="624" t="str">
        <f t="shared" si="77"/>
        <v/>
      </c>
      <c r="DY29" s="624" t="str">
        <f t="shared" si="78"/>
        <v/>
      </c>
      <c r="DZ29" s="624" t="str">
        <f t="shared" si="79"/>
        <v/>
      </c>
      <c r="EA29" s="624" t="str">
        <f t="shared" si="80"/>
        <v/>
      </c>
      <c r="EB29" s="624" t="str">
        <f t="shared" si="81"/>
        <v/>
      </c>
      <c r="EC29" s="624" t="str">
        <f t="shared" si="82"/>
        <v/>
      </c>
      <c r="ED29" s="624" t="str">
        <f t="shared" si="83"/>
        <v/>
      </c>
      <c r="EE29" s="624" t="str">
        <f t="shared" si="84"/>
        <v/>
      </c>
      <c r="EF29" s="624" t="str">
        <f t="shared" si="85"/>
        <v/>
      </c>
      <c r="EG29" s="624" t="str">
        <f t="shared" si="86"/>
        <v/>
      </c>
      <c r="EH29" s="624" t="str">
        <f t="shared" si="87"/>
        <v/>
      </c>
      <c r="EI29" s="624" t="str">
        <f t="shared" si="88"/>
        <v/>
      </c>
      <c r="EJ29" s="624" t="str">
        <f t="shared" si="89"/>
        <v/>
      </c>
      <c r="EK29" s="624" t="str">
        <f t="shared" si="90"/>
        <v/>
      </c>
      <c r="EL29" s="624" t="str">
        <f t="shared" si="91"/>
        <v/>
      </c>
      <c r="EM29" s="624" t="str">
        <f t="shared" si="92"/>
        <v/>
      </c>
      <c r="EN29" s="624" t="str">
        <f t="shared" si="93"/>
        <v/>
      </c>
      <c r="EO29" s="624" t="str">
        <f t="shared" si="94"/>
        <v/>
      </c>
      <c r="EP29" s="624" t="str">
        <f t="shared" si="95"/>
        <v/>
      </c>
      <c r="EQ29" s="624" t="str">
        <f t="shared" si="96"/>
        <v/>
      </c>
      <c r="ER29" s="624" t="str">
        <f t="shared" si="97"/>
        <v/>
      </c>
      <c r="ES29" s="624" t="str">
        <f t="shared" si="98"/>
        <v/>
      </c>
      <c r="ET29" s="624" t="str">
        <f t="shared" si="99"/>
        <v/>
      </c>
      <c r="EU29" s="624" t="str">
        <f t="shared" si="100"/>
        <v/>
      </c>
      <c r="EV29" s="636" t="str">
        <f t="shared" si="101"/>
        <v/>
      </c>
      <c r="EW29" s="636" t="str">
        <f t="shared" si="102"/>
        <v/>
      </c>
      <c r="EX29" s="636" t="str">
        <f t="shared" si="103"/>
        <v/>
      </c>
      <c r="EY29" s="636" t="str">
        <f t="shared" si="104"/>
        <v/>
      </c>
      <c r="EZ29" s="636" t="str">
        <f t="shared" si="105"/>
        <v/>
      </c>
      <c r="FA29" s="636" t="str">
        <f t="shared" si="106"/>
        <v/>
      </c>
      <c r="FB29" s="636" t="str">
        <f t="shared" si="107"/>
        <v/>
      </c>
      <c r="FC29" s="636" t="str">
        <f t="shared" si="108"/>
        <v/>
      </c>
      <c r="FD29" s="636" t="str">
        <f t="shared" si="109"/>
        <v/>
      </c>
      <c r="FE29" s="636" t="str">
        <f t="shared" si="110"/>
        <v/>
      </c>
      <c r="FF29" s="636" t="str">
        <f t="shared" si="111"/>
        <v/>
      </c>
      <c r="FG29" s="636" t="str">
        <f t="shared" si="112"/>
        <v/>
      </c>
      <c r="FH29" s="636" t="str">
        <f t="shared" si="113"/>
        <v/>
      </c>
      <c r="FI29" s="636" t="str">
        <f t="shared" si="114"/>
        <v/>
      </c>
      <c r="FJ29" s="636" t="str">
        <f t="shared" si="115"/>
        <v/>
      </c>
      <c r="FK29" s="636" t="str">
        <f t="shared" si="116"/>
        <v/>
      </c>
      <c r="FL29" s="636" t="str">
        <f t="shared" si="117"/>
        <v/>
      </c>
      <c r="FM29" s="636" t="str">
        <f t="shared" si="118"/>
        <v/>
      </c>
      <c r="FN29" s="636" t="str">
        <f t="shared" si="119"/>
        <v/>
      </c>
      <c r="FO29" s="636" t="str">
        <f t="shared" si="120"/>
        <v/>
      </c>
      <c r="FP29" s="636" t="str">
        <f t="shared" si="121"/>
        <v/>
      </c>
      <c r="FQ29" s="636" t="str">
        <f t="shared" si="122"/>
        <v/>
      </c>
      <c r="FR29" s="636" t="str">
        <f t="shared" si="123"/>
        <v/>
      </c>
      <c r="FS29" s="636" t="str">
        <f t="shared" si="124"/>
        <v/>
      </c>
      <c r="FT29" s="636" t="str">
        <f t="shared" si="125"/>
        <v/>
      </c>
      <c r="FU29" s="636" t="str">
        <f t="shared" si="126"/>
        <v/>
      </c>
      <c r="FV29" s="636" t="str">
        <f t="shared" si="127"/>
        <v/>
      </c>
      <c r="FW29" s="636" t="str">
        <f t="shared" si="128"/>
        <v/>
      </c>
      <c r="FX29" s="636" t="str">
        <f t="shared" si="129"/>
        <v/>
      </c>
      <c r="FY29" s="636" t="str">
        <f t="shared" si="130"/>
        <v/>
      </c>
      <c r="FZ29" s="636" t="str">
        <f t="shared" si="131"/>
        <v/>
      </c>
      <c r="GA29" s="636" t="str">
        <f t="shared" si="132"/>
        <v/>
      </c>
      <c r="GB29" s="636" t="str">
        <f t="shared" si="133"/>
        <v/>
      </c>
      <c r="GC29" s="636" t="str">
        <f t="shared" si="134"/>
        <v/>
      </c>
      <c r="GD29" s="636" t="str">
        <f t="shared" si="135"/>
        <v/>
      </c>
      <c r="GE29" s="636" t="str">
        <f t="shared" si="136"/>
        <v/>
      </c>
      <c r="GF29" s="636" t="str">
        <f t="shared" si="137"/>
        <v/>
      </c>
      <c r="GG29" s="636" t="str">
        <f t="shared" si="138"/>
        <v/>
      </c>
      <c r="GH29" s="636" t="str">
        <f t="shared" si="139"/>
        <v/>
      </c>
      <c r="GI29" s="636" t="str">
        <f t="shared" si="140"/>
        <v/>
      </c>
      <c r="GJ29" s="636" t="str">
        <f t="shared" si="141"/>
        <v/>
      </c>
      <c r="GK29" s="636" t="str">
        <f t="shared" si="142"/>
        <v/>
      </c>
      <c r="GL29" s="636" t="str">
        <f t="shared" si="143"/>
        <v/>
      </c>
      <c r="GM29" s="636" t="str">
        <f t="shared" si="144"/>
        <v/>
      </c>
      <c r="GN29" s="636" t="str">
        <f t="shared" si="145"/>
        <v/>
      </c>
      <c r="GO29" s="637" t="str">
        <f t="shared" si="146"/>
        <v/>
      </c>
      <c r="GP29" s="637" t="str">
        <f t="shared" si="147"/>
        <v/>
      </c>
      <c r="GQ29" s="637" t="str">
        <f t="shared" si="148"/>
        <v/>
      </c>
      <c r="GR29" s="637" t="str">
        <f t="shared" si="149"/>
        <v/>
      </c>
      <c r="GS29" s="637" t="str">
        <f t="shared" si="150"/>
        <v/>
      </c>
      <c r="GT29" s="624" t="str">
        <f t="shared" si="151"/>
        <v/>
      </c>
      <c r="GU29" s="624" t="str">
        <f t="shared" si="152"/>
        <v/>
      </c>
      <c r="GV29" s="624" t="str">
        <f t="shared" si="153"/>
        <v/>
      </c>
      <c r="GW29" s="624" t="str">
        <f t="shared" si="154"/>
        <v/>
      </c>
      <c r="GX29" s="624" t="str">
        <f t="shared" si="155"/>
        <v/>
      </c>
      <c r="GY29" s="624" t="str">
        <f t="shared" si="156"/>
        <v/>
      </c>
      <c r="GZ29" s="624" t="str">
        <f t="shared" si="157"/>
        <v/>
      </c>
      <c r="HA29" s="624" t="str">
        <f t="shared" si="158"/>
        <v/>
      </c>
      <c r="HB29" s="624" t="str">
        <f t="shared" si="159"/>
        <v/>
      </c>
      <c r="HC29" s="624" t="str">
        <f t="shared" si="160"/>
        <v/>
      </c>
      <c r="HD29" s="624" t="str">
        <f t="shared" si="161"/>
        <v/>
      </c>
      <c r="HE29" s="624" t="str">
        <f t="shared" si="162"/>
        <v/>
      </c>
      <c r="HF29" s="624" t="str">
        <f t="shared" si="163"/>
        <v/>
      </c>
      <c r="HG29" s="624" t="str">
        <f t="shared" si="164"/>
        <v/>
      </c>
      <c r="HH29" s="624" t="str">
        <f t="shared" si="165"/>
        <v/>
      </c>
      <c r="HI29" s="624" t="str">
        <f t="shared" si="166"/>
        <v/>
      </c>
      <c r="HJ29" s="624" t="str">
        <f t="shared" si="167"/>
        <v/>
      </c>
      <c r="HK29" s="624" t="str">
        <f t="shared" si="168"/>
        <v/>
      </c>
      <c r="HL29" s="624" t="str">
        <f t="shared" si="169"/>
        <v/>
      </c>
      <c r="HM29" s="624" t="str">
        <f t="shared" si="170"/>
        <v/>
      </c>
    </row>
    <row r="30" spans="1:221" ht="13.15" customHeight="1">
      <c r="A30" s="130" t="str">
        <f t="shared" si="171"/>
        <v/>
      </c>
      <c r="B30" s="1553" t="s">
        <v>2466</v>
      </c>
      <c r="C30" s="1554"/>
      <c r="D30" s="1555"/>
      <c r="E30" s="1556"/>
      <c r="F30" s="1556"/>
      <c r="G30" s="1556"/>
      <c r="H30" s="1556"/>
      <c r="I30" s="1556"/>
      <c r="J30" s="1557"/>
      <c r="K30" s="205">
        <f t="shared" si="204"/>
        <v>0</v>
      </c>
      <c r="L30" s="205">
        <f t="shared" si="0"/>
        <v>0</v>
      </c>
      <c r="M30" s="1558"/>
      <c r="N30" s="1558"/>
      <c r="O30" s="1558"/>
      <c r="P30" s="559" t="str">
        <f t="shared" si="203"/>
        <v/>
      </c>
      <c r="Q30" s="560" t="str">
        <f>IF(H30="","",P30/($P$6*VLOOKUP(C30,'DCA Underwriting Assumptions'!$J$81:$K$86,2,FALSE)))</f>
        <v/>
      </c>
      <c r="R30" s="667"/>
      <c r="S30" s="560"/>
      <c r="T30" s="1497"/>
      <c r="U30" s="1498"/>
      <c r="V30" s="624" t="str">
        <f t="shared" si="1"/>
        <v/>
      </c>
      <c r="W30" s="624" t="str">
        <f t="shared" si="2"/>
        <v/>
      </c>
      <c r="X30" s="624" t="str">
        <f t="shared" si="3"/>
        <v/>
      </c>
      <c r="Y30" s="624" t="str">
        <f t="shared" si="4"/>
        <v/>
      </c>
      <c r="Z30" s="624" t="str">
        <f t="shared" si="5"/>
        <v/>
      </c>
      <c r="AA30" s="624" t="str">
        <f t="shared" si="6"/>
        <v/>
      </c>
      <c r="AB30" s="624" t="str">
        <f t="shared" si="7"/>
        <v/>
      </c>
      <c r="AC30" s="624" t="str">
        <f t="shared" si="8"/>
        <v/>
      </c>
      <c r="AD30" s="624" t="str">
        <f t="shared" si="9"/>
        <v/>
      </c>
      <c r="AE30" s="624" t="str">
        <f t="shared" si="10"/>
        <v/>
      </c>
      <c r="AF30" s="624" t="str">
        <f t="shared" si="11"/>
        <v/>
      </c>
      <c r="AG30" s="624" t="str">
        <f t="shared" si="12"/>
        <v/>
      </c>
      <c r="AH30" s="624" t="str">
        <f t="shared" si="13"/>
        <v/>
      </c>
      <c r="AI30" s="624" t="str">
        <f t="shared" si="14"/>
        <v/>
      </c>
      <c r="AJ30" s="624" t="str">
        <f t="shared" si="15"/>
        <v/>
      </c>
      <c r="AK30" s="624" t="str">
        <f t="shared" si="16"/>
        <v/>
      </c>
      <c r="AL30" s="624" t="str">
        <f t="shared" si="17"/>
        <v/>
      </c>
      <c r="AM30" s="624" t="str">
        <f t="shared" si="18"/>
        <v/>
      </c>
      <c r="AN30" s="624" t="str">
        <f t="shared" si="19"/>
        <v/>
      </c>
      <c r="AO30" s="624" t="str">
        <f t="shared" si="20"/>
        <v/>
      </c>
      <c r="AP30" s="624" t="str">
        <f t="shared" si="173"/>
        <v/>
      </c>
      <c r="AQ30" s="624" t="str">
        <f t="shared" si="174"/>
        <v/>
      </c>
      <c r="AR30" s="624" t="str">
        <f t="shared" si="175"/>
        <v/>
      </c>
      <c r="AS30" s="624" t="str">
        <f t="shared" si="176"/>
        <v/>
      </c>
      <c r="AT30" s="624" t="str">
        <f t="shared" si="177"/>
        <v/>
      </c>
      <c r="AU30" s="624" t="str">
        <f t="shared" si="178"/>
        <v/>
      </c>
      <c r="AV30" s="624" t="str">
        <f t="shared" si="179"/>
        <v/>
      </c>
      <c r="AW30" s="624" t="str">
        <f t="shared" si="180"/>
        <v/>
      </c>
      <c r="AX30" s="624" t="str">
        <f t="shared" si="181"/>
        <v/>
      </c>
      <c r="AY30" s="624" t="str">
        <f t="shared" si="182"/>
        <v/>
      </c>
      <c r="AZ30" s="624" t="str">
        <f t="shared" si="183"/>
        <v/>
      </c>
      <c r="BA30" s="624" t="str">
        <f t="shared" si="184"/>
        <v/>
      </c>
      <c r="BB30" s="624" t="str">
        <f t="shared" si="185"/>
        <v/>
      </c>
      <c r="BC30" s="624" t="str">
        <f t="shared" si="186"/>
        <v/>
      </c>
      <c r="BD30" s="624" t="str">
        <f t="shared" si="187"/>
        <v/>
      </c>
      <c r="BE30" s="624" t="str">
        <f t="shared" si="188"/>
        <v/>
      </c>
      <c r="BF30" s="624" t="str">
        <f t="shared" si="189"/>
        <v/>
      </c>
      <c r="BG30" s="624" t="str">
        <f t="shared" si="190"/>
        <v/>
      </c>
      <c r="BH30" s="624" t="str">
        <f t="shared" si="191"/>
        <v/>
      </c>
      <c r="BI30" s="624" t="str">
        <f t="shared" si="192"/>
        <v/>
      </c>
      <c r="BJ30" s="624" t="str">
        <f t="shared" si="193"/>
        <v/>
      </c>
      <c r="BK30" s="624" t="str">
        <f t="shared" si="194"/>
        <v/>
      </c>
      <c r="BL30" s="624" t="str">
        <f t="shared" si="195"/>
        <v/>
      </c>
      <c r="BM30" s="624" t="str">
        <f t="shared" si="196"/>
        <v/>
      </c>
      <c r="BN30" s="624" t="str">
        <f t="shared" si="197"/>
        <v/>
      </c>
      <c r="BO30" s="624" t="str">
        <f t="shared" si="198"/>
        <v/>
      </c>
      <c r="BP30" s="624" t="str">
        <f t="shared" si="199"/>
        <v/>
      </c>
      <c r="BQ30" s="624" t="str">
        <f t="shared" si="200"/>
        <v/>
      </c>
      <c r="BR30" s="624" t="str">
        <f t="shared" si="201"/>
        <v/>
      </c>
      <c r="BS30" s="624" t="str">
        <f t="shared" si="202"/>
        <v/>
      </c>
      <c r="BT30" s="624" t="str">
        <f t="shared" si="21"/>
        <v/>
      </c>
      <c r="BU30" s="624" t="str">
        <f t="shared" si="22"/>
        <v/>
      </c>
      <c r="BV30" s="624" t="str">
        <f t="shared" si="23"/>
        <v/>
      </c>
      <c r="BW30" s="624" t="str">
        <f t="shared" si="24"/>
        <v/>
      </c>
      <c r="BX30" s="624" t="str">
        <f t="shared" si="25"/>
        <v/>
      </c>
      <c r="BY30" s="624" t="str">
        <f t="shared" si="26"/>
        <v/>
      </c>
      <c r="BZ30" s="624" t="str">
        <f t="shared" si="27"/>
        <v/>
      </c>
      <c r="CA30" s="624" t="str">
        <f t="shared" si="28"/>
        <v/>
      </c>
      <c r="CB30" s="624" t="str">
        <f t="shared" si="29"/>
        <v/>
      </c>
      <c r="CC30" s="624" t="str">
        <f t="shared" si="30"/>
        <v/>
      </c>
      <c r="CD30" s="624" t="str">
        <f t="shared" si="31"/>
        <v/>
      </c>
      <c r="CE30" s="624" t="str">
        <f t="shared" si="32"/>
        <v/>
      </c>
      <c r="CF30" s="624" t="str">
        <f t="shared" si="33"/>
        <v/>
      </c>
      <c r="CG30" s="624" t="str">
        <f t="shared" si="34"/>
        <v/>
      </c>
      <c r="CH30" s="624" t="str">
        <f t="shared" si="35"/>
        <v/>
      </c>
      <c r="CI30" s="624" t="str">
        <f t="shared" si="36"/>
        <v/>
      </c>
      <c r="CJ30" s="624" t="str">
        <f t="shared" si="37"/>
        <v/>
      </c>
      <c r="CK30" s="624" t="str">
        <f t="shared" si="38"/>
        <v/>
      </c>
      <c r="CL30" s="624" t="str">
        <f t="shared" si="39"/>
        <v/>
      </c>
      <c r="CM30" s="624" t="str">
        <f t="shared" si="40"/>
        <v/>
      </c>
      <c r="CN30" s="624" t="str">
        <f t="shared" si="41"/>
        <v/>
      </c>
      <c r="CO30" s="624" t="str">
        <f t="shared" si="42"/>
        <v/>
      </c>
      <c r="CP30" s="624" t="str">
        <f t="shared" si="43"/>
        <v/>
      </c>
      <c r="CQ30" s="624" t="str">
        <f t="shared" si="44"/>
        <v/>
      </c>
      <c r="CR30" s="624" t="str">
        <f t="shared" si="45"/>
        <v/>
      </c>
      <c r="CS30" s="624" t="str">
        <f t="shared" si="46"/>
        <v/>
      </c>
      <c r="CT30" s="624" t="str">
        <f t="shared" si="47"/>
        <v/>
      </c>
      <c r="CU30" s="624" t="str">
        <f t="shared" si="48"/>
        <v/>
      </c>
      <c r="CV30" s="624" t="str">
        <f t="shared" si="49"/>
        <v/>
      </c>
      <c r="CW30" s="624" t="str">
        <f t="shared" si="50"/>
        <v/>
      </c>
      <c r="CX30" s="624" t="str">
        <f t="shared" si="51"/>
        <v/>
      </c>
      <c r="CY30" s="624" t="str">
        <f t="shared" si="52"/>
        <v/>
      </c>
      <c r="CZ30" s="624" t="str">
        <f t="shared" si="53"/>
        <v/>
      </c>
      <c r="DA30" s="624" t="str">
        <f t="shared" si="54"/>
        <v/>
      </c>
      <c r="DB30" s="624" t="str">
        <f t="shared" si="55"/>
        <v/>
      </c>
      <c r="DC30" s="624" t="str">
        <f t="shared" si="56"/>
        <v/>
      </c>
      <c r="DD30" s="624" t="str">
        <f t="shared" si="57"/>
        <v/>
      </c>
      <c r="DE30" s="624" t="str">
        <f t="shared" si="58"/>
        <v/>
      </c>
      <c r="DF30" s="624" t="str">
        <f t="shared" si="59"/>
        <v/>
      </c>
      <c r="DG30" s="624" t="str">
        <f t="shared" si="60"/>
        <v/>
      </c>
      <c r="DH30" s="624" t="str">
        <f t="shared" si="61"/>
        <v/>
      </c>
      <c r="DI30" s="624" t="str">
        <f t="shared" si="62"/>
        <v/>
      </c>
      <c r="DJ30" s="624" t="str">
        <f t="shared" si="63"/>
        <v/>
      </c>
      <c r="DK30" s="624" t="str">
        <f t="shared" si="64"/>
        <v/>
      </c>
      <c r="DL30" s="624" t="str">
        <f t="shared" si="65"/>
        <v/>
      </c>
      <c r="DM30" s="624" t="str">
        <f t="shared" si="66"/>
        <v/>
      </c>
      <c r="DN30" s="624" t="str">
        <f t="shared" si="67"/>
        <v/>
      </c>
      <c r="DO30" s="624" t="str">
        <f t="shared" si="68"/>
        <v/>
      </c>
      <c r="DP30" s="624" t="str">
        <f t="shared" si="69"/>
        <v/>
      </c>
      <c r="DQ30" s="624" t="str">
        <f t="shared" si="70"/>
        <v/>
      </c>
      <c r="DR30" s="624" t="str">
        <f t="shared" si="71"/>
        <v/>
      </c>
      <c r="DS30" s="624" t="str">
        <f t="shared" si="72"/>
        <v/>
      </c>
      <c r="DT30" s="624" t="str">
        <f t="shared" si="73"/>
        <v/>
      </c>
      <c r="DU30" s="624" t="str">
        <f t="shared" si="74"/>
        <v/>
      </c>
      <c r="DV30" s="624" t="str">
        <f t="shared" si="75"/>
        <v/>
      </c>
      <c r="DW30" s="624" t="str">
        <f t="shared" si="76"/>
        <v/>
      </c>
      <c r="DX30" s="624" t="str">
        <f t="shared" si="77"/>
        <v/>
      </c>
      <c r="DY30" s="624" t="str">
        <f t="shared" si="78"/>
        <v/>
      </c>
      <c r="DZ30" s="624" t="str">
        <f t="shared" si="79"/>
        <v/>
      </c>
      <c r="EA30" s="624" t="str">
        <f t="shared" si="80"/>
        <v/>
      </c>
      <c r="EB30" s="624" t="str">
        <f t="shared" si="81"/>
        <v/>
      </c>
      <c r="EC30" s="624" t="str">
        <f t="shared" si="82"/>
        <v/>
      </c>
      <c r="ED30" s="624" t="str">
        <f t="shared" si="83"/>
        <v/>
      </c>
      <c r="EE30" s="624" t="str">
        <f t="shared" si="84"/>
        <v/>
      </c>
      <c r="EF30" s="624" t="str">
        <f t="shared" si="85"/>
        <v/>
      </c>
      <c r="EG30" s="624" t="str">
        <f t="shared" si="86"/>
        <v/>
      </c>
      <c r="EH30" s="624" t="str">
        <f t="shared" si="87"/>
        <v/>
      </c>
      <c r="EI30" s="624" t="str">
        <f t="shared" si="88"/>
        <v/>
      </c>
      <c r="EJ30" s="624" t="str">
        <f t="shared" si="89"/>
        <v/>
      </c>
      <c r="EK30" s="624" t="str">
        <f t="shared" si="90"/>
        <v/>
      </c>
      <c r="EL30" s="624" t="str">
        <f t="shared" si="91"/>
        <v/>
      </c>
      <c r="EM30" s="624" t="str">
        <f t="shared" si="92"/>
        <v/>
      </c>
      <c r="EN30" s="624" t="str">
        <f t="shared" si="93"/>
        <v/>
      </c>
      <c r="EO30" s="624" t="str">
        <f t="shared" si="94"/>
        <v/>
      </c>
      <c r="EP30" s="624" t="str">
        <f t="shared" si="95"/>
        <v/>
      </c>
      <c r="EQ30" s="624" t="str">
        <f t="shared" si="96"/>
        <v/>
      </c>
      <c r="ER30" s="624" t="str">
        <f t="shared" si="97"/>
        <v/>
      </c>
      <c r="ES30" s="624" t="str">
        <f t="shared" si="98"/>
        <v/>
      </c>
      <c r="ET30" s="624" t="str">
        <f t="shared" si="99"/>
        <v/>
      </c>
      <c r="EU30" s="624" t="str">
        <f t="shared" si="100"/>
        <v/>
      </c>
      <c r="EV30" s="636" t="str">
        <f t="shared" si="101"/>
        <v/>
      </c>
      <c r="EW30" s="636" t="str">
        <f t="shared" si="102"/>
        <v/>
      </c>
      <c r="EX30" s="636" t="str">
        <f t="shared" si="103"/>
        <v/>
      </c>
      <c r="EY30" s="636" t="str">
        <f t="shared" si="104"/>
        <v/>
      </c>
      <c r="EZ30" s="636" t="str">
        <f t="shared" si="105"/>
        <v/>
      </c>
      <c r="FA30" s="636" t="str">
        <f t="shared" si="106"/>
        <v/>
      </c>
      <c r="FB30" s="636" t="str">
        <f t="shared" si="107"/>
        <v/>
      </c>
      <c r="FC30" s="636" t="str">
        <f t="shared" si="108"/>
        <v/>
      </c>
      <c r="FD30" s="636" t="str">
        <f t="shared" si="109"/>
        <v/>
      </c>
      <c r="FE30" s="636" t="str">
        <f t="shared" si="110"/>
        <v/>
      </c>
      <c r="FF30" s="636" t="str">
        <f t="shared" si="111"/>
        <v/>
      </c>
      <c r="FG30" s="636" t="str">
        <f t="shared" si="112"/>
        <v/>
      </c>
      <c r="FH30" s="636" t="str">
        <f t="shared" si="113"/>
        <v/>
      </c>
      <c r="FI30" s="636" t="str">
        <f t="shared" si="114"/>
        <v/>
      </c>
      <c r="FJ30" s="636" t="str">
        <f t="shared" si="115"/>
        <v/>
      </c>
      <c r="FK30" s="636" t="str">
        <f t="shared" si="116"/>
        <v/>
      </c>
      <c r="FL30" s="636" t="str">
        <f t="shared" si="117"/>
        <v/>
      </c>
      <c r="FM30" s="636" t="str">
        <f t="shared" si="118"/>
        <v/>
      </c>
      <c r="FN30" s="636" t="str">
        <f t="shared" si="119"/>
        <v/>
      </c>
      <c r="FO30" s="636" t="str">
        <f t="shared" si="120"/>
        <v/>
      </c>
      <c r="FP30" s="636" t="str">
        <f t="shared" si="121"/>
        <v/>
      </c>
      <c r="FQ30" s="636" t="str">
        <f t="shared" si="122"/>
        <v/>
      </c>
      <c r="FR30" s="636" t="str">
        <f t="shared" si="123"/>
        <v/>
      </c>
      <c r="FS30" s="636" t="str">
        <f t="shared" si="124"/>
        <v/>
      </c>
      <c r="FT30" s="636" t="str">
        <f t="shared" si="125"/>
        <v/>
      </c>
      <c r="FU30" s="636" t="str">
        <f t="shared" si="126"/>
        <v/>
      </c>
      <c r="FV30" s="636" t="str">
        <f t="shared" si="127"/>
        <v/>
      </c>
      <c r="FW30" s="636" t="str">
        <f t="shared" si="128"/>
        <v/>
      </c>
      <c r="FX30" s="636" t="str">
        <f t="shared" si="129"/>
        <v/>
      </c>
      <c r="FY30" s="636" t="str">
        <f t="shared" si="130"/>
        <v/>
      </c>
      <c r="FZ30" s="636" t="str">
        <f t="shared" si="131"/>
        <v/>
      </c>
      <c r="GA30" s="636" t="str">
        <f t="shared" si="132"/>
        <v/>
      </c>
      <c r="GB30" s="636" t="str">
        <f t="shared" si="133"/>
        <v/>
      </c>
      <c r="GC30" s="636" t="str">
        <f t="shared" si="134"/>
        <v/>
      </c>
      <c r="GD30" s="636" t="str">
        <f t="shared" si="135"/>
        <v/>
      </c>
      <c r="GE30" s="636" t="str">
        <f t="shared" si="136"/>
        <v/>
      </c>
      <c r="GF30" s="636" t="str">
        <f t="shared" si="137"/>
        <v/>
      </c>
      <c r="GG30" s="636" t="str">
        <f t="shared" si="138"/>
        <v/>
      </c>
      <c r="GH30" s="636" t="str">
        <f t="shared" si="139"/>
        <v/>
      </c>
      <c r="GI30" s="636" t="str">
        <f t="shared" si="140"/>
        <v/>
      </c>
      <c r="GJ30" s="636" t="str">
        <f t="shared" si="141"/>
        <v/>
      </c>
      <c r="GK30" s="636" t="str">
        <f t="shared" si="142"/>
        <v/>
      </c>
      <c r="GL30" s="636" t="str">
        <f t="shared" si="143"/>
        <v/>
      </c>
      <c r="GM30" s="636" t="str">
        <f t="shared" si="144"/>
        <v/>
      </c>
      <c r="GN30" s="636" t="str">
        <f t="shared" si="145"/>
        <v/>
      </c>
      <c r="GO30" s="637" t="str">
        <f t="shared" si="146"/>
        <v/>
      </c>
      <c r="GP30" s="637" t="str">
        <f t="shared" si="147"/>
        <v/>
      </c>
      <c r="GQ30" s="637" t="str">
        <f t="shared" si="148"/>
        <v/>
      </c>
      <c r="GR30" s="637" t="str">
        <f t="shared" si="149"/>
        <v/>
      </c>
      <c r="GS30" s="637" t="str">
        <f t="shared" si="150"/>
        <v/>
      </c>
      <c r="GT30" s="624" t="str">
        <f t="shared" si="151"/>
        <v/>
      </c>
      <c r="GU30" s="624" t="str">
        <f t="shared" si="152"/>
        <v/>
      </c>
      <c r="GV30" s="624" t="str">
        <f t="shared" si="153"/>
        <v/>
      </c>
      <c r="GW30" s="624" t="str">
        <f t="shared" si="154"/>
        <v/>
      </c>
      <c r="GX30" s="624" t="str">
        <f t="shared" si="155"/>
        <v/>
      </c>
      <c r="GY30" s="624" t="str">
        <f t="shared" si="156"/>
        <v/>
      </c>
      <c r="GZ30" s="624" t="str">
        <f t="shared" si="157"/>
        <v/>
      </c>
      <c r="HA30" s="624" t="str">
        <f t="shared" si="158"/>
        <v/>
      </c>
      <c r="HB30" s="624" t="str">
        <f t="shared" si="159"/>
        <v/>
      </c>
      <c r="HC30" s="624" t="str">
        <f t="shared" si="160"/>
        <v/>
      </c>
      <c r="HD30" s="624" t="str">
        <f t="shared" si="161"/>
        <v/>
      </c>
      <c r="HE30" s="624" t="str">
        <f t="shared" si="162"/>
        <v/>
      </c>
      <c r="HF30" s="624" t="str">
        <f t="shared" si="163"/>
        <v/>
      </c>
      <c r="HG30" s="624" t="str">
        <f t="shared" si="164"/>
        <v/>
      </c>
      <c r="HH30" s="624" t="str">
        <f t="shared" si="165"/>
        <v/>
      </c>
      <c r="HI30" s="624" t="str">
        <f t="shared" si="166"/>
        <v/>
      </c>
      <c r="HJ30" s="624" t="str">
        <f t="shared" si="167"/>
        <v/>
      </c>
      <c r="HK30" s="624" t="str">
        <f t="shared" si="168"/>
        <v/>
      </c>
      <c r="HL30" s="624" t="str">
        <f t="shared" si="169"/>
        <v/>
      </c>
      <c r="HM30" s="624" t="str">
        <f t="shared" si="170"/>
        <v/>
      </c>
    </row>
    <row r="31" spans="1:221" ht="13.15" customHeight="1">
      <c r="A31" s="130" t="str">
        <f t="shared" si="171"/>
        <v/>
      </c>
      <c r="B31" s="1553" t="s">
        <v>2466</v>
      </c>
      <c r="C31" s="1554"/>
      <c r="D31" s="1555"/>
      <c r="E31" s="1556"/>
      <c r="F31" s="1556"/>
      <c r="G31" s="1556"/>
      <c r="H31" s="1556"/>
      <c r="I31" s="1556"/>
      <c r="J31" s="1557"/>
      <c r="K31" s="205">
        <f t="shared" si="204"/>
        <v>0</v>
      </c>
      <c r="L31" s="205">
        <f t="shared" si="0"/>
        <v>0</v>
      </c>
      <c r="M31" s="1558"/>
      <c r="N31" s="1558"/>
      <c r="O31" s="1558"/>
      <c r="P31" s="559" t="str">
        <f t="shared" si="203"/>
        <v/>
      </c>
      <c r="Q31" s="560" t="str">
        <f>IF(H31="","",P31/($P$6*VLOOKUP(C31,'DCA Underwriting Assumptions'!$J$81:$K$86,2,FALSE)))</f>
        <v/>
      </c>
      <c r="R31" s="667"/>
      <c r="S31" s="560"/>
      <c r="T31" s="1497"/>
      <c r="U31" s="1498"/>
      <c r="V31" s="624" t="str">
        <f t="shared" si="1"/>
        <v/>
      </c>
      <c r="W31" s="624" t="str">
        <f t="shared" si="2"/>
        <v/>
      </c>
      <c r="X31" s="624" t="str">
        <f t="shared" si="3"/>
        <v/>
      </c>
      <c r="Y31" s="624" t="str">
        <f t="shared" si="4"/>
        <v/>
      </c>
      <c r="Z31" s="624" t="str">
        <f t="shared" si="5"/>
        <v/>
      </c>
      <c r="AA31" s="624" t="str">
        <f t="shared" si="6"/>
        <v/>
      </c>
      <c r="AB31" s="624" t="str">
        <f t="shared" si="7"/>
        <v/>
      </c>
      <c r="AC31" s="624" t="str">
        <f t="shared" si="8"/>
        <v/>
      </c>
      <c r="AD31" s="624" t="str">
        <f t="shared" si="9"/>
        <v/>
      </c>
      <c r="AE31" s="624" t="str">
        <f t="shared" si="10"/>
        <v/>
      </c>
      <c r="AF31" s="624" t="str">
        <f t="shared" si="11"/>
        <v/>
      </c>
      <c r="AG31" s="624" t="str">
        <f t="shared" si="12"/>
        <v/>
      </c>
      <c r="AH31" s="624" t="str">
        <f t="shared" si="13"/>
        <v/>
      </c>
      <c r="AI31" s="624" t="str">
        <f t="shared" si="14"/>
        <v/>
      </c>
      <c r="AJ31" s="624" t="str">
        <f t="shared" si="15"/>
        <v/>
      </c>
      <c r="AK31" s="624" t="str">
        <f t="shared" si="16"/>
        <v/>
      </c>
      <c r="AL31" s="624" t="str">
        <f t="shared" si="17"/>
        <v/>
      </c>
      <c r="AM31" s="624" t="str">
        <f t="shared" si="18"/>
        <v/>
      </c>
      <c r="AN31" s="624" t="str">
        <f t="shared" si="19"/>
        <v/>
      </c>
      <c r="AO31" s="624" t="str">
        <f t="shared" si="20"/>
        <v/>
      </c>
      <c r="AP31" s="624" t="str">
        <f t="shared" si="173"/>
        <v/>
      </c>
      <c r="AQ31" s="624" t="str">
        <f t="shared" si="174"/>
        <v/>
      </c>
      <c r="AR31" s="624" t="str">
        <f t="shared" si="175"/>
        <v/>
      </c>
      <c r="AS31" s="624" t="str">
        <f t="shared" si="176"/>
        <v/>
      </c>
      <c r="AT31" s="624" t="str">
        <f t="shared" si="177"/>
        <v/>
      </c>
      <c r="AU31" s="624" t="str">
        <f t="shared" si="178"/>
        <v/>
      </c>
      <c r="AV31" s="624" t="str">
        <f t="shared" si="179"/>
        <v/>
      </c>
      <c r="AW31" s="624" t="str">
        <f t="shared" si="180"/>
        <v/>
      </c>
      <c r="AX31" s="624" t="str">
        <f t="shared" si="181"/>
        <v/>
      </c>
      <c r="AY31" s="624" t="str">
        <f t="shared" si="182"/>
        <v/>
      </c>
      <c r="AZ31" s="624" t="str">
        <f t="shared" si="183"/>
        <v/>
      </c>
      <c r="BA31" s="624" t="str">
        <f t="shared" si="184"/>
        <v/>
      </c>
      <c r="BB31" s="624" t="str">
        <f t="shared" si="185"/>
        <v/>
      </c>
      <c r="BC31" s="624" t="str">
        <f t="shared" si="186"/>
        <v/>
      </c>
      <c r="BD31" s="624" t="str">
        <f t="shared" si="187"/>
        <v/>
      </c>
      <c r="BE31" s="624" t="str">
        <f t="shared" si="188"/>
        <v/>
      </c>
      <c r="BF31" s="624" t="str">
        <f t="shared" si="189"/>
        <v/>
      </c>
      <c r="BG31" s="624" t="str">
        <f t="shared" si="190"/>
        <v/>
      </c>
      <c r="BH31" s="624" t="str">
        <f t="shared" si="191"/>
        <v/>
      </c>
      <c r="BI31" s="624" t="str">
        <f t="shared" si="192"/>
        <v/>
      </c>
      <c r="BJ31" s="624" t="str">
        <f t="shared" si="193"/>
        <v/>
      </c>
      <c r="BK31" s="624" t="str">
        <f t="shared" si="194"/>
        <v/>
      </c>
      <c r="BL31" s="624" t="str">
        <f t="shared" si="195"/>
        <v/>
      </c>
      <c r="BM31" s="624" t="str">
        <f t="shared" si="196"/>
        <v/>
      </c>
      <c r="BN31" s="624" t="str">
        <f t="shared" si="197"/>
        <v/>
      </c>
      <c r="BO31" s="624" t="str">
        <f t="shared" si="198"/>
        <v/>
      </c>
      <c r="BP31" s="624" t="str">
        <f t="shared" si="199"/>
        <v/>
      </c>
      <c r="BQ31" s="624" t="str">
        <f t="shared" si="200"/>
        <v/>
      </c>
      <c r="BR31" s="624" t="str">
        <f t="shared" si="201"/>
        <v/>
      </c>
      <c r="BS31" s="624" t="str">
        <f t="shared" si="202"/>
        <v/>
      </c>
      <c r="BT31" s="624" t="str">
        <f t="shared" si="21"/>
        <v/>
      </c>
      <c r="BU31" s="624" t="str">
        <f t="shared" si="22"/>
        <v/>
      </c>
      <c r="BV31" s="624" t="str">
        <f t="shared" si="23"/>
        <v/>
      </c>
      <c r="BW31" s="624" t="str">
        <f t="shared" si="24"/>
        <v/>
      </c>
      <c r="BX31" s="624" t="str">
        <f t="shared" si="25"/>
        <v/>
      </c>
      <c r="BY31" s="624" t="str">
        <f t="shared" si="26"/>
        <v/>
      </c>
      <c r="BZ31" s="624" t="str">
        <f t="shared" si="27"/>
        <v/>
      </c>
      <c r="CA31" s="624" t="str">
        <f t="shared" si="28"/>
        <v/>
      </c>
      <c r="CB31" s="624" t="str">
        <f t="shared" si="29"/>
        <v/>
      </c>
      <c r="CC31" s="624" t="str">
        <f t="shared" si="30"/>
        <v/>
      </c>
      <c r="CD31" s="624" t="str">
        <f t="shared" si="31"/>
        <v/>
      </c>
      <c r="CE31" s="624" t="str">
        <f t="shared" si="32"/>
        <v/>
      </c>
      <c r="CF31" s="624" t="str">
        <f t="shared" si="33"/>
        <v/>
      </c>
      <c r="CG31" s="624" t="str">
        <f t="shared" si="34"/>
        <v/>
      </c>
      <c r="CH31" s="624" t="str">
        <f t="shared" si="35"/>
        <v/>
      </c>
      <c r="CI31" s="624" t="str">
        <f t="shared" si="36"/>
        <v/>
      </c>
      <c r="CJ31" s="624" t="str">
        <f t="shared" si="37"/>
        <v/>
      </c>
      <c r="CK31" s="624" t="str">
        <f t="shared" si="38"/>
        <v/>
      </c>
      <c r="CL31" s="624" t="str">
        <f t="shared" si="39"/>
        <v/>
      </c>
      <c r="CM31" s="624" t="str">
        <f t="shared" si="40"/>
        <v/>
      </c>
      <c r="CN31" s="624" t="str">
        <f t="shared" si="41"/>
        <v/>
      </c>
      <c r="CO31" s="624" t="str">
        <f t="shared" si="42"/>
        <v/>
      </c>
      <c r="CP31" s="624" t="str">
        <f t="shared" si="43"/>
        <v/>
      </c>
      <c r="CQ31" s="624" t="str">
        <f t="shared" si="44"/>
        <v/>
      </c>
      <c r="CR31" s="624" t="str">
        <f t="shared" si="45"/>
        <v/>
      </c>
      <c r="CS31" s="624" t="str">
        <f t="shared" si="46"/>
        <v/>
      </c>
      <c r="CT31" s="624" t="str">
        <f t="shared" si="47"/>
        <v/>
      </c>
      <c r="CU31" s="624" t="str">
        <f t="shared" si="48"/>
        <v/>
      </c>
      <c r="CV31" s="624" t="str">
        <f t="shared" si="49"/>
        <v/>
      </c>
      <c r="CW31" s="624" t="str">
        <f t="shared" si="50"/>
        <v/>
      </c>
      <c r="CX31" s="624" t="str">
        <f t="shared" si="51"/>
        <v/>
      </c>
      <c r="CY31" s="624" t="str">
        <f t="shared" si="52"/>
        <v/>
      </c>
      <c r="CZ31" s="624" t="str">
        <f t="shared" si="53"/>
        <v/>
      </c>
      <c r="DA31" s="624" t="str">
        <f t="shared" si="54"/>
        <v/>
      </c>
      <c r="DB31" s="624" t="str">
        <f t="shared" si="55"/>
        <v/>
      </c>
      <c r="DC31" s="624" t="str">
        <f t="shared" si="56"/>
        <v/>
      </c>
      <c r="DD31" s="624" t="str">
        <f t="shared" si="57"/>
        <v/>
      </c>
      <c r="DE31" s="624" t="str">
        <f t="shared" si="58"/>
        <v/>
      </c>
      <c r="DF31" s="624" t="str">
        <f t="shared" si="59"/>
        <v/>
      </c>
      <c r="DG31" s="624" t="str">
        <f t="shared" si="60"/>
        <v/>
      </c>
      <c r="DH31" s="624" t="str">
        <f t="shared" si="61"/>
        <v/>
      </c>
      <c r="DI31" s="624" t="str">
        <f t="shared" si="62"/>
        <v/>
      </c>
      <c r="DJ31" s="624" t="str">
        <f t="shared" si="63"/>
        <v/>
      </c>
      <c r="DK31" s="624" t="str">
        <f t="shared" si="64"/>
        <v/>
      </c>
      <c r="DL31" s="624" t="str">
        <f t="shared" si="65"/>
        <v/>
      </c>
      <c r="DM31" s="624" t="str">
        <f t="shared" si="66"/>
        <v/>
      </c>
      <c r="DN31" s="624" t="str">
        <f t="shared" si="67"/>
        <v/>
      </c>
      <c r="DO31" s="624" t="str">
        <f t="shared" si="68"/>
        <v/>
      </c>
      <c r="DP31" s="624" t="str">
        <f t="shared" si="69"/>
        <v/>
      </c>
      <c r="DQ31" s="624" t="str">
        <f t="shared" si="70"/>
        <v/>
      </c>
      <c r="DR31" s="624" t="str">
        <f t="shared" si="71"/>
        <v/>
      </c>
      <c r="DS31" s="624" t="str">
        <f t="shared" si="72"/>
        <v/>
      </c>
      <c r="DT31" s="624" t="str">
        <f t="shared" si="73"/>
        <v/>
      </c>
      <c r="DU31" s="624" t="str">
        <f t="shared" si="74"/>
        <v/>
      </c>
      <c r="DV31" s="624" t="str">
        <f t="shared" si="75"/>
        <v/>
      </c>
      <c r="DW31" s="624" t="str">
        <f t="shared" si="76"/>
        <v/>
      </c>
      <c r="DX31" s="624" t="str">
        <f t="shared" si="77"/>
        <v/>
      </c>
      <c r="DY31" s="624" t="str">
        <f t="shared" si="78"/>
        <v/>
      </c>
      <c r="DZ31" s="624" t="str">
        <f t="shared" si="79"/>
        <v/>
      </c>
      <c r="EA31" s="624" t="str">
        <f t="shared" si="80"/>
        <v/>
      </c>
      <c r="EB31" s="624" t="str">
        <f t="shared" si="81"/>
        <v/>
      </c>
      <c r="EC31" s="624" t="str">
        <f t="shared" si="82"/>
        <v/>
      </c>
      <c r="ED31" s="624" t="str">
        <f t="shared" si="83"/>
        <v/>
      </c>
      <c r="EE31" s="624" t="str">
        <f t="shared" si="84"/>
        <v/>
      </c>
      <c r="EF31" s="624" t="str">
        <f t="shared" si="85"/>
        <v/>
      </c>
      <c r="EG31" s="624" t="str">
        <f t="shared" si="86"/>
        <v/>
      </c>
      <c r="EH31" s="624" t="str">
        <f t="shared" si="87"/>
        <v/>
      </c>
      <c r="EI31" s="624" t="str">
        <f t="shared" si="88"/>
        <v/>
      </c>
      <c r="EJ31" s="624" t="str">
        <f t="shared" si="89"/>
        <v/>
      </c>
      <c r="EK31" s="624" t="str">
        <f t="shared" si="90"/>
        <v/>
      </c>
      <c r="EL31" s="624" t="str">
        <f t="shared" si="91"/>
        <v/>
      </c>
      <c r="EM31" s="624" t="str">
        <f t="shared" si="92"/>
        <v/>
      </c>
      <c r="EN31" s="624" t="str">
        <f t="shared" si="93"/>
        <v/>
      </c>
      <c r="EO31" s="624" t="str">
        <f t="shared" si="94"/>
        <v/>
      </c>
      <c r="EP31" s="624" t="str">
        <f t="shared" si="95"/>
        <v/>
      </c>
      <c r="EQ31" s="624" t="str">
        <f t="shared" si="96"/>
        <v/>
      </c>
      <c r="ER31" s="624" t="str">
        <f t="shared" si="97"/>
        <v/>
      </c>
      <c r="ES31" s="624" t="str">
        <f t="shared" si="98"/>
        <v/>
      </c>
      <c r="ET31" s="624" t="str">
        <f t="shared" si="99"/>
        <v/>
      </c>
      <c r="EU31" s="624" t="str">
        <f t="shared" si="100"/>
        <v/>
      </c>
      <c r="EV31" s="636" t="str">
        <f t="shared" si="101"/>
        <v/>
      </c>
      <c r="EW31" s="636" t="str">
        <f t="shared" si="102"/>
        <v/>
      </c>
      <c r="EX31" s="636" t="str">
        <f t="shared" si="103"/>
        <v/>
      </c>
      <c r="EY31" s="636" t="str">
        <f t="shared" si="104"/>
        <v/>
      </c>
      <c r="EZ31" s="636" t="str">
        <f t="shared" si="105"/>
        <v/>
      </c>
      <c r="FA31" s="636" t="str">
        <f t="shared" si="106"/>
        <v/>
      </c>
      <c r="FB31" s="636" t="str">
        <f t="shared" si="107"/>
        <v/>
      </c>
      <c r="FC31" s="636" t="str">
        <f t="shared" si="108"/>
        <v/>
      </c>
      <c r="FD31" s="636" t="str">
        <f t="shared" si="109"/>
        <v/>
      </c>
      <c r="FE31" s="636" t="str">
        <f t="shared" si="110"/>
        <v/>
      </c>
      <c r="FF31" s="636" t="str">
        <f t="shared" si="111"/>
        <v/>
      </c>
      <c r="FG31" s="636" t="str">
        <f t="shared" si="112"/>
        <v/>
      </c>
      <c r="FH31" s="636" t="str">
        <f t="shared" si="113"/>
        <v/>
      </c>
      <c r="FI31" s="636" t="str">
        <f t="shared" si="114"/>
        <v/>
      </c>
      <c r="FJ31" s="636" t="str">
        <f t="shared" si="115"/>
        <v/>
      </c>
      <c r="FK31" s="636" t="str">
        <f t="shared" si="116"/>
        <v/>
      </c>
      <c r="FL31" s="636" t="str">
        <f t="shared" si="117"/>
        <v/>
      </c>
      <c r="FM31" s="636" t="str">
        <f t="shared" si="118"/>
        <v/>
      </c>
      <c r="FN31" s="636" t="str">
        <f t="shared" si="119"/>
        <v/>
      </c>
      <c r="FO31" s="636" t="str">
        <f t="shared" si="120"/>
        <v/>
      </c>
      <c r="FP31" s="636" t="str">
        <f t="shared" si="121"/>
        <v/>
      </c>
      <c r="FQ31" s="636" t="str">
        <f t="shared" si="122"/>
        <v/>
      </c>
      <c r="FR31" s="636" t="str">
        <f t="shared" si="123"/>
        <v/>
      </c>
      <c r="FS31" s="636" t="str">
        <f t="shared" si="124"/>
        <v/>
      </c>
      <c r="FT31" s="636" t="str">
        <f t="shared" si="125"/>
        <v/>
      </c>
      <c r="FU31" s="636" t="str">
        <f t="shared" si="126"/>
        <v/>
      </c>
      <c r="FV31" s="636" t="str">
        <f t="shared" si="127"/>
        <v/>
      </c>
      <c r="FW31" s="636" t="str">
        <f t="shared" si="128"/>
        <v/>
      </c>
      <c r="FX31" s="636" t="str">
        <f t="shared" si="129"/>
        <v/>
      </c>
      <c r="FY31" s="636" t="str">
        <f t="shared" si="130"/>
        <v/>
      </c>
      <c r="FZ31" s="636" t="str">
        <f t="shared" si="131"/>
        <v/>
      </c>
      <c r="GA31" s="636" t="str">
        <f t="shared" si="132"/>
        <v/>
      </c>
      <c r="GB31" s="636" t="str">
        <f t="shared" si="133"/>
        <v/>
      </c>
      <c r="GC31" s="636" t="str">
        <f t="shared" si="134"/>
        <v/>
      </c>
      <c r="GD31" s="636" t="str">
        <f t="shared" si="135"/>
        <v/>
      </c>
      <c r="GE31" s="636" t="str">
        <f t="shared" si="136"/>
        <v/>
      </c>
      <c r="GF31" s="636" t="str">
        <f t="shared" si="137"/>
        <v/>
      </c>
      <c r="GG31" s="636" t="str">
        <f t="shared" si="138"/>
        <v/>
      </c>
      <c r="GH31" s="636" t="str">
        <f t="shared" si="139"/>
        <v/>
      </c>
      <c r="GI31" s="636" t="str">
        <f t="shared" si="140"/>
        <v/>
      </c>
      <c r="GJ31" s="636" t="str">
        <f t="shared" si="141"/>
        <v/>
      </c>
      <c r="GK31" s="636" t="str">
        <f t="shared" si="142"/>
        <v/>
      </c>
      <c r="GL31" s="636" t="str">
        <f t="shared" si="143"/>
        <v/>
      </c>
      <c r="GM31" s="636" t="str">
        <f t="shared" si="144"/>
        <v/>
      </c>
      <c r="GN31" s="636" t="str">
        <f t="shared" si="145"/>
        <v/>
      </c>
      <c r="GO31" s="637" t="str">
        <f t="shared" si="146"/>
        <v/>
      </c>
      <c r="GP31" s="637" t="str">
        <f t="shared" si="147"/>
        <v/>
      </c>
      <c r="GQ31" s="637" t="str">
        <f t="shared" si="148"/>
        <v/>
      </c>
      <c r="GR31" s="637" t="str">
        <f t="shared" si="149"/>
        <v/>
      </c>
      <c r="GS31" s="637" t="str">
        <f t="shared" si="150"/>
        <v/>
      </c>
      <c r="GT31" s="624" t="str">
        <f t="shared" si="151"/>
        <v/>
      </c>
      <c r="GU31" s="624" t="str">
        <f t="shared" si="152"/>
        <v/>
      </c>
      <c r="GV31" s="624" t="str">
        <f t="shared" si="153"/>
        <v/>
      </c>
      <c r="GW31" s="624" t="str">
        <f t="shared" si="154"/>
        <v/>
      </c>
      <c r="GX31" s="624" t="str">
        <f t="shared" si="155"/>
        <v/>
      </c>
      <c r="GY31" s="624" t="str">
        <f t="shared" si="156"/>
        <v/>
      </c>
      <c r="GZ31" s="624" t="str">
        <f t="shared" si="157"/>
        <v/>
      </c>
      <c r="HA31" s="624" t="str">
        <f t="shared" si="158"/>
        <v/>
      </c>
      <c r="HB31" s="624" t="str">
        <f t="shared" si="159"/>
        <v/>
      </c>
      <c r="HC31" s="624" t="str">
        <f t="shared" si="160"/>
        <v/>
      </c>
      <c r="HD31" s="624" t="str">
        <f t="shared" si="161"/>
        <v/>
      </c>
      <c r="HE31" s="624" t="str">
        <f t="shared" si="162"/>
        <v/>
      </c>
      <c r="HF31" s="624" t="str">
        <f t="shared" si="163"/>
        <v/>
      </c>
      <c r="HG31" s="624" t="str">
        <f t="shared" si="164"/>
        <v/>
      </c>
      <c r="HH31" s="624" t="str">
        <f t="shared" si="165"/>
        <v/>
      </c>
      <c r="HI31" s="624" t="str">
        <f t="shared" si="166"/>
        <v/>
      </c>
      <c r="HJ31" s="624" t="str">
        <f t="shared" si="167"/>
        <v/>
      </c>
      <c r="HK31" s="624" t="str">
        <f t="shared" si="168"/>
        <v/>
      </c>
      <c r="HL31" s="624" t="str">
        <f t="shared" si="169"/>
        <v/>
      </c>
      <c r="HM31" s="624" t="str">
        <f t="shared" si="170"/>
        <v/>
      </c>
    </row>
    <row r="32" spans="1:221" ht="13.15" customHeight="1">
      <c r="A32" s="130" t="str">
        <f t="shared" si="171"/>
        <v/>
      </c>
      <c r="B32" s="1553" t="s">
        <v>2466</v>
      </c>
      <c r="C32" s="1554"/>
      <c r="D32" s="1555"/>
      <c r="E32" s="1556"/>
      <c r="F32" s="1556"/>
      <c r="G32" s="1556"/>
      <c r="H32" s="1556"/>
      <c r="I32" s="1556"/>
      <c r="J32" s="1557"/>
      <c r="K32" s="205">
        <f t="shared" si="204"/>
        <v>0</v>
      </c>
      <c r="L32" s="205">
        <f t="shared" si="0"/>
        <v>0</v>
      </c>
      <c r="M32" s="1558"/>
      <c r="N32" s="1558"/>
      <c r="O32" s="1558"/>
      <c r="P32" s="559" t="str">
        <f t="shared" si="203"/>
        <v/>
      </c>
      <c r="Q32" s="560" t="str">
        <f>IF(H32="","",P32/($P$6*VLOOKUP(C32,'DCA Underwriting Assumptions'!$J$81:$K$86,2,FALSE)))</f>
        <v/>
      </c>
      <c r="R32" s="667"/>
      <c r="S32" s="560"/>
      <c r="T32" s="1497"/>
      <c r="U32" s="1498"/>
      <c r="V32" s="624" t="str">
        <f t="shared" si="1"/>
        <v/>
      </c>
      <c r="W32" s="624" t="str">
        <f t="shared" si="2"/>
        <v/>
      </c>
      <c r="X32" s="624" t="str">
        <f t="shared" si="3"/>
        <v/>
      </c>
      <c r="Y32" s="624" t="str">
        <f t="shared" si="4"/>
        <v/>
      </c>
      <c r="Z32" s="624" t="str">
        <f t="shared" si="5"/>
        <v/>
      </c>
      <c r="AA32" s="624" t="str">
        <f t="shared" si="6"/>
        <v/>
      </c>
      <c r="AB32" s="624" t="str">
        <f t="shared" si="7"/>
        <v/>
      </c>
      <c r="AC32" s="624" t="str">
        <f t="shared" si="8"/>
        <v/>
      </c>
      <c r="AD32" s="624" t="str">
        <f t="shared" si="9"/>
        <v/>
      </c>
      <c r="AE32" s="624" t="str">
        <f t="shared" si="10"/>
        <v/>
      </c>
      <c r="AF32" s="624" t="str">
        <f t="shared" si="11"/>
        <v/>
      </c>
      <c r="AG32" s="624" t="str">
        <f t="shared" si="12"/>
        <v/>
      </c>
      <c r="AH32" s="624" t="str">
        <f t="shared" si="13"/>
        <v/>
      </c>
      <c r="AI32" s="624" t="str">
        <f t="shared" si="14"/>
        <v/>
      </c>
      <c r="AJ32" s="624" t="str">
        <f t="shared" si="15"/>
        <v/>
      </c>
      <c r="AK32" s="624" t="str">
        <f t="shared" si="16"/>
        <v/>
      </c>
      <c r="AL32" s="624" t="str">
        <f t="shared" si="17"/>
        <v/>
      </c>
      <c r="AM32" s="624" t="str">
        <f t="shared" si="18"/>
        <v/>
      </c>
      <c r="AN32" s="624" t="str">
        <f t="shared" si="19"/>
        <v/>
      </c>
      <c r="AO32" s="624" t="str">
        <f t="shared" si="20"/>
        <v/>
      </c>
      <c r="AP32" s="624" t="str">
        <f t="shared" si="173"/>
        <v/>
      </c>
      <c r="AQ32" s="624" t="str">
        <f t="shared" si="174"/>
        <v/>
      </c>
      <c r="AR32" s="624" t="str">
        <f t="shared" si="175"/>
        <v/>
      </c>
      <c r="AS32" s="624" t="str">
        <f t="shared" si="176"/>
        <v/>
      </c>
      <c r="AT32" s="624" t="str">
        <f t="shared" si="177"/>
        <v/>
      </c>
      <c r="AU32" s="624" t="str">
        <f t="shared" si="178"/>
        <v/>
      </c>
      <c r="AV32" s="624" t="str">
        <f t="shared" si="179"/>
        <v/>
      </c>
      <c r="AW32" s="624" t="str">
        <f t="shared" si="180"/>
        <v/>
      </c>
      <c r="AX32" s="624" t="str">
        <f t="shared" si="181"/>
        <v/>
      </c>
      <c r="AY32" s="624" t="str">
        <f t="shared" si="182"/>
        <v/>
      </c>
      <c r="AZ32" s="624" t="str">
        <f t="shared" si="183"/>
        <v/>
      </c>
      <c r="BA32" s="624" t="str">
        <f t="shared" si="184"/>
        <v/>
      </c>
      <c r="BB32" s="624" t="str">
        <f t="shared" si="185"/>
        <v/>
      </c>
      <c r="BC32" s="624" t="str">
        <f t="shared" si="186"/>
        <v/>
      </c>
      <c r="BD32" s="624" t="str">
        <f t="shared" si="187"/>
        <v/>
      </c>
      <c r="BE32" s="624" t="str">
        <f t="shared" si="188"/>
        <v/>
      </c>
      <c r="BF32" s="624" t="str">
        <f t="shared" si="189"/>
        <v/>
      </c>
      <c r="BG32" s="624" t="str">
        <f t="shared" si="190"/>
        <v/>
      </c>
      <c r="BH32" s="624" t="str">
        <f t="shared" si="191"/>
        <v/>
      </c>
      <c r="BI32" s="624" t="str">
        <f t="shared" si="192"/>
        <v/>
      </c>
      <c r="BJ32" s="624" t="str">
        <f t="shared" si="193"/>
        <v/>
      </c>
      <c r="BK32" s="624" t="str">
        <f t="shared" si="194"/>
        <v/>
      </c>
      <c r="BL32" s="624" t="str">
        <f t="shared" si="195"/>
        <v/>
      </c>
      <c r="BM32" s="624" t="str">
        <f t="shared" si="196"/>
        <v/>
      </c>
      <c r="BN32" s="624" t="str">
        <f t="shared" si="197"/>
        <v/>
      </c>
      <c r="BO32" s="624" t="str">
        <f t="shared" si="198"/>
        <v/>
      </c>
      <c r="BP32" s="624" t="str">
        <f t="shared" si="199"/>
        <v/>
      </c>
      <c r="BQ32" s="624" t="str">
        <f t="shared" si="200"/>
        <v/>
      </c>
      <c r="BR32" s="624" t="str">
        <f t="shared" si="201"/>
        <v/>
      </c>
      <c r="BS32" s="624" t="str">
        <f t="shared" si="202"/>
        <v/>
      </c>
      <c r="BT32" s="624" t="str">
        <f t="shared" si="21"/>
        <v/>
      </c>
      <c r="BU32" s="624" t="str">
        <f t="shared" si="22"/>
        <v/>
      </c>
      <c r="BV32" s="624" t="str">
        <f t="shared" si="23"/>
        <v/>
      </c>
      <c r="BW32" s="624" t="str">
        <f t="shared" si="24"/>
        <v/>
      </c>
      <c r="BX32" s="624" t="str">
        <f t="shared" si="25"/>
        <v/>
      </c>
      <c r="BY32" s="624" t="str">
        <f t="shared" si="26"/>
        <v/>
      </c>
      <c r="BZ32" s="624" t="str">
        <f t="shared" si="27"/>
        <v/>
      </c>
      <c r="CA32" s="624" t="str">
        <f t="shared" si="28"/>
        <v/>
      </c>
      <c r="CB32" s="624" t="str">
        <f t="shared" si="29"/>
        <v/>
      </c>
      <c r="CC32" s="624" t="str">
        <f t="shared" si="30"/>
        <v/>
      </c>
      <c r="CD32" s="624" t="str">
        <f t="shared" si="31"/>
        <v/>
      </c>
      <c r="CE32" s="624" t="str">
        <f t="shared" si="32"/>
        <v/>
      </c>
      <c r="CF32" s="624" t="str">
        <f t="shared" si="33"/>
        <v/>
      </c>
      <c r="CG32" s="624" t="str">
        <f t="shared" si="34"/>
        <v/>
      </c>
      <c r="CH32" s="624" t="str">
        <f t="shared" si="35"/>
        <v/>
      </c>
      <c r="CI32" s="624" t="str">
        <f t="shared" si="36"/>
        <v/>
      </c>
      <c r="CJ32" s="624" t="str">
        <f t="shared" si="37"/>
        <v/>
      </c>
      <c r="CK32" s="624" t="str">
        <f t="shared" si="38"/>
        <v/>
      </c>
      <c r="CL32" s="624" t="str">
        <f t="shared" si="39"/>
        <v/>
      </c>
      <c r="CM32" s="624" t="str">
        <f t="shared" si="40"/>
        <v/>
      </c>
      <c r="CN32" s="624" t="str">
        <f t="shared" si="41"/>
        <v/>
      </c>
      <c r="CO32" s="624" t="str">
        <f t="shared" si="42"/>
        <v/>
      </c>
      <c r="CP32" s="624" t="str">
        <f t="shared" si="43"/>
        <v/>
      </c>
      <c r="CQ32" s="624" t="str">
        <f t="shared" si="44"/>
        <v/>
      </c>
      <c r="CR32" s="624" t="str">
        <f t="shared" si="45"/>
        <v/>
      </c>
      <c r="CS32" s="624" t="str">
        <f t="shared" si="46"/>
        <v/>
      </c>
      <c r="CT32" s="624" t="str">
        <f t="shared" si="47"/>
        <v/>
      </c>
      <c r="CU32" s="624" t="str">
        <f t="shared" si="48"/>
        <v/>
      </c>
      <c r="CV32" s="624" t="str">
        <f t="shared" si="49"/>
        <v/>
      </c>
      <c r="CW32" s="624" t="str">
        <f t="shared" si="50"/>
        <v/>
      </c>
      <c r="CX32" s="624" t="str">
        <f t="shared" si="51"/>
        <v/>
      </c>
      <c r="CY32" s="624" t="str">
        <f t="shared" si="52"/>
        <v/>
      </c>
      <c r="CZ32" s="624" t="str">
        <f t="shared" si="53"/>
        <v/>
      </c>
      <c r="DA32" s="624" t="str">
        <f t="shared" si="54"/>
        <v/>
      </c>
      <c r="DB32" s="624" t="str">
        <f t="shared" si="55"/>
        <v/>
      </c>
      <c r="DC32" s="624" t="str">
        <f t="shared" si="56"/>
        <v/>
      </c>
      <c r="DD32" s="624" t="str">
        <f t="shared" si="57"/>
        <v/>
      </c>
      <c r="DE32" s="624" t="str">
        <f t="shared" si="58"/>
        <v/>
      </c>
      <c r="DF32" s="624" t="str">
        <f t="shared" si="59"/>
        <v/>
      </c>
      <c r="DG32" s="624" t="str">
        <f t="shared" si="60"/>
        <v/>
      </c>
      <c r="DH32" s="624" t="str">
        <f t="shared" si="61"/>
        <v/>
      </c>
      <c r="DI32" s="624" t="str">
        <f t="shared" si="62"/>
        <v/>
      </c>
      <c r="DJ32" s="624" t="str">
        <f t="shared" si="63"/>
        <v/>
      </c>
      <c r="DK32" s="624" t="str">
        <f t="shared" si="64"/>
        <v/>
      </c>
      <c r="DL32" s="624" t="str">
        <f t="shared" si="65"/>
        <v/>
      </c>
      <c r="DM32" s="624" t="str">
        <f t="shared" si="66"/>
        <v/>
      </c>
      <c r="DN32" s="624" t="str">
        <f t="shared" si="67"/>
        <v/>
      </c>
      <c r="DO32" s="624" t="str">
        <f t="shared" si="68"/>
        <v/>
      </c>
      <c r="DP32" s="624" t="str">
        <f t="shared" si="69"/>
        <v/>
      </c>
      <c r="DQ32" s="624" t="str">
        <f t="shared" si="70"/>
        <v/>
      </c>
      <c r="DR32" s="624" t="str">
        <f t="shared" si="71"/>
        <v/>
      </c>
      <c r="DS32" s="624" t="str">
        <f t="shared" si="72"/>
        <v/>
      </c>
      <c r="DT32" s="624" t="str">
        <f t="shared" si="73"/>
        <v/>
      </c>
      <c r="DU32" s="624" t="str">
        <f t="shared" si="74"/>
        <v/>
      </c>
      <c r="DV32" s="624" t="str">
        <f t="shared" si="75"/>
        <v/>
      </c>
      <c r="DW32" s="624" t="str">
        <f t="shared" si="76"/>
        <v/>
      </c>
      <c r="DX32" s="624" t="str">
        <f t="shared" si="77"/>
        <v/>
      </c>
      <c r="DY32" s="624" t="str">
        <f t="shared" si="78"/>
        <v/>
      </c>
      <c r="DZ32" s="624" t="str">
        <f t="shared" si="79"/>
        <v/>
      </c>
      <c r="EA32" s="624" t="str">
        <f t="shared" si="80"/>
        <v/>
      </c>
      <c r="EB32" s="624" t="str">
        <f t="shared" si="81"/>
        <v/>
      </c>
      <c r="EC32" s="624" t="str">
        <f t="shared" si="82"/>
        <v/>
      </c>
      <c r="ED32" s="624" t="str">
        <f t="shared" si="83"/>
        <v/>
      </c>
      <c r="EE32" s="624" t="str">
        <f t="shared" si="84"/>
        <v/>
      </c>
      <c r="EF32" s="624" t="str">
        <f t="shared" si="85"/>
        <v/>
      </c>
      <c r="EG32" s="624" t="str">
        <f t="shared" si="86"/>
        <v/>
      </c>
      <c r="EH32" s="624" t="str">
        <f t="shared" si="87"/>
        <v/>
      </c>
      <c r="EI32" s="624" t="str">
        <f t="shared" si="88"/>
        <v/>
      </c>
      <c r="EJ32" s="624" t="str">
        <f t="shared" si="89"/>
        <v/>
      </c>
      <c r="EK32" s="624" t="str">
        <f t="shared" si="90"/>
        <v/>
      </c>
      <c r="EL32" s="624" t="str">
        <f t="shared" si="91"/>
        <v/>
      </c>
      <c r="EM32" s="624" t="str">
        <f t="shared" si="92"/>
        <v/>
      </c>
      <c r="EN32" s="624" t="str">
        <f t="shared" si="93"/>
        <v/>
      </c>
      <c r="EO32" s="624" t="str">
        <f t="shared" si="94"/>
        <v/>
      </c>
      <c r="EP32" s="624" t="str">
        <f t="shared" si="95"/>
        <v/>
      </c>
      <c r="EQ32" s="624" t="str">
        <f t="shared" si="96"/>
        <v/>
      </c>
      <c r="ER32" s="624" t="str">
        <f t="shared" si="97"/>
        <v/>
      </c>
      <c r="ES32" s="624" t="str">
        <f t="shared" si="98"/>
        <v/>
      </c>
      <c r="ET32" s="624" t="str">
        <f t="shared" si="99"/>
        <v/>
      </c>
      <c r="EU32" s="624" t="str">
        <f t="shared" si="100"/>
        <v/>
      </c>
      <c r="EV32" s="636" t="str">
        <f t="shared" si="101"/>
        <v/>
      </c>
      <c r="EW32" s="636" t="str">
        <f t="shared" si="102"/>
        <v/>
      </c>
      <c r="EX32" s="636" t="str">
        <f t="shared" si="103"/>
        <v/>
      </c>
      <c r="EY32" s="636" t="str">
        <f t="shared" si="104"/>
        <v/>
      </c>
      <c r="EZ32" s="636" t="str">
        <f t="shared" si="105"/>
        <v/>
      </c>
      <c r="FA32" s="636" t="str">
        <f t="shared" si="106"/>
        <v/>
      </c>
      <c r="FB32" s="636" t="str">
        <f t="shared" si="107"/>
        <v/>
      </c>
      <c r="FC32" s="636" t="str">
        <f t="shared" si="108"/>
        <v/>
      </c>
      <c r="FD32" s="636" t="str">
        <f t="shared" si="109"/>
        <v/>
      </c>
      <c r="FE32" s="636" t="str">
        <f t="shared" si="110"/>
        <v/>
      </c>
      <c r="FF32" s="636" t="str">
        <f t="shared" si="111"/>
        <v/>
      </c>
      <c r="FG32" s="636" t="str">
        <f t="shared" si="112"/>
        <v/>
      </c>
      <c r="FH32" s="636" t="str">
        <f t="shared" si="113"/>
        <v/>
      </c>
      <c r="FI32" s="636" t="str">
        <f t="shared" si="114"/>
        <v/>
      </c>
      <c r="FJ32" s="636" t="str">
        <f t="shared" si="115"/>
        <v/>
      </c>
      <c r="FK32" s="636" t="str">
        <f t="shared" si="116"/>
        <v/>
      </c>
      <c r="FL32" s="636" t="str">
        <f t="shared" si="117"/>
        <v/>
      </c>
      <c r="FM32" s="636" t="str">
        <f t="shared" si="118"/>
        <v/>
      </c>
      <c r="FN32" s="636" t="str">
        <f t="shared" si="119"/>
        <v/>
      </c>
      <c r="FO32" s="636" t="str">
        <f t="shared" si="120"/>
        <v/>
      </c>
      <c r="FP32" s="636" t="str">
        <f t="shared" si="121"/>
        <v/>
      </c>
      <c r="FQ32" s="636" t="str">
        <f t="shared" si="122"/>
        <v/>
      </c>
      <c r="FR32" s="636" t="str">
        <f t="shared" si="123"/>
        <v/>
      </c>
      <c r="FS32" s="636" t="str">
        <f t="shared" si="124"/>
        <v/>
      </c>
      <c r="FT32" s="636" t="str">
        <f t="shared" si="125"/>
        <v/>
      </c>
      <c r="FU32" s="636" t="str">
        <f t="shared" si="126"/>
        <v/>
      </c>
      <c r="FV32" s="636" t="str">
        <f t="shared" si="127"/>
        <v/>
      </c>
      <c r="FW32" s="636" t="str">
        <f t="shared" si="128"/>
        <v/>
      </c>
      <c r="FX32" s="636" t="str">
        <f t="shared" si="129"/>
        <v/>
      </c>
      <c r="FY32" s="636" t="str">
        <f t="shared" si="130"/>
        <v/>
      </c>
      <c r="FZ32" s="636" t="str">
        <f t="shared" si="131"/>
        <v/>
      </c>
      <c r="GA32" s="636" t="str">
        <f t="shared" si="132"/>
        <v/>
      </c>
      <c r="GB32" s="636" t="str">
        <f t="shared" si="133"/>
        <v/>
      </c>
      <c r="GC32" s="636" t="str">
        <f t="shared" si="134"/>
        <v/>
      </c>
      <c r="GD32" s="636" t="str">
        <f t="shared" si="135"/>
        <v/>
      </c>
      <c r="GE32" s="636" t="str">
        <f t="shared" si="136"/>
        <v/>
      </c>
      <c r="GF32" s="636" t="str">
        <f t="shared" si="137"/>
        <v/>
      </c>
      <c r="GG32" s="636" t="str">
        <f t="shared" si="138"/>
        <v/>
      </c>
      <c r="GH32" s="636" t="str">
        <f t="shared" si="139"/>
        <v/>
      </c>
      <c r="GI32" s="636" t="str">
        <f t="shared" si="140"/>
        <v/>
      </c>
      <c r="GJ32" s="636" t="str">
        <f t="shared" si="141"/>
        <v/>
      </c>
      <c r="GK32" s="636" t="str">
        <f t="shared" si="142"/>
        <v/>
      </c>
      <c r="GL32" s="636" t="str">
        <f t="shared" si="143"/>
        <v/>
      </c>
      <c r="GM32" s="636" t="str">
        <f t="shared" si="144"/>
        <v/>
      </c>
      <c r="GN32" s="636" t="str">
        <f t="shared" si="145"/>
        <v/>
      </c>
      <c r="GO32" s="637" t="str">
        <f t="shared" si="146"/>
        <v/>
      </c>
      <c r="GP32" s="637" t="str">
        <f t="shared" si="147"/>
        <v/>
      </c>
      <c r="GQ32" s="637" t="str">
        <f t="shared" si="148"/>
        <v/>
      </c>
      <c r="GR32" s="637" t="str">
        <f t="shared" si="149"/>
        <v/>
      </c>
      <c r="GS32" s="637" t="str">
        <f t="shared" si="150"/>
        <v/>
      </c>
      <c r="GT32" s="624" t="str">
        <f t="shared" si="151"/>
        <v/>
      </c>
      <c r="GU32" s="624" t="str">
        <f t="shared" si="152"/>
        <v/>
      </c>
      <c r="GV32" s="624" t="str">
        <f t="shared" si="153"/>
        <v/>
      </c>
      <c r="GW32" s="624" t="str">
        <f t="shared" si="154"/>
        <v/>
      </c>
      <c r="GX32" s="624" t="str">
        <f t="shared" si="155"/>
        <v/>
      </c>
      <c r="GY32" s="624" t="str">
        <f t="shared" si="156"/>
        <v/>
      </c>
      <c r="GZ32" s="624" t="str">
        <f t="shared" si="157"/>
        <v/>
      </c>
      <c r="HA32" s="624" t="str">
        <f t="shared" si="158"/>
        <v/>
      </c>
      <c r="HB32" s="624" t="str">
        <f t="shared" si="159"/>
        <v/>
      </c>
      <c r="HC32" s="624" t="str">
        <f t="shared" si="160"/>
        <v/>
      </c>
      <c r="HD32" s="624" t="str">
        <f t="shared" si="161"/>
        <v/>
      </c>
      <c r="HE32" s="624" t="str">
        <f t="shared" si="162"/>
        <v/>
      </c>
      <c r="HF32" s="624" t="str">
        <f t="shared" si="163"/>
        <v/>
      </c>
      <c r="HG32" s="624" t="str">
        <f t="shared" si="164"/>
        <v/>
      </c>
      <c r="HH32" s="624" t="str">
        <f t="shared" si="165"/>
        <v/>
      </c>
      <c r="HI32" s="624" t="str">
        <f t="shared" si="166"/>
        <v/>
      </c>
      <c r="HJ32" s="624" t="str">
        <f t="shared" si="167"/>
        <v/>
      </c>
      <c r="HK32" s="624" t="str">
        <f t="shared" si="168"/>
        <v/>
      </c>
      <c r="HL32" s="624" t="str">
        <f t="shared" si="169"/>
        <v/>
      </c>
      <c r="HM32" s="624" t="str">
        <f t="shared" si="170"/>
        <v/>
      </c>
    </row>
    <row r="33" spans="1:221" ht="13.15" customHeight="1">
      <c r="A33" s="130" t="str">
        <f t="shared" si="171"/>
        <v/>
      </c>
      <c r="B33" s="1553" t="s">
        <v>2466</v>
      </c>
      <c r="C33" s="1554"/>
      <c r="D33" s="1555"/>
      <c r="E33" s="1556"/>
      <c r="F33" s="1556"/>
      <c r="G33" s="1556"/>
      <c r="H33" s="1556"/>
      <c r="I33" s="1556"/>
      <c r="J33" s="1557"/>
      <c r="K33" s="205">
        <f t="shared" si="204"/>
        <v>0</v>
      </c>
      <c r="L33" s="205">
        <f t="shared" si="0"/>
        <v>0</v>
      </c>
      <c r="M33" s="1558"/>
      <c r="N33" s="1558"/>
      <c r="O33" s="1558"/>
      <c r="P33" s="559" t="str">
        <f t="shared" si="203"/>
        <v/>
      </c>
      <c r="Q33" s="560" t="str">
        <f>IF(H33="","",P33/($P$6*VLOOKUP(C33,'DCA Underwriting Assumptions'!$J$81:$K$86,2,FALSE)))</f>
        <v/>
      </c>
      <c r="R33" s="667"/>
      <c r="S33" s="560"/>
      <c r="T33" s="1497"/>
      <c r="U33" s="1498"/>
      <c r="V33" s="624" t="str">
        <f t="shared" si="1"/>
        <v/>
      </c>
      <c r="W33" s="624" t="str">
        <f t="shared" si="2"/>
        <v/>
      </c>
      <c r="X33" s="624" t="str">
        <f t="shared" si="3"/>
        <v/>
      </c>
      <c r="Y33" s="624" t="str">
        <f t="shared" si="4"/>
        <v/>
      </c>
      <c r="Z33" s="624" t="str">
        <f t="shared" si="5"/>
        <v/>
      </c>
      <c r="AA33" s="624" t="str">
        <f t="shared" si="6"/>
        <v/>
      </c>
      <c r="AB33" s="624" t="str">
        <f t="shared" si="7"/>
        <v/>
      </c>
      <c r="AC33" s="624" t="str">
        <f t="shared" si="8"/>
        <v/>
      </c>
      <c r="AD33" s="624" t="str">
        <f t="shared" si="9"/>
        <v/>
      </c>
      <c r="AE33" s="624" t="str">
        <f t="shared" si="10"/>
        <v/>
      </c>
      <c r="AF33" s="624" t="str">
        <f t="shared" si="11"/>
        <v/>
      </c>
      <c r="AG33" s="624" t="str">
        <f t="shared" si="12"/>
        <v/>
      </c>
      <c r="AH33" s="624" t="str">
        <f t="shared" si="13"/>
        <v/>
      </c>
      <c r="AI33" s="624" t="str">
        <f t="shared" si="14"/>
        <v/>
      </c>
      <c r="AJ33" s="624" t="str">
        <f t="shared" si="15"/>
        <v/>
      </c>
      <c r="AK33" s="624" t="str">
        <f t="shared" si="16"/>
        <v/>
      </c>
      <c r="AL33" s="624" t="str">
        <f t="shared" si="17"/>
        <v/>
      </c>
      <c r="AM33" s="624" t="str">
        <f t="shared" si="18"/>
        <v/>
      </c>
      <c r="AN33" s="624" t="str">
        <f t="shared" si="19"/>
        <v/>
      </c>
      <c r="AO33" s="624" t="str">
        <f t="shared" si="20"/>
        <v/>
      </c>
      <c r="AP33" s="624" t="str">
        <f t="shared" si="173"/>
        <v/>
      </c>
      <c r="AQ33" s="624" t="str">
        <f t="shared" si="174"/>
        <v/>
      </c>
      <c r="AR33" s="624" t="str">
        <f t="shared" si="175"/>
        <v/>
      </c>
      <c r="AS33" s="624" t="str">
        <f t="shared" si="176"/>
        <v/>
      </c>
      <c r="AT33" s="624" t="str">
        <f t="shared" si="177"/>
        <v/>
      </c>
      <c r="AU33" s="624" t="str">
        <f t="shared" si="178"/>
        <v/>
      </c>
      <c r="AV33" s="624" t="str">
        <f t="shared" si="179"/>
        <v/>
      </c>
      <c r="AW33" s="624" t="str">
        <f t="shared" si="180"/>
        <v/>
      </c>
      <c r="AX33" s="624" t="str">
        <f t="shared" si="181"/>
        <v/>
      </c>
      <c r="AY33" s="624" t="str">
        <f t="shared" si="182"/>
        <v/>
      </c>
      <c r="AZ33" s="624" t="str">
        <f t="shared" si="183"/>
        <v/>
      </c>
      <c r="BA33" s="624" t="str">
        <f t="shared" si="184"/>
        <v/>
      </c>
      <c r="BB33" s="624" t="str">
        <f t="shared" si="185"/>
        <v/>
      </c>
      <c r="BC33" s="624" t="str">
        <f t="shared" si="186"/>
        <v/>
      </c>
      <c r="BD33" s="624" t="str">
        <f t="shared" si="187"/>
        <v/>
      </c>
      <c r="BE33" s="624" t="str">
        <f t="shared" si="188"/>
        <v/>
      </c>
      <c r="BF33" s="624" t="str">
        <f t="shared" si="189"/>
        <v/>
      </c>
      <c r="BG33" s="624" t="str">
        <f t="shared" si="190"/>
        <v/>
      </c>
      <c r="BH33" s="624" t="str">
        <f t="shared" si="191"/>
        <v/>
      </c>
      <c r="BI33" s="624" t="str">
        <f t="shared" si="192"/>
        <v/>
      </c>
      <c r="BJ33" s="624" t="str">
        <f t="shared" si="193"/>
        <v/>
      </c>
      <c r="BK33" s="624" t="str">
        <f t="shared" si="194"/>
        <v/>
      </c>
      <c r="BL33" s="624" t="str">
        <f t="shared" si="195"/>
        <v/>
      </c>
      <c r="BM33" s="624" t="str">
        <f t="shared" si="196"/>
        <v/>
      </c>
      <c r="BN33" s="624" t="str">
        <f t="shared" si="197"/>
        <v/>
      </c>
      <c r="BO33" s="624" t="str">
        <f t="shared" si="198"/>
        <v/>
      </c>
      <c r="BP33" s="624" t="str">
        <f t="shared" si="199"/>
        <v/>
      </c>
      <c r="BQ33" s="624" t="str">
        <f t="shared" si="200"/>
        <v/>
      </c>
      <c r="BR33" s="624" t="str">
        <f t="shared" si="201"/>
        <v/>
      </c>
      <c r="BS33" s="624" t="str">
        <f t="shared" si="202"/>
        <v/>
      </c>
      <c r="BT33" s="624" t="str">
        <f t="shared" si="21"/>
        <v/>
      </c>
      <c r="BU33" s="624" t="str">
        <f t="shared" si="22"/>
        <v/>
      </c>
      <c r="BV33" s="624" t="str">
        <f t="shared" si="23"/>
        <v/>
      </c>
      <c r="BW33" s="624" t="str">
        <f t="shared" si="24"/>
        <v/>
      </c>
      <c r="BX33" s="624" t="str">
        <f t="shared" si="25"/>
        <v/>
      </c>
      <c r="BY33" s="624" t="str">
        <f t="shared" si="26"/>
        <v/>
      </c>
      <c r="BZ33" s="624" t="str">
        <f t="shared" si="27"/>
        <v/>
      </c>
      <c r="CA33" s="624" t="str">
        <f t="shared" si="28"/>
        <v/>
      </c>
      <c r="CB33" s="624" t="str">
        <f t="shared" si="29"/>
        <v/>
      </c>
      <c r="CC33" s="624" t="str">
        <f t="shared" si="30"/>
        <v/>
      </c>
      <c r="CD33" s="624" t="str">
        <f t="shared" si="31"/>
        <v/>
      </c>
      <c r="CE33" s="624" t="str">
        <f t="shared" si="32"/>
        <v/>
      </c>
      <c r="CF33" s="624" t="str">
        <f t="shared" si="33"/>
        <v/>
      </c>
      <c r="CG33" s="624" t="str">
        <f t="shared" si="34"/>
        <v/>
      </c>
      <c r="CH33" s="624" t="str">
        <f t="shared" si="35"/>
        <v/>
      </c>
      <c r="CI33" s="624" t="str">
        <f t="shared" si="36"/>
        <v/>
      </c>
      <c r="CJ33" s="624" t="str">
        <f t="shared" si="37"/>
        <v/>
      </c>
      <c r="CK33" s="624" t="str">
        <f t="shared" si="38"/>
        <v/>
      </c>
      <c r="CL33" s="624" t="str">
        <f t="shared" si="39"/>
        <v/>
      </c>
      <c r="CM33" s="624" t="str">
        <f t="shared" si="40"/>
        <v/>
      </c>
      <c r="CN33" s="624" t="str">
        <f t="shared" si="41"/>
        <v/>
      </c>
      <c r="CO33" s="624" t="str">
        <f t="shared" si="42"/>
        <v/>
      </c>
      <c r="CP33" s="624" t="str">
        <f t="shared" si="43"/>
        <v/>
      </c>
      <c r="CQ33" s="624" t="str">
        <f t="shared" si="44"/>
        <v/>
      </c>
      <c r="CR33" s="624" t="str">
        <f t="shared" si="45"/>
        <v/>
      </c>
      <c r="CS33" s="624" t="str">
        <f t="shared" si="46"/>
        <v/>
      </c>
      <c r="CT33" s="624" t="str">
        <f t="shared" si="47"/>
        <v/>
      </c>
      <c r="CU33" s="624" t="str">
        <f t="shared" si="48"/>
        <v/>
      </c>
      <c r="CV33" s="624" t="str">
        <f t="shared" si="49"/>
        <v/>
      </c>
      <c r="CW33" s="624" t="str">
        <f t="shared" si="50"/>
        <v/>
      </c>
      <c r="CX33" s="624" t="str">
        <f t="shared" si="51"/>
        <v/>
      </c>
      <c r="CY33" s="624" t="str">
        <f t="shared" si="52"/>
        <v/>
      </c>
      <c r="CZ33" s="624" t="str">
        <f t="shared" si="53"/>
        <v/>
      </c>
      <c r="DA33" s="624" t="str">
        <f t="shared" si="54"/>
        <v/>
      </c>
      <c r="DB33" s="624" t="str">
        <f t="shared" si="55"/>
        <v/>
      </c>
      <c r="DC33" s="624" t="str">
        <f t="shared" si="56"/>
        <v/>
      </c>
      <c r="DD33" s="624" t="str">
        <f t="shared" si="57"/>
        <v/>
      </c>
      <c r="DE33" s="624" t="str">
        <f t="shared" si="58"/>
        <v/>
      </c>
      <c r="DF33" s="624" t="str">
        <f t="shared" si="59"/>
        <v/>
      </c>
      <c r="DG33" s="624" t="str">
        <f t="shared" si="60"/>
        <v/>
      </c>
      <c r="DH33" s="624" t="str">
        <f t="shared" si="61"/>
        <v/>
      </c>
      <c r="DI33" s="624" t="str">
        <f t="shared" si="62"/>
        <v/>
      </c>
      <c r="DJ33" s="624" t="str">
        <f t="shared" si="63"/>
        <v/>
      </c>
      <c r="DK33" s="624" t="str">
        <f t="shared" si="64"/>
        <v/>
      </c>
      <c r="DL33" s="624" t="str">
        <f t="shared" si="65"/>
        <v/>
      </c>
      <c r="DM33" s="624" t="str">
        <f t="shared" si="66"/>
        <v/>
      </c>
      <c r="DN33" s="624" t="str">
        <f t="shared" si="67"/>
        <v/>
      </c>
      <c r="DO33" s="624" t="str">
        <f t="shared" si="68"/>
        <v/>
      </c>
      <c r="DP33" s="624" t="str">
        <f t="shared" si="69"/>
        <v/>
      </c>
      <c r="DQ33" s="624" t="str">
        <f t="shared" si="70"/>
        <v/>
      </c>
      <c r="DR33" s="624" t="str">
        <f t="shared" si="71"/>
        <v/>
      </c>
      <c r="DS33" s="624" t="str">
        <f t="shared" si="72"/>
        <v/>
      </c>
      <c r="DT33" s="624" t="str">
        <f t="shared" si="73"/>
        <v/>
      </c>
      <c r="DU33" s="624" t="str">
        <f t="shared" si="74"/>
        <v/>
      </c>
      <c r="DV33" s="624" t="str">
        <f t="shared" si="75"/>
        <v/>
      </c>
      <c r="DW33" s="624" t="str">
        <f t="shared" si="76"/>
        <v/>
      </c>
      <c r="DX33" s="624" t="str">
        <f t="shared" si="77"/>
        <v/>
      </c>
      <c r="DY33" s="624" t="str">
        <f t="shared" si="78"/>
        <v/>
      </c>
      <c r="DZ33" s="624" t="str">
        <f t="shared" si="79"/>
        <v/>
      </c>
      <c r="EA33" s="624" t="str">
        <f t="shared" si="80"/>
        <v/>
      </c>
      <c r="EB33" s="624" t="str">
        <f t="shared" si="81"/>
        <v/>
      </c>
      <c r="EC33" s="624" t="str">
        <f t="shared" si="82"/>
        <v/>
      </c>
      <c r="ED33" s="624" t="str">
        <f t="shared" si="83"/>
        <v/>
      </c>
      <c r="EE33" s="624" t="str">
        <f t="shared" si="84"/>
        <v/>
      </c>
      <c r="EF33" s="624" t="str">
        <f t="shared" si="85"/>
        <v/>
      </c>
      <c r="EG33" s="624" t="str">
        <f t="shared" si="86"/>
        <v/>
      </c>
      <c r="EH33" s="624" t="str">
        <f t="shared" si="87"/>
        <v/>
      </c>
      <c r="EI33" s="624" t="str">
        <f t="shared" si="88"/>
        <v/>
      </c>
      <c r="EJ33" s="624" t="str">
        <f t="shared" si="89"/>
        <v/>
      </c>
      <c r="EK33" s="624" t="str">
        <f t="shared" si="90"/>
        <v/>
      </c>
      <c r="EL33" s="624" t="str">
        <f t="shared" si="91"/>
        <v/>
      </c>
      <c r="EM33" s="624" t="str">
        <f t="shared" si="92"/>
        <v/>
      </c>
      <c r="EN33" s="624" t="str">
        <f t="shared" si="93"/>
        <v/>
      </c>
      <c r="EO33" s="624" t="str">
        <f t="shared" si="94"/>
        <v/>
      </c>
      <c r="EP33" s="624" t="str">
        <f t="shared" si="95"/>
        <v/>
      </c>
      <c r="EQ33" s="624" t="str">
        <f t="shared" si="96"/>
        <v/>
      </c>
      <c r="ER33" s="624" t="str">
        <f t="shared" si="97"/>
        <v/>
      </c>
      <c r="ES33" s="624" t="str">
        <f t="shared" si="98"/>
        <v/>
      </c>
      <c r="ET33" s="624" t="str">
        <f t="shared" si="99"/>
        <v/>
      </c>
      <c r="EU33" s="624" t="str">
        <f t="shared" si="100"/>
        <v/>
      </c>
      <c r="EV33" s="636" t="str">
        <f t="shared" si="101"/>
        <v/>
      </c>
      <c r="EW33" s="636" t="str">
        <f t="shared" si="102"/>
        <v/>
      </c>
      <c r="EX33" s="636" t="str">
        <f t="shared" si="103"/>
        <v/>
      </c>
      <c r="EY33" s="636" t="str">
        <f t="shared" si="104"/>
        <v/>
      </c>
      <c r="EZ33" s="636" t="str">
        <f t="shared" si="105"/>
        <v/>
      </c>
      <c r="FA33" s="636" t="str">
        <f t="shared" si="106"/>
        <v/>
      </c>
      <c r="FB33" s="636" t="str">
        <f t="shared" si="107"/>
        <v/>
      </c>
      <c r="FC33" s="636" t="str">
        <f t="shared" si="108"/>
        <v/>
      </c>
      <c r="FD33" s="636" t="str">
        <f t="shared" si="109"/>
        <v/>
      </c>
      <c r="FE33" s="636" t="str">
        <f t="shared" si="110"/>
        <v/>
      </c>
      <c r="FF33" s="636" t="str">
        <f t="shared" si="111"/>
        <v/>
      </c>
      <c r="FG33" s="636" t="str">
        <f t="shared" si="112"/>
        <v/>
      </c>
      <c r="FH33" s="636" t="str">
        <f t="shared" si="113"/>
        <v/>
      </c>
      <c r="FI33" s="636" t="str">
        <f t="shared" si="114"/>
        <v/>
      </c>
      <c r="FJ33" s="636" t="str">
        <f t="shared" si="115"/>
        <v/>
      </c>
      <c r="FK33" s="636" t="str">
        <f t="shared" si="116"/>
        <v/>
      </c>
      <c r="FL33" s="636" t="str">
        <f t="shared" si="117"/>
        <v/>
      </c>
      <c r="FM33" s="636" t="str">
        <f t="shared" si="118"/>
        <v/>
      </c>
      <c r="FN33" s="636" t="str">
        <f t="shared" si="119"/>
        <v/>
      </c>
      <c r="FO33" s="636" t="str">
        <f t="shared" si="120"/>
        <v/>
      </c>
      <c r="FP33" s="636" t="str">
        <f t="shared" si="121"/>
        <v/>
      </c>
      <c r="FQ33" s="636" t="str">
        <f t="shared" si="122"/>
        <v/>
      </c>
      <c r="FR33" s="636" t="str">
        <f t="shared" si="123"/>
        <v/>
      </c>
      <c r="FS33" s="636" t="str">
        <f t="shared" si="124"/>
        <v/>
      </c>
      <c r="FT33" s="636" t="str">
        <f t="shared" si="125"/>
        <v/>
      </c>
      <c r="FU33" s="636" t="str">
        <f t="shared" si="126"/>
        <v/>
      </c>
      <c r="FV33" s="636" t="str">
        <f t="shared" si="127"/>
        <v/>
      </c>
      <c r="FW33" s="636" t="str">
        <f t="shared" si="128"/>
        <v/>
      </c>
      <c r="FX33" s="636" t="str">
        <f t="shared" si="129"/>
        <v/>
      </c>
      <c r="FY33" s="636" t="str">
        <f t="shared" si="130"/>
        <v/>
      </c>
      <c r="FZ33" s="636" t="str">
        <f t="shared" si="131"/>
        <v/>
      </c>
      <c r="GA33" s="636" t="str">
        <f t="shared" si="132"/>
        <v/>
      </c>
      <c r="GB33" s="636" t="str">
        <f t="shared" si="133"/>
        <v/>
      </c>
      <c r="GC33" s="636" t="str">
        <f t="shared" si="134"/>
        <v/>
      </c>
      <c r="GD33" s="636" t="str">
        <f t="shared" si="135"/>
        <v/>
      </c>
      <c r="GE33" s="636" t="str">
        <f t="shared" si="136"/>
        <v/>
      </c>
      <c r="GF33" s="636" t="str">
        <f t="shared" si="137"/>
        <v/>
      </c>
      <c r="GG33" s="636" t="str">
        <f t="shared" si="138"/>
        <v/>
      </c>
      <c r="GH33" s="636" t="str">
        <f t="shared" si="139"/>
        <v/>
      </c>
      <c r="GI33" s="636" t="str">
        <f t="shared" si="140"/>
        <v/>
      </c>
      <c r="GJ33" s="636" t="str">
        <f t="shared" si="141"/>
        <v/>
      </c>
      <c r="GK33" s="636" t="str">
        <f t="shared" si="142"/>
        <v/>
      </c>
      <c r="GL33" s="636" t="str">
        <f t="shared" si="143"/>
        <v/>
      </c>
      <c r="GM33" s="636" t="str">
        <f t="shared" si="144"/>
        <v/>
      </c>
      <c r="GN33" s="636" t="str">
        <f t="shared" si="145"/>
        <v/>
      </c>
      <c r="GO33" s="637" t="str">
        <f t="shared" si="146"/>
        <v/>
      </c>
      <c r="GP33" s="637" t="str">
        <f t="shared" si="147"/>
        <v/>
      </c>
      <c r="GQ33" s="637" t="str">
        <f t="shared" si="148"/>
        <v/>
      </c>
      <c r="GR33" s="637" t="str">
        <f t="shared" si="149"/>
        <v/>
      </c>
      <c r="GS33" s="637" t="str">
        <f t="shared" si="150"/>
        <v/>
      </c>
      <c r="GT33" s="624" t="str">
        <f t="shared" si="151"/>
        <v/>
      </c>
      <c r="GU33" s="624" t="str">
        <f t="shared" si="152"/>
        <v/>
      </c>
      <c r="GV33" s="624" t="str">
        <f t="shared" si="153"/>
        <v/>
      </c>
      <c r="GW33" s="624" t="str">
        <f t="shared" si="154"/>
        <v/>
      </c>
      <c r="GX33" s="624" t="str">
        <f t="shared" si="155"/>
        <v/>
      </c>
      <c r="GY33" s="624" t="str">
        <f t="shared" si="156"/>
        <v/>
      </c>
      <c r="GZ33" s="624" t="str">
        <f t="shared" si="157"/>
        <v/>
      </c>
      <c r="HA33" s="624" t="str">
        <f t="shared" si="158"/>
        <v/>
      </c>
      <c r="HB33" s="624" t="str">
        <f t="shared" si="159"/>
        <v/>
      </c>
      <c r="HC33" s="624" t="str">
        <f t="shared" si="160"/>
        <v/>
      </c>
      <c r="HD33" s="624" t="str">
        <f t="shared" si="161"/>
        <v/>
      </c>
      <c r="HE33" s="624" t="str">
        <f t="shared" si="162"/>
        <v/>
      </c>
      <c r="HF33" s="624" t="str">
        <f t="shared" si="163"/>
        <v/>
      </c>
      <c r="HG33" s="624" t="str">
        <f t="shared" si="164"/>
        <v/>
      </c>
      <c r="HH33" s="624" t="str">
        <f t="shared" si="165"/>
        <v/>
      </c>
      <c r="HI33" s="624" t="str">
        <f t="shared" si="166"/>
        <v/>
      </c>
      <c r="HJ33" s="624" t="str">
        <f t="shared" si="167"/>
        <v/>
      </c>
      <c r="HK33" s="624" t="str">
        <f t="shared" si="168"/>
        <v/>
      </c>
      <c r="HL33" s="624" t="str">
        <f t="shared" si="169"/>
        <v/>
      </c>
      <c r="HM33" s="624" t="str">
        <f t="shared" si="170"/>
        <v/>
      </c>
    </row>
    <row r="34" spans="1:221" ht="13.15" customHeight="1">
      <c r="A34" s="130" t="str">
        <f t="shared" si="171"/>
        <v/>
      </c>
      <c r="B34" s="1553" t="s">
        <v>2466</v>
      </c>
      <c r="C34" s="1554"/>
      <c r="D34" s="1555"/>
      <c r="E34" s="1556"/>
      <c r="F34" s="1556"/>
      <c r="G34" s="1556"/>
      <c r="H34" s="1556"/>
      <c r="I34" s="1556"/>
      <c r="J34" s="1557"/>
      <c r="K34" s="205">
        <f t="shared" si="204"/>
        <v>0</v>
      </c>
      <c r="L34" s="205">
        <f t="shared" si="0"/>
        <v>0</v>
      </c>
      <c r="M34" s="1558"/>
      <c r="N34" s="1558"/>
      <c r="O34" s="1558"/>
      <c r="P34" s="559" t="str">
        <f t="shared" si="203"/>
        <v/>
      </c>
      <c r="Q34" s="560" t="str">
        <f>IF(H34="","",P34/($P$6*VLOOKUP(C34,'DCA Underwriting Assumptions'!$J$81:$K$86,2,FALSE)))</f>
        <v/>
      </c>
      <c r="R34" s="667"/>
      <c r="S34" s="560"/>
      <c r="T34" s="1497"/>
      <c r="U34" s="1498"/>
      <c r="V34" s="624" t="str">
        <f t="shared" si="1"/>
        <v/>
      </c>
      <c r="W34" s="624" t="str">
        <f t="shared" si="2"/>
        <v/>
      </c>
      <c r="X34" s="624" t="str">
        <f t="shared" si="3"/>
        <v/>
      </c>
      <c r="Y34" s="624" t="str">
        <f t="shared" si="4"/>
        <v/>
      </c>
      <c r="Z34" s="624" t="str">
        <f t="shared" si="5"/>
        <v/>
      </c>
      <c r="AA34" s="624" t="str">
        <f t="shared" si="6"/>
        <v/>
      </c>
      <c r="AB34" s="624" t="str">
        <f t="shared" si="7"/>
        <v/>
      </c>
      <c r="AC34" s="624" t="str">
        <f t="shared" si="8"/>
        <v/>
      </c>
      <c r="AD34" s="624" t="str">
        <f t="shared" si="9"/>
        <v/>
      </c>
      <c r="AE34" s="624" t="str">
        <f t="shared" si="10"/>
        <v/>
      </c>
      <c r="AF34" s="624" t="str">
        <f t="shared" si="11"/>
        <v/>
      </c>
      <c r="AG34" s="624" t="str">
        <f t="shared" si="12"/>
        <v/>
      </c>
      <c r="AH34" s="624" t="str">
        <f t="shared" si="13"/>
        <v/>
      </c>
      <c r="AI34" s="624" t="str">
        <f t="shared" si="14"/>
        <v/>
      </c>
      <c r="AJ34" s="624" t="str">
        <f t="shared" si="15"/>
        <v/>
      </c>
      <c r="AK34" s="624" t="str">
        <f t="shared" si="16"/>
        <v/>
      </c>
      <c r="AL34" s="624" t="str">
        <f t="shared" si="17"/>
        <v/>
      </c>
      <c r="AM34" s="624" t="str">
        <f t="shared" si="18"/>
        <v/>
      </c>
      <c r="AN34" s="624" t="str">
        <f t="shared" si="19"/>
        <v/>
      </c>
      <c r="AO34" s="624" t="str">
        <f t="shared" si="20"/>
        <v/>
      </c>
      <c r="AP34" s="624" t="str">
        <f t="shared" si="173"/>
        <v/>
      </c>
      <c r="AQ34" s="624" t="str">
        <f t="shared" si="174"/>
        <v/>
      </c>
      <c r="AR34" s="624" t="str">
        <f t="shared" si="175"/>
        <v/>
      </c>
      <c r="AS34" s="624" t="str">
        <f t="shared" si="176"/>
        <v/>
      </c>
      <c r="AT34" s="624" t="str">
        <f t="shared" si="177"/>
        <v/>
      </c>
      <c r="AU34" s="624" t="str">
        <f t="shared" si="178"/>
        <v/>
      </c>
      <c r="AV34" s="624" t="str">
        <f t="shared" si="179"/>
        <v/>
      </c>
      <c r="AW34" s="624" t="str">
        <f t="shared" si="180"/>
        <v/>
      </c>
      <c r="AX34" s="624" t="str">
        <f t="shared" si="181"/>
        <v/>
      </c>
      <c r="AY34" s="624" t="str">
        <f t="shared" si="182"/>
        <v/>
      </c>
      <c r="AZ34" s="624" t="str">
        <f t="shared" si="183"/>
        <v/>
      </c>
      <c r="BA34" s="624" t="str">
        <f t="shared" si="184"/>
        <v/>
      </c>
      <c r="BB34" s="624" t="str">
        <f t="shared" si="185"/>
        <v/>
      </c>
      <c r="BC34" s="624" t="str">
        <f t="shared" si="186"/>
        <v/>
      </c>
      <c r="BD34" s="624" t="str">
        <f t="shared" si="187"/>
        <v/>
      </c>
      <c r="BE34" s="624" t="str">
        <f t="shared" si="188"/>
        <v/>
      </c>
      <c r="BF34" s="624" t="str">
        <f t="shared" si="189"/>
        <v/>
      </c>
      <c r="BG34" s="624" t="str">
        <f t="shared" si="190"/>
        <v/>
      </c>
      <c r="BH34" s="624" t="str">
        <f t="shared" si="191"/>
        <v/>
      </c>
      <c r="BI34" s="624" t="str">
        <f t="shared" si="192"/>
        <v/>
      </c>
      <c r="BJ34" s="624" t="str">
        <f t="shared" si="193"/>
        <v/>
      </c>
      <c r="BK34" s="624" t="str">
        <f t="shared" si="194"/>
        <v/>
      </c>
      <c r="BL34" s="624" t="str">
        <f t="shared" si="195"/>
        <v/>
      </c>
      <c r="BM34" s="624" t="str">
        <f t="shared" si="196"/>
        <v/>
      </c>
      <c r="BN34" s="624" t="str">
        <f t="shared" si="197"/>
        <v/>
      </c>
      <c r="BO34" s="624" t="str">
        <f t="shared" si="198"/>
        <v/>
      </c>
      <c r="BP34" s="624" t="str">
        <f t="shared" si="199"/>
        <v/>
      </c>
      <c r="BQ34" s="624" t="str">
        <f t="shared" si="200"/>
        <v/>
      </c>
      <c r="BR34" s="624" t="str">
        <f t="shared" si="201"/>
        <v/>
      </c>
      <c r="BS34" s="624" t="str">
        <f t="shared" si="202"/>
        <v/>
      </c>
      <c r="BT34" s="624" t="str">
        <f t="shared" si="21"/>
        <v/>
      </c>
      <c r="BU34" s="624" t="str">
        <f t="shared" si="22"/>
        <v/>
      </c>
      <c r="BV34" s="624" t="str">
        <f t="shared" si="23"/>
        <v/>
      </c>
      <c r="BW34" s="624" t="str">
        <f t="shared" si="24"/>
        <v/>
      </c>
      <c r="BX34" s="624" t="str">
        <f t="shared" si="25"/>
        <v/>
      </c>
      <c r="BY34" s="624" t="str">
        <f t="shared" si="26"/>
        <v/>
      </c>
      <c r="BZ34" s="624" t="str">
        <f t="shared" si="27"/>
        <v/>
      </c>
      <c r="CA34" s="624" t="str">
        <f t="shared" si="28"/>
        <v/>
      </c>
      <c r="CB34" s="624" t="str">
        <f t="shared" si="29"/>
        <v/>
      </c>
      <c r="CC34" s="624" t="str">
        <f t="shared" si="30"/>
        <v/>
      </c>
      <c r="CD34" s="624" t="str">
        <f t="shared" si="31"/>
        <v/>
      </c>
      <c r="CE34" s="624" t="str">
        <f t="shared" si="32"/>
        <v/>
      </c>
      <c r="CF34" s="624" t="str">
        <f t="shared" si="33"/>
        <v/>
      </c>
      <c r="CG34" s="624" t="str">
        <f t="shared" si="34"/>
        <v/>
      </c>
      <c r="CH34" s="624" t="str">
        <f t="shared" si="35"/>
        <v/>
      </c>
      <c r="CI34" s="624" t="str">
        <f t="shared" si="36"/>
        <v/>
      </c>
      <c r="CJ34" s="624" t="str">
        <f t="shared" si="37"/>
        <v/>
      </c>
      <c r="CK34" s="624" t="str">
        <f t="shared" si="38"/>
        <v/>
      </c>
      <c r="CL34" s="624" t="str">
        <f t="shared" si="39"/>
        <v/>
      </c>
      <c r="CM34" s="624" t="str">
        <f t="shared" si="40"/>
        <v/>
      </c>
      <c r="CN34" s="624" t="str">
        <f t="shared" si="41"/>
        <v/>
      </c>
      <c r="CO34" s="624" t="str">
        <f t="shared" si="42"/>
        <v/>
      </c>
      <c r="CP34" s="624" t="str">
        <f t="shared" si="43"/>
        <v/>
      </c>
      <c r="CQ34" s="624" t="str">
        <f t="shared" si="44"/>
        <v/>
      </c>
      <c r="CR34" s="624" t="str">
        <f t="shared" si="45"/>
        <v/>
      </c>
      <c r="CS34" s="624" t="str">
        <f t="shared" si="46"/>
        <v/>
      </c>
      <c r="CT34" s="624" t="str">
        <f t="shared" si="47"/>
        <v/>
      </c>
      <c r="CU34" s="624" t="str">
        <f t="shared" si="48"/>
        <v/>
      </c>
      <c r="CV34" s="624" t="str">
        <f t="shared" si="49"/>
        <v/>
      </c>
      <c r="CW34" s="624" t="str">
        <f t="shared" si="50"/>
        <v/>
      </c>
      <c r="CX34" s="624" t="str">
        <f t="shared" si="51"/>
        <v/>
      </c>
      <c r="CY34" s="624" t="str">
        <f t="shared" si="52"/>
        <v/>
      </c>
      <c r="CZ34" s="624" t="str">
        <f t="shared" si="53"/>
        <v/>
      </c>
      <c r="DA34" s="624" t="str">
        <f t="shared" si="54"/>
        <v/>
      </c>
      <c r="DB34" s="624" t="str">
        <f t="shared" si="55"/>
        <v/>
      </c>
      <c r="DC34" s="624" t="str">
        <f t="shared" si="56"/>
        <v/>
      </c>
      <c r="DD34" s="624" t="str">
        <f t="shared" si="57"/>
        <v/>
      </c>
      <c r="DE34" s="624" t="str">
        <f t="shared" si="58"/>
        <v/>
      </c>
      <c r="DF34" s="624" t="str">
        <f t="shared" si="59"/>
        <v/>
      </c>
      <c r="DG34" s="624" t="str">
        <f t="shared" si="60"/>
        <v/>
      </c>
      <c r="DH34" s="624" t="str">
        <f t="shared" si="61"/>
        <v/>
      </c>
      <c r="DI34" s="624" t="str">
        <f t="shared" si="62"/>
        <v/>
      </c>
      <c r="DJ34" s="624" t="str">
        <f t="shared" si="63"/>
        <v/>
      </c>
      <c r="DK34" s="624" t="str">
        <f t="shared" si="64"/>
        <v/>
      </c>
      <c r="DL34" s="624" t="str">
        <f t="shared" si="65"/>
        <v/>
      </c>
      <c r="DM34" s="624" t="str">
        <f t="shared" si="66"/>
        <v/>
      </c>
      <c r="DN34" s="624" t="str">
        <f t="shared" si="67"/>
        <v/>
      </c>
      <c r="DO34" s="624" t="str">
        <f t="shared" si="68"/>
        <v/>
      </c>
      <c r="DP34" s="624" t="str">
        <f t="shared" si="69"/>
        <v/>
      </c>
      <c r="DQ34" s="624" t="str">
        <f t="shared" si="70"/>
        <v/>
      </c>
      <c r="DR34" s="624" t="str">
        <f t="shared" si="71"/>
        <v/>
      </c>
      <c r="DS34" s="624" t="str">
        <f t="shared" si="72"/>
        <v/>
      </c>
      <c r="DT34" s="624" t="str">
        <f t="shared" si="73"/>
        <v/>
      </c>
      <c r="DU34" s="624" t="str">
        <f t="shared" si="74"/>
        <v/>
      </c>
      <c r="DV34" s="624" t="str">
        <f t="shared" si="75"/>
        <v/>
      </c>
      <c r="DW34" s="624" t="str">
        <f t="shared" si="76"/>
        <v/>
      </c>
      <c r="DX34" s="624" t="str">
        <f t="shared" si="77"/>
        <v/>
      </c>
      <c r="DY34" s="624" t="str">
        <f t="shared" si="78"/>
        <v/>
      </c>
      <c r="DZ34" s="624" t="str">
        <f t="shared" si="79"/>
        <v/>
      </c>
      <c r="EA34" s="624" t="str">
        <f t="shared" si="80"/>
        <v/>
      </c>
      <c r="EB34" s="624" t="str">
        <f t="shared" si="81"/>
        <v/>
      </c>
      <c r="EC34" s="624" t="str">
        <f t="shared" si="82"/>
        <v/>
      </c>
      <c r="ED34" s="624" t="str">
        <f t="shared" si="83"/>
        <v/>
      </c>
      <c r="EE34" s="624" t="str">
        <f t="shared" si="84"/>
        <v/>
      </c>
      <c r="EF34" s="624" t="str">
        <f t="shared" si="85"/>
        <v/>
      </c>
      <c r="EG34" s="624" t="str">
        <f t="shared" si="86"/>
        <v/>
      </c>
      <c r="EH34" s="624" t="str">
        <f t="shared" si="87"/>
        <v/>
      </c>
      <c r="EI34" s="624" t="str">
        <f t="shared" si="88"/>
        <v/>
      </c>
      <c r="EJ34" s="624" t="str">
        <f t="shared" si="89"/>
        <v/>
      </c>
      <c r="EK34" s="624" t="str">
        <f t="shared" si="90"/>
        <v/>
      </c>
      <c r="EL34" s="624" t="str">
        <f t="shared" si="91"/>
        <v/>
      </c>
      <c r="EM34" s="624" t="str">
        <f t="shared" si="92"/>
        <v/>
      </c>
      <c r="EN34" s="624" t="str">
        <f t="shared" si="93"/>
        <v/>
      </c>
      <c r="EO34" s="624" t="str">
        <f t="shared" si="94"/>
        <v/>
      </c>
      <c r="EP34" s="624" t="str">
        <f t="shared" si="95"/>
        <v/>
      </c>
      <c r="EQ34" s="624" t="str">
        <f t="shared" si="96"/>
        <v/>
      </c>
      <c r="ER34" s="624" t="str">
        <f t="shared" si="97"/>
        <v/>
      </c>
      <c r="ES34" s="624" t="str">
        <f t="shared" si="98"/>
        <v/>
      </c>
      <c r="ET34" s="624" t="str">
        <f t="shared" si="99"/>
        <v/>
      </c>
      <c r="EU34" s="624" t="str">
        <f t="shared" si="100"/>
        <v/>
      </c>
      <c r="EV34" s="636" t="str">
        <f t="shared" si="101"/>
        <v/>
      </c>
      <c r="EW34" s="636" t="str">
        <f t="shared" si="102"/>
        <v/>
      </c>
      <c r="EX34" s="636" t="str">
        <f t="shared" si="103"/>
        <v/>
      </c>
      <c r="EY34" s="636" t="str">
        <f t="shared" si="104"/>
        <v/>
      </c>
      <c r="EZ34" s="636" t="str">
        <f t="shared" si="105"/>
        <v/>
      </c>
      <c r="FA34" s="636" t="str">
        <f t="shared" si="106"/>
        <v/>
      </c>
      <c r="FB34" s="636" t="str">
        <f t="shared" si="107"/>
        <v/>
      </c>
      <c r="FC34" s="636" t="str">
        <f t="shared" si="108"/>
        <v/>
      </c>
      <c r="FD34" s="636" t="str">
        <f t="shared" si="109"/>
        <v/>
      </c>
      <c r="FE34" s="636" t="str">
        <f t="shared" si="110"/>
        <v/>
      </c>
      <c r="FF34" s="636" t="str">
        <f t="shared" si="111"/>
        <v/>
      </c>
      <c r="FG34" s="636" t="str">
        <f t="shared" si="112"/>
        <v/>
      </c>
      <c r="FH34" s="636" t="str">
        <f t="shared" si="113"/>
        <v/>
      </c>
      <c r="FI34" s="636" t="str">
        <f t="shared" si="114"/>
        <v/>
      </c>
      <c r="FJ34" s="636" t="str">
        <f t="shared" si="115"/>
        <v/>
      </c>
      <c r="FK34" s="636" t="str">
        <f t="shared" si="116"/>
        <v/>
      </c>
      <c r="FL34" s="636" t="str">
        <f t="shared" si="117"/>
        <v/>
      </c>
      <c r="FM34" s="636" t="str">
        <f t="shared" si="118"/>
        <v/>
      </c>
      <c r="FN34" s="636" t="str">
        <f t="shared" si="119"/>
        <v/>
      </c>
      <c r="FO34" s="636" t="str">
        <f t="shared" si="120"/>
        <v/>
      </c>
      <c r="FP34" s="636" t="str">
        <f t="shared" si="121"/>
        <v/>
      </c>
      <c r="FQ34" s="636" t="str">
        <f t="shared" si="122"/>
        <v/>
      </c>
      <c r="FR34" s="636" t="str">
        <f t="shared" si="123"/>
        <v/>
      </c>
      <c r="FS34" s="636" t="str">
        <f t="shared" si="124"/>
        <v/>
      </c>
      <c r="FT34" s="636" t="str">
        <f t="shared" si="125"/>
        <v/>
      </c>
      <c r="FU34" s="636" t="str">
        <f t="shared" si="126"/>
        <v/>
      </c>
      <c r="FV34" s="636" t="str">
        <f t="shared" si="127"/>
        <v/>
      </c>
      <c r="FW34" s="636" t="str">
        <f t="shared" si="128"/>
        <v/>
      </c>
      <c r="FX34" s="636" t="str">
        <f t="shared" si="129"/>
        <v/>
      </c>
      <c r="FY34" s="636" t="str">
        <f t="shared" si="130"/>
        <v/>
      </c>
      <c r="FZ34" s="636" t="str">
        <f t="shared" si="131"/>
        <v/>
      </c>
      <c r="GA34" s="636" t="str">
        <f t="shared" si="132"/>
        <v/>
      </c>
      <c r="GB34" s="636" t="str">
        <f t="shared" si="133"/>
        <v/>
      </c>
      <c r="GC34" s="636" t="str">
        <f t="shared" si="134"/>
        <v/>
      </c>
      <c r="GD34" s="636" t="str">
        <f t="shared" si="135"/>
        <v/>
      </c>
      <c r="GE34" s="636" t="str">
        <f t="shared" si="136"/>
        <v/>
      </c>
      <c r="GF34" s="636" t="str">
        <f t="shared" si="137"/>
        <v/>
      </c>
      <c r="GG34" s="636" t="str">
        <f t="shared" si="138"/>
        <v/>
      </c>
      <c r="GH34" s="636" t="str">
        <f t="shared" si="139"/>
        <v/>
      </c>
      <c r="GI34" s="636" t="str">
        <f t="shared" si="140"/>
        <v/>
      </c>
      <c r="GJ34" s="636" t="str">
        <f t="shared" si="141"/>
        <v/>
      </c>
      <c r="GK34" s="636" t="str">
        <f t="shared" si="142"/>
        <v/>
      </c>
      <c r="GL34" s="636" t="str">
        <f t="shared" si="143"/>
        <v/>
      </c>
      <c r="GM34" s="636" t="str">
        <f t="shared" si="144"/>
        <v/>
      </c>
      <c r="GN34" s="636" t="str">
        <f t="shared" si="145"/>
        <v/>
      </c>
      <c r="GO34" s="637" t="str">
        <f t="shared" si="146"/>
        <v/>
      </c>
      <c r="GP34" s="637" t="str">
        <f t="shared" si="147"/>
        <v/>
      </c>
      <c r="GQ34" s="637" t="str">
        <f t="shared" si="148"/>
        <v/>
      </c>
      <c r="GR34" s="637" t="str">
        <f t="shared" si="149"/>
        <v/>
      </c>
      <c r="GS34" s="637" t="str">
        <f t="shared" si="150"/>
        <v/>
      </c>
      <c r="GT34" s="624" t="str">
        <f t="shared" si="151"/>
        <v/>
      </c>
      <c r="GU34" s="624" t="str">
        <f t="shared" si="152"/>
        <v/>
      </c>
      <c r="GV34" s="624" t="str">
        <f t="shared" si="153"/>
        <v/>
      </c>
      <c r="GW34" s="624" t="str">
        <f t="shared" si="154"/>
        <v/>
      </c>
      <c r="GX34" s="624" t="str">
        <f t="shared" si="155"/>
        <v/>
      </c>
      <c r="GY34" s="624" t="str">
        <f t="shared" si="156"/>
        <v/>
      </c>
      <c r="GZ34" s="624" t="str">
        <f t="shared" si="157"/>
        <v/>
      </c>
      <c r="HA34" s="624" t="str">
        <f t="shared" si="158"/>
        <v/>
      </c>
      <c r="HB34" s="624" t="str">
        <f t="shared" si="159"/>
        <v/>
      </c>
      <c r="HC34" s="624" t="str">
        <f t="shared" si="160"/>
        <v/>
      </c>
      <c r="HD34" s="624" t="str">
        <f t="shared" si="161"/>
        <v/>
      </c>
      <c r="HE34" s="624" t="str">
        <f t="shared" si="162"/>
        <v/>
      </c>
      <c r="HF34" s="624" t="str">
        <f t="shared" si="163"/>
        <v/>
      </c>
      <c r="HG34" s="624" t="str">
        <f t="shared" si="164"/>
        <v/>
      </c>
      <c r="HH34" s="624" t="str">
        <f t="shared" si="165"/>
        <v/>
      </c>
      <c r="HI34" s="624" t="str">
        <f t="shared" si="166"/>
        <v/>
      </c>
      <c r="HJ34" s="624" t="str">
        <f t="shared" si="167"/>
        <v/>
      </c>
      <c r="HK34" s="624" t="str">
        <f t="shared" si="168"/>
        <v/>
      </c>
      <c r="HL34" s="624" t="str">
        <f t="shared" si="169"/>
        <v/>
      </c>
      <c r="HM34" s="624" t="str">
        <f t="shared" si="170"/>
        <v/>
      </c>
    </row>
    <row r="35" spans="1:221" ht="13.15" customHeight="1">
      <c r="A35" s="130" t="str">
        <f t="shared" si="171"/>
        <v/>
      </c>
      <c r="B35" s="1553" t="s">
        <v>2466</v>
      </c>
      <c r="C35" s="1554"/>
      <c r="D35" s="1555"/>
      <c r="E35" s="1556"/>
      <c r="F35" s="1556"/>
      <c r="G35" s="1556"/>
      <c r="H35" s="1556"/>
      <c r="I35" s="1556"/>
      <c r="J35" s="1557"/>
      <c r="K35" s="205">
        <f t="shared" si="204"/>
        <v>0</v>
      </c>
      <c r="L35" s="205">
        <f t="shared" si="0"/>
        <v>0</v>
      </c>
      <c r="M35" s="1558"/>
      <c r="N35" s="1558"/>
      <c r="O35" s="1558"/>
      <c r="P35" s="559" t="str">
        <f t="shared" si="203"/>
        <v/>
      </c>
      <c r="Q35" s="560" t="str">
        <f>IF(H35="","",P35/($P$6*VLOOKUP(C35,'DCA Underwriting Assumptions'!$J$81:$K$86,2,FALSE)))</f>
        <v/>
      </c>
      <c r="R35" s="667"/>
      <c r="S35" s="560"/>
      <c r="T35" s="1497"/>
      <c r="U35" s="1498"/>
      <c r="V35" s="624" t="str">
        <f t="shared" si="1"/>
        <v/>
      </c>
      <c r="W35" s="624" t="str">
        <f t="shared" si="2"/>
        <v/>
      </c>
      <c r="X35" s="624" t="str">
        <f t="shared" si="3"/>
        <v/>
      </c>
      <c r="Y35" s="624" t="str">
        <f t="shared" si="4"/>
        <v/>
      </c>
      <c r="Z35" s="624" t="str">
        <f t="shared" si="5"/>
        <v/>
      </c>
      <c r="AA35" s="624" t="str">
        <f t="shared" si="6"/>
        <v/>
      </c>
      <c r="AB35" s="624" t="str">
        <f t="shared" si="7"/>
        <v/>
      </c>
      <c r="AC35" s="624" t="str">
        <f t="shared" si="8"/>
        <v/>
      </c>
      <c r="AD35" s="624" t="str">
        <f t="shared" si="9"/>
        <v/>
      </c>
      <c r="AE35" s="624" t="str">
        <f t="shared" si="10"/>
        <v/>
      </c>
      <c r="AF35" s="624" t="str">
        <f t="shared" si="11"/>
        <v/>
      </c>
      <c r="AG35" s="624" t="str">
        <f t="shared" si="12"/>
        <v/>
      </c>
      <c r="AH35" s="624" t="str">
        <f t="shared" si="13"/>
        <v/>
      </c>
      <c r="AI35" s="624" t="str">
        <f t="shared" si="14"/>
        <v/>
      </c>
      <c r="AJ35" s="624" t="str">
        <f t="shared" si="15"/>
        <v/>
      </c>
      <c r="AK35" s="624" t="str">
        <f t="shared" si="16"/>
        <v/>
      </c>
      <c r="AL35" s="624" t="str">
        <f t="shared" si="17"/>
        <v/>
      </c>
      <c r="AM35" s="624" t="str">
        <f t="shared" si="18"/>
        <v/>
      </c>
      <c r="AN35" s="624" t="str">
        <f t="shared" si="19"/>
        <v/>
      </c>
      <c r="AO35" s="624" t="str">
        <f t="shared" si="20"/>
        <v/>
      </c>
      <c r="AP35" s="624" t="str">
        <f t="shared" si="173"/>
        <v/>
      </c>
      <c r="AQ35" s="624" t="str">
        <f t="shared" si="174"/>
        <v/>
      </c>
      <c r="AR35" s="624" t="str">
        <f t="shared" si="175"/>
        <v/>
      </c>
      <c r="AS35" s="624" t="str">
        <f t="shared" si="176"/>
        <v/>
      </c>
      <c r="AT35" s="624" t="str">
        <f t="shared" si="177"/>
        <v/>
      </c>
      <c r="AU35" s="624" t="str">
        <f t="shared" si="178"/>
        <v/>
      </c>
      <c r="AV35" s="624" t="str">
        <f t="shared" si="179"/>
        <v/>
      </c>
      <c r="AW35" s="624" t="str">
        <f t="shared" si="180"/>
        <v/>
      </c>
      <c r="AX35" s="624" t="str">
        <f t="shared" si="181"/>
        <v/>
      </c>
      <c r="AY35" s="624" t="str">
        <f t="shared" si="182"/>
        <v/>
      </c>
      <c r="AZ35" s="624" t="str">
        <f t="shared" si="183"/>
        <v/>
      </c>
      <c r="BA35" s="624" t="str">
        <f t="shared" si="184"/>
        <v/>
      </c>
      <c r="BB35" s="624" t="str">
        <f t="shared" si="185"/>
        <v/>
      </c>
      <c r="BC35" s="624" t="str">
        <f t="shared" si="186"/>
        <v/>
      </c>
      <c r="BD35" s="624" t="str">
        <f t="shared" si="187"/>
        <v/>
      </c>
      <c r="BE35" s="624" t="str">
        <f t="shared" si="188"/>
        <v/>
      </c>
      <c r="BF35" s="624" t="str">
        <f t="shared" si="189"/>
        <v/>
      </c>
      <c r="BG35" s="624" t="str">
        <f t="shared" si="190"/>
        <v/>
      </c>
      <c r="BH35" s="624" t="str">
        <f t="shared" si="191"/>
        <v/>
      </c>
      <c r="BI35" s="624" t="str">
        <f t="shared" si="192"/>
        <v/>
      </c>
      <c r="BJ35" s="624" t="str">
        <f t="shared" si="193"/>
        <v/>
      </c>
      <c r="BK35" s="624" t="str">
        <f t="shared" si="194"/>
        <v/>
      </c>
      <c r="BL35" s="624" t="str">
        <f t="shared" si="195"/>
        <v/>
      </c>
      <c r="BM35" s="624" t="str">
        <f t="shared" si="196"/>
        <v/>
      </c>
      <c r="BN35" s="624" t="str">
        <f t="shared" si="197"/>
        <v/>
      </c>
      <c r="BO35" s="624" t="str">
        <f t="shared" si="198"/>
        <v/>
      </c>
      <c r="BP35" s="624" t="str">
        <f t="shared" si="199"/>
        <v/>
      </c>
      <c r="BQ35" s="624" t="str">
        <f t="shared" si="200"/>
        <v/>
      </c>
      <c r="BR35" s="624" t="str">
        <f t="shared" si="201"/>
        <v/>
      </c>
      <c r="BS35" s="624" t="str">
        <f t="shared" si="202"/>
        <v/>
      </c>
      <c r="BT35" s="624" t="str">
        <f t="shared" si="21"/>
        <v/>
      </c>
      <c r="BU35" s="624" t="str">
        <f t="shared" si="22"/>
        <v/>
      </c>
      <c r="BV35" s="624" t="str">
        <f t="shared" si="23"/>
        <v/>
      </c>
      <c r="BW35" s="624" t="str">
        <f t="shared" si="24"/>
        <v/>
      </c>
      <c r="BX35" s="624" t="str">
        <f t="shared" si="25"/>
        <v/>
      </c>
      <c r="BY35" s="624" t="str">
        <f t="shared" si="26"/>
        <v/>
      </c>
      <c r="BZ35" s="624" t="str">
        <f t="shared" si="27"/>
        <v/>
      </c>
      <c r="CA35" s="624" t="str">
        <f t="shared" si="28"/>
        <v/>
      </c>
      <c r="CB35" s="624" t="str">
        <f t="shared" si="29"/>
        <v/>
      </c>
      <c r="CC35" s="624" t="str">
        <f t="shared" si="30"/>
        <v/>
      </c>
      <c r="CD35" s="624" t="str">
        <f t="shared" si="31"/>
        <v/>
      </c>
      <c r="CE35" s="624" t="str">
        <f t="shared" si="32"/>
        <v/>
      </c>
      <c r="CF35" s="624" t="str">
        <f t="shared" si="33"/>
        <v/>
      </c>
      <c r="CG35" s="624" t="str">
        <f t="shared" si="34"/>
        <v/>
      </c>
      <c r="CH35" s="624" t="str">
        <f t="shared" si="35"/>
        <v/>
      </c>
      <c r="CI35" s="624" t="str">
        <f t="shared" si="36"/>
        <v/>
      </c>
      <c r="CJ35" s="624" t="str">
        <f t="shared" si="37"/>
        <v/>
      </c>
      <c r="CK35" s="624" t="str">
        <f t="shared" si="38"/>
        <v/>
      </c>
      <c r="CL35" s="624" t="str">
        <f t="shared" si="39"/>
        <v/>
      </c>
      <c r="CM35" s="624" t="str">
        <f t="shared" si="40"/>
        <v/>
      </c>
      <c r="CN35" s="624" t="str">
        <f t="shared" si="41"/>
        <v/>
      </c>
      <c r="CO35" s="624" t="str">
        <f t="shared" si="42"/>
        <v/>
      </c>
      <c r="CP35" s="624" t="str">
        <f t="shared" si="43"/>
        <v/>
      </c>
      <c r="CQ35" s="624" t="str">
        <f t="shared" si="44"/>
        <v/>
      </c>
      <c r="CR35" s="624" t="str">
        <f t="shared" si="45"/>
        <v/>
      </c>
      <c r="CS35" s="624" t="str">
        <f t="shared" si="46"/>
        <v/>
      </c>
      <c r="CT35" s="624" t="str">
        <f t="shared" si="47"/>
        <v/>
      </c>
      <c r="CU35" s="624" t="str">
        <f t="shared" si="48"/>
        <v/>
      </c>
      <c r="CV35" s="624" t="str">
        <f t="shared" si="49"/>
        <v/>
      </c>
      <c r="CW35" s="624" t="str">
        <f t="shared" si="50"/>
        <v/>
      </c>
      <c r="CX35" s="624" t="str">
        <f t="shared" si="51"/>
        <v/>
      </c>
      <c r="CY35" s="624" t="str">
        <f t="shared" si="52"/>
        <v/>
      </c>
      <c r="CZ35" s="624" t="str">
        <f t="shared" si="53"/>
        <v/>
      </c>
      <c r="DA35" s="624" t="str">
        <f t="shared" si="54"/>
        <v/>
      </c>
      <c r="DB35" s="624" t="str">
        <f t="shared" si="55"/>
        <v/>
      </c>
      <c r="DC35" s="624" t="str">
        <f t="shared" si="56"/>
        <v/>
      </c>
      <c r="DD35" s="624" t="str">
        <f t="shared" si="57"/>
        <v/>
      </c>
      <c r="DE35" s="624" t="str">
        <f t="shared" si="58"/>
        <v/>
      </c>
      <c r="DF35" s="624" t="str">
        <f t="shared" si="59"/>
        <v/>
      </c>
      <c r="DG35" s="624" t="str">
        <f t="shared" si="60"/>
        <v/>
      </c>
      <c r="DH35" s="624" t="str">
        <f t="shared" si="61"/>
        <v/>
      </c>
      <c r="DI35" s="624" t="str">
        <f t="shared" si="62"/>
        <v/>
      </c>
      <c r="DJ35" s="624" t="str">
        <f t="shared" si="63"/>
        <v/>
      </c>
      <c r="DK35" s="624" t="str">
        <f t="shared" si="64"/>
        <v/>
      </c>
      <c r="DL35" s="624" t="str">
        <f t="shared" si="65"/>
        <v/>
      </c>
      <c r="DM35" s="624" t="str">
        <f t="shared" si="66"/>
        <v/>
      </c>
      <c r="DN35" s="624" t="str">
        <f t="shared" si="67"/>
        <v/>
      </c>
      <c r="DO35" s="624" t="str">
        <f t="shared" si="68"/>
        <v/>
      </c>
      <c r="DP35" s="624" t="str">
        <f t="shared" si="69"/>
        <v/>
      </c>
      <c r="DQ35" s="624" t="str">
        <f t="shared" si="70"/>
        <v/>
      </c>
      <c r="DR35" s="624" t="str">
        <f t="shared" si="71"/>
        <v/>
      </c>
      <c r="DS35" s="624" t="str">
        <f t="shared" si="72"/>
        <v/>
      </c>
      <c r="DT35" s="624" t="str">
        <f t="shared" si="73"/>
        <v/>
      </c>
      <c r="DU35" s="624" t="str">
        <f t="shared" si="74"/>
        <v/>
      </c>
      <c r="DV35" s="624" t="str">
        <f t="shared" si="75"/>
        <v/>
      </c>
      <c r="DW35" s="624" t="str">
        <f t="shared" si="76"/>
        <v/>
      </c>
      <c r="DX35" s="624" t="str">
        <f t="shared" si="77"/>
        <v/>
      </c>
      <c r="DY35" s="624" t="str">
        <f t="shared" si="78"/>
        <v/>
      </c>
      <c r="DZ35" s="624" t="str">
        <f t="shared" si="79"/>
        <v/>
      </c>
      <c r="EA35" s="624" t="str">
        <f t="shared" si="80"/>
        <v/>
      </c>
      <c r="EB35" s="624" t="str">
        <f t="shared" si="81"/>
        <v/>
      </c>
      <c r="EC35" s="624" t="str">
        <f t="shared" si="82"/>
        <v/>
      </c>
      <c r="ED35" s="624" t="str">
        <f t="shared" si="83"/>
        <v/>
      </c>
      <c r="EE35" s="624" t="str">
        <f t="shared" si="84"/>
        <v/>
      </c>
      <c r="EF35" s="624" t="str">
        <f t="shared" si="85"/>
        <v/>
      </c>
      <c r="EG35" s="624" t="str">
        <f t="shared" si="86"/>
        <v/>
      </c>
      <c r="EH35" s="624" t="str">
        <f t="shared" si="87"/>
        <v/>
      </c>
      <c r="EI35" s="624" t="str">
        <f t="shared" si="88"/>
        <v/>
      </c>
      <c r="EJ35" s="624" t="str">
        <f t="shared" si="89"/>
        <v/>
      </c>
      <c r="EK35" s="624" t="str">
        <f t="shared" si="90"/>
        <v/>
      </c>
      <c r="EL35" s="624" t="str">
        <f t="shared" si="91"/>
        <v/>
      </c>
      <c r="EM35" s="624" t="str">
        <f t="shared" si="92"/>
        <v/>
      </c>
      <c r="EN35" s="624" t="str">
        <f t="shared" si="93"/>
        <v/>
      </c>
      <c r="EO35" s="624" t="str">
        <f t="shared" si="94"/>
        <v/>
      </c>
      <c r="EP35" s="624" t="str">
        <f t="shared" si="95"/>
        <v/>
      </c>
      <c r="EQ35" s="624" t="str">
        <f t="shared" si="96"/>
        <v/>
      </c>
      <c r="ER35" s="624" t="str">
        <f t="shared" si="97"/>
        <v/>
      </c>
      <c r="ES35" s="624" t="str">
        <f t="shared" si="98"/>
        <v/>
      </c>
      <c r="ET35" s="624" t="str">
        <f t="shared" si="99"/>
        <v/>
      </c>
      <c r="EU35" s="624" t="str">
        <f t="shared" si="100"/>
        <v/>
      </c>
      <c r="EV35" s="636" t="str">
        <f t="shared" si="101"/>
        <v/>
      </c>
      <c r="EW35" s="636" t="str">
        <f t="shared" si="102"/>
        <v/>
      </c>
      <c r="EX35" s="636" t="str">
        <f t="shared" si="103"/>
        <v/>
      </c>
      <c r="EY35" s="636" t="str">
        <f t="shared" si="104"/>
        <v/>
      </c>
      <c r="EZ35" s="636" t="str">
        <f t="shared" si="105"/>
        <v/>
      </c>
      <c r="FA35" s="636" t="str">
        <f t="shared" si="106"/>
        <v/>
      </c>
      <c r="FB35" s="636" t="str">
        <f t="shared" si="107"/>
        <v/>
      </c>
      <c r="FC35" s="636" t="str">
        <f t="shared" si="108"/>
        <v/>
      </c>
      <c r="FD35" s="636" t="str">
        <f t="shared" si="109"/>
        <v/>
      </c>
      <c r="FE35" s="636" t="str">
        <f t="shared" si="110"/>
        <v/>
      </c>
      <c r="FF35" s="636" t="str">
        <f t="shared" si="111"/>
        <v/>
      </c>
      <c r="FG35" s="636" t="str">
        <f t="shared" si="112"/>
        <v/>
      </c>
      <c r="FH35" s="636" t="str">
        <f t="shared" si="113"/>
        <v/>
      </c>
      <c r="FI35" s="636" t="str">
        <f t="shared" si="114"/>
        <v/>
      </c>
      <c r="FJ35" s="636" t="str">
        <f t="shared" si="115"/>
        <v/>
      </c>
      <c r="FK35" s="636" t="str">
        <f t="shared" si="116"/>
        <v/>
      </c>
      <c r="FL35" s="636" t="str">
        <f t="shared" si="117"/>
        <v/>
      </c>
      <c r="FM35" s="636" t="str">
        <f t="shared" si="118"/>
        <v/>
      </c>
      <c r="FN35" s="636" t="str">
        <f t="shared" si="119"/>
        <v/>
      </c>
      <c r="FO35" s="636" t="str">
        <f t="shared" si="120"/>
        <v/>
      </c>
      <c r="FP35" s="636" t="str">
        <f t="shared" si="121"/>
        <v/>
      </c>
      <c r="FQ35" s="636" t="str">
        <f t="shared" si="122"/>
        <v/>
      </c>
      <c r="FR35" s="636" t="str">
        <f t="shared" si="123"/>
        <v/>
      </c>
      <c r="FS35" s="636" t="str">
        <f t="shared" si="124"/>
        <v/>
      </c>
      <c r="FT35" s="636" t="str">
        <f t="shared" si="125"/>
        <v/>
      </c>
      <c r="FU35" s="636" t="str">
        <f t="shared" si="126"/>
        <v/>
      </c>
      <c r="FV35" s="636" t="str">
        <f t="shared" si="127"/>
        <v/>
      </c>
      <c r="FW35" s="636" t="str">
        <f t="shared" si="128"/>
        <v/>
      </c>
      <c r="FX35" s="636" t="str">
        <f t="shared" si="129"/>
        <v/>
      </c>
      <c r="FY35" s="636" t="str">
        <f t="shared" si="130"/>
        <v/>
      </c>
      <c r="FZ35" s="636" t="str">
        <f t="shared" si="131"/>
        <v/>
      </c>
      <c r="GA35" s="636" t="str">
        <f t="shared" si="132"/>
        <v/>
      </c>
      <c r="GB35" s="636" t="str">
        <f t="shared" si="133"/>
        <v/>
      </c>
      <c r="GC35" s="636" t="str">
        <f t="shared" si="134"/>
        <v/>
      </c>
      <c r="GD35" s="636" t="str">
        <f t="shared" si="135"/>
        <v/>
      </c>
      <c r="GE35" s="636" t="str">
        <f t="shared" si="136"/>
        <v/>
      </c>
      <c r="GF35" s="636" t="str">
        <f t="shared" si="137"/>
        <v/>
      </c>
      <c r="GG35" s="636" t="str">
        <f t="shared" si="138"/>
        <v/>
      </c>
      <c r="GH35" s="636" t="str">
        <f t="shared" si="139"/>
        <v/>
      </c>
      <c r="GI35" s="636" t="str">
        <f t="shared" si="140"/>
        <v/>
      </c>
      <c r="GJ35" s="636" t="str">
        <f t="shared" si="141"/>
        <v/>
      </c>
      <c r="GK35" s="636" t="str">
        <f t="shared" si="142"/>
        <v/>
      </c>
      <c r="GL35" s="636" t="str">
        <f t="shared" si="143"/>
        <v/>
      </c>
      <c r="GM35" s="636" t="str">
        <f t="shared" si="144"/>
        <v/>
      </c>
      <c r="GN35" s="636" t="str">
        <f t="shared" si="145"/>
        <v/>
      </c>
      <c r="GO35" s="637" t="str">
        <f t="shared" si="146"/>
        <v/>
      </c>
      <c r="GP35" s="637" t="str">
        <f t="shared" si="147"/>
        <v/>
      </c>
      <c r="GQ35" s="637" t="str">
        <f t="shared" si="148"/>
        <v/>
      </c>
      <c r="GR35" s="637" t="str">
        <f t="shared" si="149"/>
        <v/>
      </c>
      <c r="GS35" s="637" t="str">
        <f t="shared" si="150"/>
        <v/>
      </c>
      <c r="GT35" s="624" t="str">
        <f t="shared" si="151"/>
        <v/>
      </c>
      <c r="GU35" s="624" t="str">
        <f t="shared" si="152"/>
        <v/>
      </c>
      <c r="GV35" s="624" t="str">
        <f t="shared" si="153"/>
        <v/>
      </c>
      <c r="GW35" s="624" t="str">
        <f t="shared" si="154"/>
        <v/>
      </c>
      <c r="GX35" s="624" t="str">
        <f t="shared" si="155"/>
        <v/>
      </c>
      <c r="GY35" s="624" t="str">
        <f t="shared" si="156"/>
        <v/>
      </c>
      <c r="GZ35" s="624" t="str">
        <f t="shared" si="157"/>
        <v/>
      </c>
      <c r="HA35" s="624" t="str">
        <f t="shared" si="158"/>
        <v/>
      </c>
      <c r="HB35" s="624" t="str">
        <f t="shared" si="159"/>
        <v/>
      </c>
      <c r="HC35" s="624" t="str">
        <f t="shared" si="160"/>
        <v/>
      </c>
      <c r="HD35" s="624" t="str">
        <f t="shared" si="161"/>
        <v/>
      </c>
      <c r="HE35" s="624" t="str">
        <f t="shared" si="162"/>
        <v/>
      </c>
      <c r="HF35" s="624" t="str">
        <f t="shared" si="163"/>
        <v/>
      </c>
      <c r="HG35" s="624" t="str">
        <f t="shared" si="164"/>
        <v/>
      </c>
      <c r="HH35" s="624" t="str">
        <f t="shared" si="165"/>
        <v/>
      </c>
      <c r="HI35" s="624" t="str">
        <f t="shared" si="166"/>
        <v/>
      </c>
      <c r="HJ35" s="624" t="str">
        <f t="shared" si="167"/>
        <v/>
      </c>
      <c r="HK35" s="624" t="str">
        <f t="shared" si="168"/>
        <v/>
      </c>
      <c r="HL35" s="624" t="str">
        <f t="shared" si="169"/>
        <v/>
      </c>
      <c r="HM35" s="624" t="str">
        <f t="shared" si="170"/>
        <v/>
      </c>
    </row>
    <row r="36" spans="1:221" ht="13.15" customHeight="1">
      <c r="A36" s="130" t="str">
        <f t="shared" si="171"/>
        <v/>
      </c>
      <c r="B36" s="1553" t="s">
        <v>2466</v>
      </c>
      <c r="C36" s="1554"/>
      <c r="D36" s="1555"/>
      <c r="E36" s="1556"/>
      <c r="F36" s="1556"/>
      <c r="G36" s="1556"/>
      <c r="H36" s="1556"/>
      <c r="I36" s="1556"/>
      <c r="J36" s="1557"/>
      <c r="K36" s="205">
        <f t="shared" si="204"/>
        <v>0</v>
      </c>
      <c r="L36" s="205">
        <f t="shared" si="0"/>
        <v>0</v>
      </c>
      <c r="M36" s="1558"/>
      <c r="N36" s="1558"/>
      <c r="O36" s="1558"/>
      <c r="P36" s="559" t="str">
        <f t="shared" si="203"/>
        <v/>
      </c>
      <c r="Q36" s="560" t="str">
        <f>IF(H36="","",P36/($P$6*VLOOKUP(C36,'DCA Underwriting Assumptions'!$J$81:$K$86,2,FALSE)))</f>
        <v/>
      </c>
      <c r="R36" s="667"/>
      <c r="S36" s="560"/>
      <c r="T36" s="1497"/>
      <c r="U36" s="1498"/>
      <c r="V36" s="624" t="str">
        <f t="shared" si="1"/>
        <v/>
      </c>
      <c r="W36" s="624" t="str">
        <f t="shared" si="2"/>
        <v/>
      </c>
      <c r="X36" s="624" t="str">
        <f t="shared" si="3"/>
        <v/>
      </c>
      <c r="Y36" s="624" t="str">
        <f t="shared" si="4"/>
        <v/>
      </c>
      <c r="Z36" s="624" t="str">
        <f t="shared" si="5"/>
        <v/>
      </c>
      <c r="AA36" s="624" t="str">
        <f t="shared" si="6"/>
        <v/>
      </c>
      <c r="AB36" s="624" t="str">
        <f t="shared" si="7"/>
        <v/>
      </c>
      <c r="AC36" s="624" t="str">
        <f t="shared" si="8"/>
        <v/>
      </c>
      <c r="AD36" s="624" t="str">
        <f t="shared" si="9"/>
        <v/>
      </c>
      <c r="AE36" s="624" t="str">
        <f t="shared" si="10"/>
        <v/>
      </c>
      <c r="AF36" s="624" t="str">
        <f t="shared" si="11"/>
        <v/>
      </c>
      <c r="AG36" s="624" t="str">
        <f t="shared" si="12"/>
        <v/>
      </c>
      <c r="AH36" s="624" t="str">
        <f t="shared" si="13"/>
        <v/>
      </c>
      <c r="AI36" s="624" t="str">
        <f t="shared" si="14"/>
        <v/>
      </c>
      <c r="AJ36" s="624" t="str">
        <f t="shared" si="15"/>
        <v/>
      </c>
      <c r="AK36" s="624" t="str">
        <f t="shared" si="16"/>
        <v/>
      </c>
      <c r="AL36" s="624" t="str">
        <f t="shared" si="17"/>
        <v/>
      </c>
      <c r="AM36" s="624" t="str">
        <f t="shared" si="18"/>
        <v/>
      </c>
      <c r="AN36" s="624" t="str">
        <f t="shared" si="19"/>
        <v/>
      </c>
      <c r="AO36" s="624" t="str">
        <f t="shared" si="20"/>
        <v/>
      </c>
      <c r="AP36" s="624" t="str">
        <f t="shared" si="173"/>
        <v/>
      </c>
      <c r="AQ36" s="624" t="str">
        <f t="shared" si="174"/>
        <v/>
      </c>
      <c r="AR36" s="624" t="str">
        <f t="shared" si="175"/>
        <v/>
      </c>
      <c r="AS36" s="624" t="str">
        <f t="shared" si="176"/>
        <v/>
      </c>
      <c r="AT36" s="624" t="str">
        <f t="shared" si="177"/>
        <v/>
      </c>
      <c r="AU36" s="624" t="str">
        <f t="shared" si="178"/>
        <v/>
      </c>
      <c r="AV36" s="624" t="str">
        <f t="shared" si="179"/>
        <v/>
      </c>
      <c r="AW36" s="624" t="str">
        <f t="shared" si="180"/>
        <v/>
      </c>
      <c r="AX36" s="624" t="str">
        <f t="shared" si="181"/>
        <v/>
      </c>
      <c r="AY36" s="624" t="str">
        <f t="shared" si="182"/>
        <v/>
      </c>
      <c r="AZ36" s="624" t="str">
        <f t="shared" si="183"/>
        <v/>
      </c>
      <c r="BA36" s="624" t="str">
        <f t="shared" si="184"/>
        <v/>
      </c>
      <c r="BB36" s="624" t="str">
        <f t="shared" si="185"/>
        <v/>
      </c>
      <c r="BC36" s="624" t="str">
        <f t="shared" si="186"/>
        <v/>
      </c>
      <c r="BD36" s="624" t="str">
        <f t="shared" si="187"/>
        <v/>
      </c>
      <c r="BE36" s="624" t="str">
        <f t="shared" si="188"/>
        <v/>
      </c>
      <c r="BF36" s="624" t="str">
        <f t="shared" si="189"/>
        <v/>
      </c>
      <c r="BG36" s="624" t="str">
        <f t="shared" si="190"/>
        <v/>
      </c>
      <c r="BH36" s="624" t="str">
        <f t="shared" si="191"/>
        <v/>
      </c>
      <c r="BI36" s="624" t="str">
        <f t="shared" si="192"/>
        <v/>
      </c>
      <c r="BJ36" s="624" t="str">
        <f t="shared" si="193"/>
        <v/>
      </c>
      <c r="BK36" s="624" t="str">
        <f t="shared" si="194"/>
        <v/>
      </c>
      <c r="BL36" s="624" t="str">
        <f t="shared" si="195"/>
        <v/>
      </c>
      <c r="BM36" s="624" t="str">
        <f t="shared" si="196"/>
        <v/>
      </c>
      <c r="BN36" s="624" t="str">
        <f t="shared" si="197"/>
        <v/>
      </c>
      <c r="BO36" s="624" t="str">
        <f t="shared" si="198"/>
        <v/>
      </c>
      <c r="BP36" s="624" t="str">
        <f t="shared" si="199"/>
        <v/>
      </c>
      <c r="BQ36" s="624" t="str">
        <f t="shared" si="200"/>
        <v/>
      </c>
      <c r="BR36" s="624" t="str">
        <f t="shared" si="201"/>
        <v/>
      </c>
      <c r="BS36" s="624" t="str">
        <f t="shared" si="202"/>
        <v/>
      </c>
      <c r="BT36" s="624" t="str">
        <f t="shared" si="21"/>
        <v/>
      </c>
      <c r="BU36" s="624" t="str">
        <f t="shared" si="22"/>
        <v/>
      </c>
      <c r="BV36" s="624" t="str">
        <f t="shared" si="23"/>
        <v/>
      </c>
      <c r="BW36" s="624" t="str">
        <f t="shared" si="24"/>
        <v/>
      </c>
      <c r="BX36" s="624" t="str">
        <f t="shared" si="25"/>
        <v/>
      </c>
      <c r="BY36" s="624" t="str">
        <f t="shared" si="26"/>
        <v/>
      </c>
      <c r="BZ36" s="624" t="str">
        <f t="shared" si="27"/>
        <v/>
      </c>
      <c r="CA36" s="624" t="str">
        <f t="shared" si="28"/>
        <v/>
      </c>
      <c r="CB36" s="624" t="str">
        <f t="shared" si="29"/>
        <v/>
      </c>
      <c r="CC36" s="624" t="str">
        <f t="shared" si="30"/>
        <v/>
      </c>
      <c r="CD36" s="624" t="str">
        <f t="shared" si="31"/>
        <v/>
      </c>
      <c r="CE36" s="624" t="str">
        <f t="shared" si="32"/>
        <v/>
      </c>
      <c r="CF36" s="624" t="str">
        <f t="shared" si="33"/>
        <v/>
      </c>
      <c r="CG36" s="624" t="str">
        <f t="shared" si="34"/>
        <v/>
      </c>
      <c r="CH36" s="624" t="str">
        <f t="shared" si="35"/>
        <v/>
      </c>
      <c r="CI36" s="624" t="str">
        <f t="shared" si="36"/>
        <v/>
      </c>
      <c r="CJ36" s="624" t="str">
        <f t="shared" si="37"/>
        <v/>
      </c>
      <c r="CK36" s="624" t="str">
        <f t="shared" si="38"/>
        <v/>
      </c>
      <c r="CL36" s="624" t="str">
        <f t="shared" si="39"/>
        <v/>
      </c>
      <c r="CM36" s="624" t="str">
        <f t="shared" si="40"/>
        <v/>
      </c>
      <c r="CN36" s="624" t="str">
        <f t="shared" si="41"/>
        <v/>
      </c>
      <c r="CO36" s="624" t="str">
        <f t="shared" si="42"/>
        <v/>
      </c>
      <c r="CP36" s="624" t="str">
        <f t="shared" si="43"/>
        <v/>
      </c>
      <c r="CQ36" s="624" t="str">
        <f t="shared" si="44"/>
        <v/>
      </c>
      <c r="CR36" s="624" t="str">
        <f t="shared" si="45"/>
        <v/>
      </c>
      <c r="CS36" s="624" t="str">
        <f t="shared" si="46"/>
        <v/>
      </c>
      <c r="CT36" s="624" t="str">
        <f t="shared" si="47"/>
        <v/>
      </c>
      <c r="CU36" s="624" t="str">
        <f t="shared" si="48"/>
        <v/>
      </c>
      <c r="CV36" s="624" t="str">
        <f t="shared" si="49"/>
        <v/>
      </c>
      <c r="CW36" s="624" t="str">
        <f t="shared" si="50"/>
        <v/>
      </c>
      <c r="CX36" s="624" t="str">
        <f t="shared" si="51"/>
        <v/>
      </c>
      <c r="CY36" s="624" t="str">
        <f t="shared" si="52"/>
        <v/>
      </c>
      <c r="CZ36" s="624" t="str">
        <f t="shared" si="53"/>
        <v/>
      </c>
      <c r="DA36" s="624" t="str">
        <f t="shared" si="54"/>
        <v/>
      </c>
      <c r="DB36" s="624" t="str">
        <f t="shared" si="55"/>
        <v/>
      </c>
      <c r="DC36" s="624" t="str">
        <f t="shared" si="56"/>
        <v/>
      </c>
      <c r="DD36" s="624" t="str">
        <f t="shared" si="57"/>
        <v/>
      </c>
      <c r="DE36" s="624" t="str">
        <f t="shared" si="58"/>
        <v/>
      </c>
      <c r="DF36" s="624" t="str">
        <f t="shared" si="59"/>
        <v/>
      </c>
      <c r="DG36" s="624" t="str">
        <f t="shared" si="60"/>
        <v/>
      </c>
      <c r="DH36" s="624" t="str">
        <f t="shared" si="61"/>
        <v/>
      </c>
      <c r="DI36" s="624" t="str">
        <f t="shared" si="62"/>
        <v/>
      </c>
      <c r="DJ36" s="624" t="str">
        <f t="shared" si="63"/>
        <v/>
      </c>
      <c r="DK36" s="624" t="str">
        <f t="shared" si="64"/>
        <v/>
      </c>
      <c r="DL36" s="624" t="str">
        <f t="shared" si="65"/>
        <v/>
      </c>
      <c r="DM36" s="624" t="str">
        <f t="shared" si="66"/>
        <v/>
      </c>
      <c r="DN36" s="624" t="str">
        <f t="shared" si="67"/>
        <v/>
      </c>
      <c r="DO36" s="624" t="str">
        <f t="shared" si="68"/>
        <v/>
      </c>
      <c r="DP36" s="624" t="str">
        <f t="shared" si="69"/>
        <v/>
      </c>
      <c r="DQ36" s="624" t="str">
        <f t="shared" si="70"/>
        <v/>
      </c>
      <c r="DR36" s="624" t="str">
        <f t="shared" si="71"/>
        <v/>
      </c>
      <c r="DS36" s="624" t="str">
        <f t="shared" si="72"/>
        <v/>
      </c>
      <c r="DT36" s="624" t="str">
        <f t="shared" si="73"/>
        <v/>
      </c>
      <c r="DU36" s="624" t="str">
        <f t="shared" si="74"/>
        <v/>
      </c>
      <c r="DV36" s="624" t="str">
        <f t="shared" si="75"/>
        <v/>
      </c>
      <c r="DW36" s="624" t="str">
        <f t="shared" si="76"/>
        <v/>
      </c>
      <c r="DX36" s="624" t="str">
        <f t="shared" si="77"/>
        <v/>
      </c>
      <c r="DY36" s="624" t="str">
        <f t="shared" si="78"/>
        <v/>
      </c>
      <c r="DZ36" s="624" t="str">
        <f t="shared" si="79"/>
        <v/>
      </c>
      <c r="EA36" s="624" t="str">
        <f t="shared" si="80"/>
        <v/>
      </c>
      <c r="EB36" s="624" t="str">
        <f t="shared" si="81"/>
        <v/>
      </c>
      <c r="EC36" s="624" t="str">
        <f t="shared" si="82"/>
        <v/>
      </c>
      <c r="ED36" s="624" t="str">
        <f t="shared" si="83"/>
        <v/>
      </c>
      <c r="EE36" s="624" t="str">
        <f t="shared" si="84"/>
        <v/>
      </c>
      <c r="EF36" s="624" t="str">
        <f t="shared" si="85"/>
        <v/>
      </c>
      <c r="EG36" s="624" t="str">
        <f t="shared" si="86"/>
        <v/>
      </c>
      <c r="EH36" s="624" t="str">
        <f t="shared" si="87"/>
        <v/>
      </c>
      <c r="EI36" s="624" t="str">
        <f t="shared" si="88"/>
        <v/>
      </c>
      <c r="EJ36" s="624" t="str">
        <f t="shared" si="89"/>
        <v/>
      </c>
      <c r="EK36" s="624" t="str">
        <f t="shared" si="90"/>
        <v/>
      </c>
      <c r="EL36" s="624" t="str">
        <f t="shared" si="91"/>
        <v/>
      </c>
      <c r="EM36" s="624" t="str">
        <f t="shared" si="92"/>
        <v/>
      </c>
      <c r="EN36" s="624" t="str">
        <f t="shared" si="93"/>
        <v/>
      </c>
      <c r="EO36" s="624" t="str">
        <f t="shared" si="94"/>
        <v/>
      </c>
      <c r="EP36" s="624" t="str">
        <f t="shared" si="95"/>
        <v/>
      </c>
      <c r="EQ36" s="624" t="str">
        <f t="shared" si="96"/>
        <v/>
      </c>
      <c r="ER36" s="624" t="str">
        <f t="shared" si="97"/>
        <v/>
      </c>
      <c r="ES36" s="624" t="str">
        <f t="shared" si="98"/>
        <v/>
      </c>
      <c r="ET36" s="624" t="str">
        <f t="shared" si="99"/>
        <v/>
      </c>
      <c r="EU36" s="624" t="str">
        <f t="shared" si="100"/>
        <v/>
      </c>
      <c r="EV36" s="636" t="str">
        <f t="shared" si="101"/>
        <v/>
      </c>
      <c r="EW36" s="636" t="str">
        <f t="shared" si="102"/>
        <v/>
      </c>
      <c r="EX36" s="636" t="str">
        <f t="shared" si="103"/>
        <v/>
      </c>
      <c r="EY36" s="636" t="str">
        <f t="shared" si="104"/>
        <v/>
      </c>
      <c r="EZ36" s="636" t="str">
        <f t="shared" si="105"/>
        <v/>
      </c>
      <c r="FA36" s="636" t="str">
        <f t="shared" si="106"/>
        <v/>
      </c>
      <c r="FB36" s="636" t="str">
        <f t="shared" si="107"/>
        <v/>
      </c>
      <c r="FC36" s="636" t="str">
        <f t="shared" si="108"/>
        <v/>
      </c>
      <c r="FD36" s="636" t="str">
        <f t="shared" si="109"/>
        <v/>
      </c>
      <c r="FE36" s="636" t="str">
        <f t="shared" si="110"/>
        <v/>
      </c>
      <c r="FF36" s="636" t="str">
        <f t="shared" si="111"/>
        <v/>
      </c>
      <c r="FG36" s="636" t="str">
        <f t="shared" si="112"/>
        <v/>
      </c>
      <c r="FH36" s="636" t="str">
        <f t="shared" si="113"/>
        <v/>
      </c>
      <c r="FI36" s="636" t="str">
        <f t="shared" si="114"/>
        <v/>
      </c>
      <c r="FJ36" s="636" t="str">
        <f t="shared" si="115"/>
        <v/>
      </c>
      <c r="FK36" s="636" t="str">
        <f t="shared" si="116"/>
        <v/>
      </c>
      <c r="FL36" s="636" t="str">
        <f t="shared" si="117"/>
        <v/>
      </c>
      <c r="FM36" s="636" t="str">
        <f t="shared" si="118"/>
        <v/>
      </c>
      <c r="FN36" s="636" t="str">
        <f t="shared" si="119"/>
        <v/>
      </c>
      <c r="FO36" s="636" t="str">
        <f t="shared" si="120"/>
        <v/>
      </c>
      <c r="FP36" s="636" t="str">
        <f t="shared" si="121"/>
        <v/>
      </c>
      <c r="FQ36" s="636" t="str">
        <f t="shared" si="122"/>
        <v/>
      </c>
      <c r="FR36" s="636" t="str">
        <f t="shared" si="123"/>
        <v/>
      </c>
      <c r="FS36" s="636" t="str">
        <f t="shared" si="124"/>
        <v/>
      </c>
      <c r="FT36" s="636" t="str">
        <f t="shared" si="125"/>
        <v/>
      </c>
      <c r="FU36" s="636" t="str">
        <f t="shared" si="126"/>
        <v/>
      </c>
      <c r="FV36" s="636" t="str">
        <f t="shared" si="127"/>
        <v/>
      </c>
      <c r="FW36" s="636" t="str">
        <f t="shared" si="128"/>
        <v/>
      </c>
      <c r="FX36" s="636" t="str">
        <f t="shared" si="129"/>
        <v/>
      </c>
      <c r="FY36" s="636" t="str">
        <f t="shared" si="130"/>
        <v/>
      </c>
      <c r="FZ36" s="636" t="str">
        <f t="shared" si="131"/>
        <v/>
      </c>
      <c r="GA36" s="636" t="str">
        <f t="shared" si="132"/>
        <v/>
      </c>
      <c r="GB36" s="636" t="str">
        <f t="shared" si="133"/>
        <v/>
      </c>
      <c r="GC36" s="636" t="str">
        <f t="shared" si="134"/>
        <v/>
      </c>
      <c r="GD36" s="636" t="str">
        <f t="shared" si="135"/>
        <v/>
      </c>
      <c r="GE36" s="636" t="str">
        <f t="shared" si="136"/>
        <v/>
      </c>
      <c r="GF36" s="636" t="str">
        <f t="shared" si="137"/>
        <v/>
      </c>
      <c r="GG36" s="636" t="str">
        <f t="shared" si="138"/>
        <v/>
      </c>
      <c r="GH36" s="636" t="str">
        <f t="shared" si="139"/>
        <v/>
      </c>
      <c r="GI36" s="636" t="str">
        <f t="shared" si="140"/>
        <v/>
      </c>
      <c r="GJ36" s="636" t="str">
        <f t="shared" si="141"/>
        <v/>
      </c>
      <c r="GK36" s="636" t="str">
        <f t="shared" si="142"/>
        <v/>
      </c>
      <c r="GL36" s="636" t="str">
        <f t="shared" si="143"/>
        <v/>
      </c>
      <c r="GM36" s="636" t="str">
        <f t="shared" si="144"/>
        <v/>
      </c>
      <c r="GN36" s="636" t="str">
        <f t="shared" si="145"/>
        <v/>
      </c>
      <c r="GO36" s="637" t="str">
        <f t="shared" si="146"/>
        <v/>
      </c>
      <c r="GP36" s="637" t="str">
        <f t="shared" si="147"/>
        <v/>
      </c>
      <c r="GQ36" s="637" t="str">
        <f t="shared" si="148"/>
        <v/>
      </c>
      <c r="GR36" s="637" t="str">
        <f t="shared" si="149"/>
        <v/>
      </c>
      <c r="GS36" s="637" t="str">
        <f t="shared" si="150"/>
        <v/>
      </c>
      <c r="GT36" s="624" t="str">
        <f t="shared" si="151"/>
        <v/>
      </c>
      <c r="GU36" s="624" t="str">
        <f t="shared" si="152"/>
        <v/>
      </c>
      <c r="GV36" s="624" t="str">
        <f t="shared" si="153"/>
        <v/>
      </c>
      <c r="GW36" s="624" t="str">
        <f t="shared" si="154"/>
        <v/>
      </c>
      <c r="GX36" s="624" t="str">
        <f t="shared" si="155"/>
        <v/>
      </c>
      <c r="GY36" s="624" t="str">
        <f t="shared" si="156"/>
        <v/>
      </c>
      <c r="GZ36" s="624" t="str">
        <f t="shared" si="157"/>
        <v/>
      </c>
      <c r="HA36" s="624" t="str">
        <f t="shared" si="158"/>
        <v/>
      </c>
      <c r="HB36" s="624" t="str">
        <f t="shared" si="159"/>
        <v/>
      </c>
      <c r="HC36" s="624" t="str">
        <f t="shared" si="160"/>
        <v/>
      </c>
      <c r="HD36" s="624" t="str">
        <f t="shared" si="161"/>
        <v/>
      </c>
      <c r="HE36" s="624" t="str">
        <f t="shared" si="162"/>
        <v/>
      </c>
      <c r="HF36" s="624" t="str">
        <f t="shared" si="163"/>
        <v/>
      </c>
      <c r="HG36" s="624" t="str">
        <f t="shared" si="164"/>
        <v/>
      </c>
      <c r="HH36" s="624" t="str">
        <f t="shared" si="165"/>
        <v/>
      </c>
      <c r="HI36" s="624" t="str">
        <f t="shared" si="166"/>
        <v/>
      </c>
      <c r="HJ36" s="624" t="str">
        <f t="shared" si="167"/>
        <v/>
      </c>
      <c r="HK36" s="624" t="str">
        <f t="shared" si="168"/>
        <v/>
      </c>
      <c r="HL36" s="624" t="str">
        <f t="shared" si="169"/>
        <v/>
      </c>
      <c r="HM36" s="624" t="str">
        <f t="shared" si="170"/>
        <v/>
      </c>
    </row>
    <row r="37" spans="1:221" ht="13.15" customHeight="1">
      <c r="A37" s="130" t="str">
        <f t="shared" si="171"/>
        <v/>
      </c>
      <c r="B37" s="1553" t="s">
        <v>2466</v>
      </c>
      <c r="C37" s="1554"/>
      <c r="D37" s="1555"/>
      <c r="E37" s="1556"/>
      <c r="F37" s="1556"/>
      <c r="G37" s="1556"/>
      <c r="H37" s="1556"/>
      <c r="I37" s="1556"/>
      <c r="J37" s="1557"/>
      <c r="K37" s="205">
        <f t="shared" si="204"/>
        <v>0</v>
      </c>
      <c r="L37" s="205">
        <f t="shared" si="0"/>
        <v>0</v>
      </c>
      <c r="M37" s="1558"/>
      <c r="N37" s="1558"/>
      <c r="O37" s="1558"/>
      <c r="P37" s="559" t="str">
        <f t="shared" si="203"/>
        <v/>
      </c>
      <c r="Q37" s="560" t="str">
        <f>IF(H37="","",P37/($P$6*VLOOKUP(C37,'DCA Underwriting Assumptions'!$J$81:$K$86,2,FALSE)))</f>
        <v/>
      </c>
      <c r="R37" s="667"/>
      <c r="S37" s="560"/>
      <c r="T37" s="1497"/>
      <c r="U37" s="1498"/>
      <c r="V37" s="624" t="str">
        <f t="shared" si="1"/>
        <v/>
      </c>
      <c r="W37" s="624" t="str">
        <f t="shared" si="2"/>
        <v/>
      </c>
      <c r="X37" s="624" t="str">
        <f t="shared" si="3"/>
        <v/>
      </c>
      <c r="Y37" s="624" t="str">
        <f t="shared" si="4"/>
        <v/>
      </c>
      <c r="Z37" s="624" t="str">
        <f t="shared" si="5"/>
        <v/>
      </c>
      <c r="AA37" s="624" t="str">
        <f t="shared" si="6"/>
        <v/>
      </c>
      <c r="AB37" s="624" t="str">
        <f t="shared" si="7"/>
        <v/>
      </c>
      <c r="AC37" s="624" t="str">
        <f t="shared" si="8"/>
        <v/>
      </c>
      <c r="AD37" s="624" t="str">
        <f t="shared" si="9"/>
        <v/>
      </c>
      <c r="AE37" s="624" t="str">
        <f t="shared" si="10"/>
        <v/>
      </c>
      <c r="AF37" s="624" t="str">
        <f t="shared" si="11"/>
        <v/>
      </c>
      <c r="AG37" s="624" t="str">
        <f t="shared" si="12"/>
        <v/>
      </c>
      <c r="AH37" s="624" t="str">
        <f t="shared" si="13"/>
        <v/>
      </c>
      <c r="AI37" s="624" t="str">
        <f t="shared" si="14"/>
        <v/>
      </c>
      <c r="AJ37" s="624" t="str">
        <f t="shared" si="15"/>
        <v/>
      </c>
      <c r="AK37" s="624" t="str">
        <f t="shared" si="16"/>
        <v/>
      </c>
      <c r="AL37" s="624" t="str">
        <f t="shared" si="17"/>
        <v/>
      </c>
      <c r="AM37" s="624" t="str">
        <f t="shared" si="18"/>
        <v/>
      </c>
      <c r="AN37" s="624" t="str">
        <f t="shared" si="19"/>
        <v/>
      </c>
      <c r="AO37" s="624" t="str">
        <f t="shared" si="20"/>
        <v/>
      </c>
      <c r="AP37" s="624" t="str">
        <f t="shared" si="173"/>
        <v/>
      </c>
      <c r="AQ37" s="624" t="str">
        <f t="shared" si="174"/>
        <v/>
      </c>
      <c r="AR37" s="624" t="str">
        <f t="shared" si="175"/>
        <v/>
      </c>
      <c r="AS37" s="624" t="str">
        <f t="shared" si="176"/>
        <v/>
      </c>
      <c r="AT37" s="624" t="str">
        <f t="shared" si="177"/>
        <v/>
      </c>
      <c r="AU37" s="624" t="str">
        <f t="shared" si="178"/>
        <v/>
      </c>
      <c r="AV37" s="624" t="str">
        <f t="shared" si="179"/>
        <v/>
      </c>
      <c r="AW37" s="624" t="str">
        <f t="shared" si="180"/>
        <v/>
      </c>
      <c r="AX37" s="624" t="str">
        <f t="shared" si="181"/>
        <v/>
      </c>
      <c r="AY37" s="624" t="str">
        <f t="shared" si="182"/>
        <v/>
      </c>
      <c r="AZ37" s="624" t="str">
        <f t="shared" si="183"/>
        <v/>
      </c>
      <c r="BA37" s="624" t="str">
        <f t="shared" si="184"/>
        <v/>
      </c>
      <c r="BB37" s="624" t="str">
        <f t="shared" si="185"/>
        <v/>
      </c>
      <c r="BC37" s="624" t="str">
        <f t="shared" si="186"/>
        <v/>
      </c>
      <c r="BD37" s="624" t="str">
        <f t="shared" si="187"/>
        <v/>
      </c>
      <c r="BE37" s="624" t="str">
        <f t="shared" si="188"/>
        <v/>
      </c>
      <c r="BF37" s="624" t="str">
        <f t="shared" si="189"/>
        <v/>
      </c>
      <c r="BG37" s="624" t="str">
        <f t="shared" si="190"/>
        <v/>
      </c>
      <c r="BH37" s="624" t="str">
        <f t="shared" si="191"/>
        <v/>
      </c>
      <c r="BI37" s="624" t="str">
        <f t="shared" si="192"/>
        <v/>
      </c>
      <c r="BJ37" s="624" t="str">
        <f t="shared" si="193"/>
        <v/>
      </c>
      <c r="BK37" s="624" t="str">
        <f t="shared" si="194"/>
        <v/>
      </c>
      <c r="BL37" s="624" t="str">
        <f t="shared" si="195"/>
        <v/>
      </c>
      <c r="BM37" s="624" t="str">
        <f t="shared" si="196"/>
        <v/>
      </c>
      <c r="BN37" s="624" t="str">
        <f t="shared" si="197"/>
        <v/>
      </c>
      <c r="BO37" s="624" t="str">
        <f t="shared" si="198"/>
        <v/>
      </c>
      <c r="BP37" s="624" t="str">
        <f t="shared" si="199"/>
        <v/>
      </c>
      <c r="BQ37" s="624" t="str">
        <f t="shared" si="200"/>
        <v/>
      </c>
      <c r="BR37" s="624" t="str">
        <f t="shared" si="201"/>
        <v/>
      </c>
      <c r="BS37" s="624" t="str">
        <f t="shared" si="202"/>
        <v/>
      </c>
      <c r="BT37" s="624" t="str">
        <f t="shared" si="21"/>
        <v/>
      </c>
      <c r="BU37" s="624" t="str">
        <f t="shared" si="22"/>
        <v/>
      </c>
      <c r="BV37" s="624" t="str">
        <f t="shared" si="23"/>
        <v/>
      </c>
      <c r="BW37" s="624" t="str">
        <f t="shared" si="24"/>
        <v/>
      </c>
      <c r="BX37" s="624" t="str">
        <f t="shared" si="25"/>
        <v/>
      </c>
      <c r="BY37" s="624" t="str">
        <f t="shared" si="26"/>
        <v/>
      </c>
      <c r="BZ37" s="624" t="str">
        <f t="shared" si="27"/>
        <v/>
      </c>
      <c r="CA37" s="624" t="str">
        <f t="shared" si="28"/>
        <v/>
      </c>
      <c r="CB37" s="624" t="str">
        <f t="shared" si="29"/>
        <v/>
      </c>
      <c r="CC37" s="624" t="str">
        <f t="shared" si="30"/>
        <v/>
      </c>
      <c r="CD37" s="624" t="str">
        <f t="shared" si="31"/>
        <v/>
      </c>
      <c r="CE37" s="624" t="str">
        <f t="shared" si="32"/>
        <v/>
      </c>
      <c r="CF37" s="624" t="str">
        <f t="shared" si="33"/>
        <v/>
      </c>
      <c r="CG37" s="624" t="str">
        <f t="shared" si="34"/>
        <v/>
      </c>
      <c r="CH37" s="624" t="str">
        <f t="shared" si="35"/>
        <v/>
      </c>
      <c r="CI37" s="624" t="str">
        <f t="shared" si="36"/>
        <v/>
      </c>
      <c r="CJ37" s="624" t="str">
        <f t="shared" si="37"/>
        <v/>
      </c>
      <c r="CK37" s="624" t="str">
        <f t="shared" si="38"/>
        <v/>
      </c>
      <c r="CL37" s="624" t="str">
        <f t="shared" si="39"/>
        <v/>
      </c>
      <c r="CM37" s="624" t="str">
        <f t="shared" si="40"/>
        <v/>
      </c>
      <c r="CN37" s="624" t="str">
        <f t="shared" si="41"/>
        <v/>
      </c>
      <c r="CO37" s="624" t="str">
        <f t="shared" si="42"/>
        <v/>
      </c>
      <c r="CP37" s="624" t="str">
        <f t="shared" si="43"/>
        <v/>
      </c>
      <c r="CQ37" s="624" t="str">
        <f t="shared" si="44"/>
        <v/>
      </c>
      <c r="CR37" s="624" t="str">
        <f t="shared" si="45"/>
        <v/>
      </c>
      <c r="CS37" s="624" t="str">
        <f t="shared" si="46"/>
        <v/>
      </c>
      <c r="CT37" s="624" t="str">
        <f t="shared" si="47"/>
        <v/>
      </c>
      <c r="CU37" s="624" t="str">
        <f t="shared" si="48"/>
        <v/>
      </c>
      <c r="CV37" s="624" t="str">
        <f t="shared" si="49"/>
        <v/>
      </c>
      <c r="CW37" s="624" t="str">
        <f t="shared" si="50"/>
        <v/>
      </c>
      <c r="CX37" s="624" t="str">
        <f t="shared" si="51"/>
        <v/>
      </c>
      <c r="CY37" s="624" t="str">
        <f t="shared" si="52"/>
        <v/>
      </c>
      <c r="CZ37" s="624" t="str">
        <f t="shared" si="53"/>
        <v/>
      </c>
      <c r="DA37" s="624" t="str">
        <f t="shared" si="54"/>
        <v/>
      </c>
      <c r="DB37" s="624" t="str">
        <f t="shared" si="55"/>
        <v/>
      </c>
      <c r="DC37" s="624" t="str">
        <f t="shared" si="56"/>
        <v/>
      </c>
      <c r="DD37" s="624" t="str">
        <f t="shared" si="57"/>
        <v/>
      </c>
      <c r="DE37" s="624" t="str">
        <f t="shared" si="58"/>
        <v/>
      </c>
      <c r="DF37" s="624" t="str">
        <f t="shared" si="59"/>
        <v/>
      </c>
      <c r="DG37" s="624" t="str">
        <f t="shared" si="60"/>
        <v/>
      </c>
      <c r="DH37" s="624" t="str">
        <f t="shared" si="61"/>
        <v/>
      </c>
      <c r="DI37" s="624" t="str">
        <f t="shared" si="62"/>
        <v/>
      </c>
      <c r="DJ37" s="624" t="str">
        <f t="shared" si="63"/>
        <v/>
      </c>
      <c r="DK37" s="624" t="str">
        <f t="shared" si="64"/>
        <v/>
      </c>
      <c r="DL37" s="624" t="str">
        <f t="shared" si="65"/>
        <v/>
      </c>
      <c r="DM37" s="624" t="str">
        <f t="shared" si="66"/>
        <v/>
      </c>
      <c r="DN37" s="624" t="str">
        <f t="shared" si="67"/>
        <v/>
      </c>
      <c r="DO37" s="624" t="str">
        <f t="shared" si="68"/>
        <v/>
      </c>
      <c r="DP37" s="624" t="str">
        <f t="shared" si="69"/>
        <v/>
      </c>
      <c r="DQ37" s="624" t="str">
        <f t="shared" si="70"/>
        <v/>
      </c>
      <c r="DR37" s="624" t="str">
        <f t="shared" si="71"/>
        <v/>
      </c>
      <c r="DS37" s="624" t="str">
        <f t="shared" si="72"/>
        <v/>
      </c>
      <c r="DT37" s="624" t="str">
        <f t="shared" si="73"/>
        <v/>
      </c>
      <c r="DU37" s="624" t="str">
        <f t="shared" si="74"/>
        <v/>
      </c>
      <c r="DV37" s="624" t="str">
        <f t="shared" si="75"/>
        <v/>
      </c>
      <c r="DW37" s="624" t="str">
        <f t="shared" si="76"/>
        <v/>
      </c>
      <c r="DX37" s="624" t="str">
        <f t="shared" si="77"/>
        <v/>
      </c>
      <c r="DY37" s="624" t="str">
        <f t="shared" si="78"/>
        <v/>
      </c>
      <c r="DZ37" s="624" t="str">
        <f t="shared" si="79"/>
        <v/>
      </c>
      <c r="EA37" s="624" t="str">
        <f t="shared" si="80"/>
        <v/>
      </c>
      <c r="EB37" s="624" t="str">
        <f t="shared" si="81"/>
        <v/>
      </c>
      <c r="EC37" s="624" t="str">
        <f t="shared" si="82"/>
        <v/>
      </c>
      <c r="ED37" s="624" t="str">
        <f t="shared" si="83"/>
        <v/>
      </c>
      <c r="EE37" s="624" t="str">
        <f t="shared" si="84"/>
        <v/>
      </c>
      <c r="EF37" s="624" t="str">
        <f t="shared" si="85"/>
        <v/>
      </c>
      <c r="EG37" s="624" t="str">
        <f t="shared" si="86"/>
        <v/>
      </c>
      <c r="EH37" s="624" t="str">
        <f t="shared" si="87"/>
        <v/>
      </c>
      <c r="EI37" s="624" t="str">
        <f t="shared" si="88"/>
        <v/>
      </c>
      <c r="EJ37" s="624" t="str">
        <f t="shared" si="89"/>
        <v/>
      </c>
      <c r="EK37" s="624" t="str">
        <f t="shared" si="90"/>
        <v/>
      </c>
      <c r="EL37" s="624" t="str">
        <f t="shared" si="91"/>
        <v/>
      </c>
      <c r="EM37" s="624" t="str">
        <f t="shared" si="92"/>
        <v/>
      </c>
      <c r="EN37" s="624" t="str">
        <f t="shared" si="93"/>
        <v/>
      </c>
      <c r="EO37" s="624" t="str">
        <f t="shared" si="94"/>
        <v/>
      </c>
      <c r="EP37" s="624" t="str">
        <f t="shared" si="95"/>
        <v/>
      </c>
      <c r="EQ37" s="624" t="str">
        <f t="shared" si="96"/>
        <v/>
      </c>
      <c r="ER37" s="624" t="str">
        <f t="shared" si="97"/>
        <v/>
      </c>
      <c r="ES37" s="624" t="str">
        <f t="shared" si="98"/>
        <v/>
      </c>
      <c r="ET37" s="624" t="str">
        <f t="shared" si="99"/>
        <v/>
      </c>
      <c r="EU37" s="624" t="str">
        <f t="shared" si="100"/>
        <v/>
      </c>
      <c r="EV37" s="636" t="str">
        <f t="shared" si="101"/>
        <v/>
      </c>
      <c r="EW37" s="636" t="str">
        <f t="shared" si="102"/>
        <v/>
      </c>
      <c r="EX37" s="636" t="str">
        <f t="shared" si="103"/>
        <v/>
      </c>
      <c r="EY37" s="636" t="str">
        <f t="shared" si="104"/>
        <v/>
      </c>
      <c r="EZ37" s="636" t="str">
        <f t="shared" si="105"/>
        <v/>
      </c>
      <c r="FA37" s="636" t="str">
        <f t="shared" si="106"/>
        <v/>
      </c>
      <c r="FB37" s="636" t="str">
        <f t="shared" si="107"/>
        <v/>
      </c>
      <c r="FC37" s="636" t="str">
        <f t="shared" si="108"/>
        <v/>
      </c>
      <c r="FD37" s="636" t="str">
        <f t="shared" si="109"/>
        <v/>
      </c>
      <c r="FE37" s="636" t="str">
        <f t="shared" si="110"/>
        <v/>
      </c>
      <c r="FF37" s="636" t="str">
        <f t="shared" si="111"/>
        <v/>
      </c>
      <c r="FG37" s="636" t="str">
        <f t="shared" si="112"/>
        <v/>
      </c>
      <c r="FH37" s="636" t="str">
        <f t="shared" si="113"/>
        <v/>
      </c>
      <c r="FI37" s="636" t="str">
        <f t="shared" si="114"/>
        <v/>
      </c>
      <c r="FJ37" s="636" t="str">
        <f t="shared" si="115"/>
        <v/>
      </c>
      <c r="FK37" s="636" t="str">
        <f t="shared" si="116"/>
        <v/>
      </c>
      <c r="FL37" s="636" t="str">
        <f t="shared" si="117"/>
        <v/>
      </c>
      <c r="FM37" s="636" t="str">
        <f t="shared" si="118"/>
        <v/>
      </c>
      <c r="FN37" s="636" t="str">
        <f t="shared" si="119"/>
        <v/>
      </c>
      <c r="FO37" s="636" t="str">
        <f t="shared" si="120"/>
        <v/>
      </c>
      <c r="FP37" s="636" t="str">
        <f t="shared" si="121"/>
        <v/>
      </c>
      <c r="FQ37" s="636" t="str">
        <f t="shared" si="122"/>
        <v/>
      </c>
      <c r="FR37" s="636" t="str">
        <f t="shared" si="123"/>
        <v/>
      </c>
      <c r="FS37" s="636" t="str">
        <f t="shared" si="124"/>
        <v/>
      </c>
      <c r="FT37" s="636" t="str">
        <f t="shared" si="125"/>
        <v/>
      </c>
      <c r="FU37" s="636" t="str">
        <f t="shared" si="126"/>
        <v/>
      </c>
      <c r="FV37" s="636" t="str">
        <f t="shared" si="127"/>
        <v/>
      </c>
      <c r="FW37" s="636" t="str">
        <f t="shared" si="128"/>
        <v/>
      </c>
      <c r="FX37" s="636" t="str">
        <f t="shared" si="129"/>
        <v/>
      </c>
      <c r="FY37" s="636" t="str">
        <f t="shared" si="130"/>
        <v/>
      </c>
      <c r="FZ37" s="636" t="str">
        <f t="shared" si="131"/>
        <v/>
      </c>
      <c r="GA37" s="636" t="str">
        <f t="shared" si="132"/>
        <v/>
      </c>
      <c r="GB37" s="636" t="str">
        <f t="shared" si="133"/>
        <v/>
      </c>
      <c r="GC37" s="636" t="str">
        <f t="shared" si="134"/>
        <v/>
      </c>
      <c r="GD37" s="636" t="str">
        <f t="shared" si="135"/>
        <v/>
      </c>
      <c r="GE37" s="636" t="str">
        <f t="shared" si="136"/>
        <v/>
      </c>
      <c r="GF37" s="636" t="str">
        <f t="shared" si="137"/>
        <v/>
      </c>
      <c r="GG37" s="636" t="str">
        <f t="shared" si="138"/>
        <v/>
      </c>
      <c r="GH37" s="636" t="str">
        <f t="shared" si="139"/>
        <v/>
      </c>
      <c r="GI37" s="636" t="str">
        <f t="shared" si="140"/>
        <v/>
      </c>
      <c r="GJ37" s="636" t="str">
        <f t="shared" si="141"/>
        <v/>
      </c>
      <c r="GK37" s="636" t="str">
        <f t="shared" si="142"/>
        <v/>
      </c>
      <c r="GL37" s="636" t="str">
        <f t="shared" si="143"/>
        <v/>
      </c>
      <c r="GM37" s="636" t="str">
        <f t="shared" si="144"/>
        <v/>
      </c>
      <c r="GN37" s="636" t="str">
        <f t="shared" si="145"/>
        <v/>
      </c>
      <c r="GO37" s="637" t="str">
        <f t="shared" si="146"/>
        <v/>
      </c>
      <c r="GP37" s="637" t="str">
        <f t="shared" si="147"/>
        <v/>
      </c>
      <c r="GQ37" s="637" t="str">
        <f t="shared" si="148"/>
        <v/>
      </c>
      <c r="GR37" s="637" t="str">
        <f t="shared" si="149"/>
        <v/>
      </c>
      <c r="GS37" s="637" t="str">
        <f t="shared" si="150"/>
        <v/>
      </c>
      <c r="GT37" s="624" t="str">
        <f t="shared" si="151"/>
        <v/>
      </c>
      <c r="GU37" s="624" t="str">
        <f t="shared" si="152"/>
        <v/>
      </c>
      <c r="GV37" s="624" t="str">
        <f t="shared" si="153"/>
        <v/>
      </c>
      <c r="GW37" s="624" t="str">
        <f t="shared" si="154"/>
        <v/>
      </c>
      <c r="GX37" s="624" t="str">
        <f t="shared" si="155"/>
        <v/>
      </c>
      <c r="GY37" s="624" t="str">
        <f t="shared" si="156"/>
        <v/>
      </c>
      <c r="GZ37" s="624" t="str">
        <f t="shared" si="157"/>
        <v/>
      </c>
      <c r="HA37" s="624" t="str">
        <f t="shared" si="158"/>
        <v/>
      </c>
      <c r="HB37" s="624" t="str">
        <f t="shared" si="159"/>
        <v/>
      </c>
      <c r="HC37" s="624" t="str">
        <f t="shared" si="160"/>
        <v/>
      </c>
      <c r="HD37" s="624" t="str">
        <f t="shared" si="161"/>
        <v/>
      </c>
      <c r="HE37" s="624" t="str">
        <f t="shared" si="162"/>
        <v/>
      </c>
      <c r="HF37" s="624" t="str">
        <f t="shared" si="163"/>
        <v/>
      </c>
      <c r="HG37" s="624" t="str">
        <f t="shared" si="164"/>
        <v/>
      </c>
      <c r="HH37" s="624" t="str">
        <f t="shared" si="165"/>
        <v/>
      </c>
      <c r="HI37" s="624" t="str">
        <f t="shared" si="166"/>
        <v/>
      </c>
      <c r="HJ37" s="624" t="str">
        <f t="shared" si="167"/>
        <v/>
      </c>
      <c r="HK37" s="624" t="str">
        <f t="shared" si="168"/>
        <v/>
      </c>
      <c r="HL37" s="624" t="str">
        <f t="shared" si="169"/>
        <v/>
      </c>
      <c r="HM37" s="624" t="str">
        <f t="shared" si="170"/>
        <v/>
      </c>
    </row>
    <row r="38" spans="1:221" ht="13.15" customHeight="1">
      <c r="A38" s="130" t="str">
        <f t="shared" si="171"/>
        <v/>
      </c>
      <c r="B38" s="1553" t="s">
        <v>2466</v>
      </c>
      <c r="C38" s="1554"/>
      <c r="D38" s="1555"/>
      <c r="E38" s="1556"/>
      <c r="F38" s="1556"/>
      <c r="G38" s="1556"/>
      <c r="H38" s="1556"/>
      <c r="I38" s="1556"/>
      <c r="J38" s="1557"/>
      <c r="K38" s="205">
        <f>MAX(0,H38-I38)</f>
        <v>0</v>
      </c>
      <c r="L38" s="205">
        <f t="shared" si="0"/>
        <v>0</v>
      </c>
      <c r="M38" s="1558"/>
      <c r="N38" s="1558"/>
      <c r="O38" s="1558"/>
      <c r="P38" s="559" t="str">
        <f t="shared" si="203"/>
        <v/>
      </c>
      <c r="Q38" s="560" t="str">
        <f>IF(H38="","",P38/($P$6*VLOOKUP(C38,'DCA Underwriting Assumptions'!$J$81:$K$86,2,FALSE)))</f>
        <v/>
      </c>
      <c r="R38" s="667"/>
      <c r="S38" s="560"/>
      <c r="T38" s="1497"/>
      <c r="U38" s="1498"/>
      <c r="V38" s="624" t="str">
        <f t="shared" si="1"/>
        <v/>
      </c>
      <c r="W38" s="624" t="str">
        <f t="shared" si="2"/>
        <v/>
      </c>
      <c r="X38" s="624" t="str">
        <f t="shared" si="3"/>
        <v/>
      </c>
      <c r="Y38" s="624" t="str">
        <f t="shared" si="4"/>
        <v/>
      </c>
      <c r="Z38" s="624" t="str">
        <f t="shared" si="5"/>
        <v/>
      </c>
      <c r="AA38" s="624" t="str">
        <f t="shared" si="6"/>
        <v/>
      </c>
      <c r="AB38" s="624" t="str">
        <f t="shared" si="7"/>
        <v/>
      </c>
      <c r="AC38" s="624" t="str">
        <f t="shared" si="8"/>
        <v/>
      </c>
      <c r="AD38" s="624" t="str">
        <f t="shared" si="9"/>
        <v/>
      </c>
      <c r="AE38" s="624" t="str">
        <f t="shared" si="10"/>
        <v/>
      </c>
      <c r="AF38" s="624" t="str">
        <f t="shared" si="11"/>
        <v/>
      </c>
      <c r="AG38" s="624" t="str">
        <f t="shared" si="12"/>
        <v/>
      </c>
      <c r="AH38" s="624" t="str">
        <f t="shared" si="13"/>
        <v/>
      </c>
      <c r="AI38" s="624" t="str">
        <f t="shared" si="14"/>
        <v/>
      </c>
      <c r="AJ38" s="624" t="str">
        <f t="shared" si="15"/>
        <v/>
      </c>
      <c r="AK38" s="624" t="str">
        <f t="shared" si="16"/>
        <v/>
      </c>
      <c r="AL38" s="624" t="str">
        <f t="shared" si="17"/>
        <v/>
      </c>
      <c r="AM38" s="624" t="str">
        <f t="shared" si="18"/>
        <v/>
      </c>
      <c r="AN38" s="624" t="str">
        <f t="shared" si="19"/>
        <v/>
      </c>
      <c r="AO38" s="624" t="str">
        <f t="shared" si="20"/>
        <v/>
      </c>
      <c r="AP38" s="624" t="str">
        <f t="shared" si="173"/>
        <v/>
      </c>
      <c r="AQ38" s="624" t="str">
        <f t="shared" si="174"/>
        <v/>
      </c>
      <c r="AR38" s="624" t="str">
        <f t="shared" si="175"/>
        <v/>
      </c>
      <c r="AS38" s="624" t="str">
        <f t="shared" si="176"/>
        <v/>
      </c>
      <c r="AT38" s="624" t="str">
        <f t="shared" si="177"/>
        <v/>
      </c>
      <c r="AU38" s="624" t="str">
        <f t="shared" si="178"/>
        <v/>
      </c>
      <c r="AV38" s="624" t="str">
        <f t="shared" si="179"/>
        <v/>
      </c>
      <c r="AW38" s="624" t="str">
        <f t="shared" si="180"/>
        <v/>
      </c>
      <c r="AX38" s="624" t="str">
        <f t="shared" si="181"/>
        <v/>
      </c>
      <c r="AY38" s="624" t="str">
        <f t="shared" si="182"/>
        <v/>
      </c>
      <c r="AZ38" s="624" t="str">
        <f t="shared" si="183"/>
        <v/>
      </c>
      <c r="BA38" s="624" t="str">
        <f t="shared" si="184"/>
        <v/>
      </c>
      <c r="BB38" s="624" t="str">
        <f t="shared" si="185"/>
        <v/>
      </c>
      <c r="BC38" s="624" t="str">
        <f t="shared" si="186"/>
        <v/>
      </c>
      <c r="BD38" s="624" t="str">
        <f t="shared" si="187"/>
        <v/>
      </c>
      <c r="BE38" s="624" t="str">
        <f t="shared" si="188"/>
        <v/>
      </c>
      <c r="BF38" s="624" t="str">
        <f t="shared" si="189"/>
        <v/>
      </c>
      <c r="BG38" s="624" t="str">
        <f t="shared" si="190"/>
        <v/>
      </c>
      <c r="BH38" s="624" t="str">
        <f t="shared" si="191"/>
        <v/>
      </c>
      <c r="BI38" s="624" t="str">
        <f t="shared" si="192"/>
        <v/>
      </c>
      <c r="BJ38" s="624" t="str">
        <f t="shared" si="193"/>
        <v/>
      </c>
      <c r="BK38" s="624" t="str">
        <f t="shared" si="194"/>
        <v/>
      </c>
      <c r="BL38" s="624" t="str">
        <f t="shared" si="195"/>
        <v/>
      </c>
      <c r="BM38" s="624" t="str">
        <f t="shared" si="196"/>
        <v/>
      </c>
      <c r="BN38" s="624" t="str">
        <f t="shared" si="197"/>
        <v/>
      </c>
      <c r="BO38" s="624" t="str">
        <f t="shared" si="198"/>
        <v/>
      </c>
      <c r="BP38" s="624" t="str">
        <f t="shared" si="199"/>
        <v/>
      </c>
      <c r="BQ38" s="624" t="str">
        <f t="shared" si="200"/>
        <v/>
      </c>
      <c r="BR38" s="624" t="str">
        <f t="shared" si="201"/>
        <v/>
      </c>
      <c r="BS38" s="624" t="str">
        <f t="shared" si="202"/>
        <v/>
      </c>
      <c r="BT38" s="624" t="str">
        <f t="shared" si="21"/>
        <v/>
      </c>
      <c r="BU38" s="624" t="str">
        <f t="shared" si="22"/>
        <v/>
      </c>
      <c r="BV38" s="624" t="str">
        <f t="shared" si="23"/>
        <v/>
      </c>
      <c r="BW38" s="624" t="str">
        <f t="shared" si="24"/>
        <v/>
      </c>
      <c r="BX38" s="624" t="str">
        <f t="shared" si="25"/>
        <v/>
      </c>
      <c r="BY38" s="624" t="str">
        <f t="shared" si="26"/>
        <v/>
      </c>
      <c r="BZ38" s="624" t="str">
        <f t="shared" si="27"/>
        <v/>
      </c>
      <c r="CA38" s="624" t="str">
        <f t="shared" si="28"/>
        <v/>
      </c>
      <c r="CB38" s="624" t="str">
        <f t="shared" si="29"/>
        <v/>
      </c>
      <c r="CC38" s="624" t="str">
        <f t="shared" si="30"/>
        <v/>
      </c>
      <c r="CD38" s="624" t="str">
        <f t="shared" si="31"/>
        <v/>
      </c>
      <c r="CE38" s="624" t="str">
        <f t="shared" si="32"/>
        <v/>
      </c>
      <c r="CF38" s="624" t="str">
        <f t="shared" si="33"/>
        <v/>
      </c>
      <c r="CG38" s="624" t="str">
        <f t="shared" si="34"/>
        <v/>
      </c>
      <c r="CH38" s="624" t="str">
        <f t="shared" si="35"/>
        <v/>
      </c>
      <c r="CI38" s="624" t="str">
        <f t="shared" si="36"/>
        <v/>
      </c>
      <c r="CJ38" s="624" t="str">
        <f t="shared" si="37"/>
        <v/>
      </c>
      <c r="CK38" s="624" t="str">
        <f t="shared" si="38"/>
        <v/>
      </c>
      <c r="CL38" s="624" t="str">
        <f t="shared" si="39"/>
        <v/>
      </c>
      <c r="CM38" s="624" t="str">
        <f t="shared" si="40"/>
        <v/>
      </c>
      <c r="CN38" s="624" t="str">
        <f t="shared" si="41"/>
        <v/>
      </c>
      <c r="CO38" s="624" t="str">
        <f t="shared" si="42"/>
        <v/>
      </c>
      <c r="CP38" s="624" t="str">
        <f t="shared" si="43"/>
        <v/>
      </c>
      <c r="CQ38" s="624" t="str">
        <f t="shared" si="44"/>
        <v/>
      </c>
      <c r="CR38" s="624" t="str">
        <f t="shared" si="45"/>
        <v/>
      </c>
      <c r="CS38" s="624" t="str">
        <f t="shared" si="46"/>
        <v/>
      </c>
      <c r="CT38" s="624" t="str">
        <f t="shared" si="47"/>
        <v/>
      </c>
      <c r="CU38" s="624" t="str">
        <f t="shared" si="48"/>
        <v/>
      </c>
      <c r="CV38" s="624" t="str">
        <f t="shared" si="49"/>
        <v/>
      </c>
      <c r="CW38" s="624" t="str">
        <f t="shared" si="50"/>
        <v/>
      </c>
      <c r="CX38" s="624" t="str">
        <f t="shared" si="51"/>
        <v/>
      </c>
      <c r="CY38" s="624" t="str">
        <f t="shared" si="52"/>
        <v/>
      </c>
      <c r="CZ38" s="624" t="str">
        <f t="shared" si="53"/>
        <v/>
      </c>
      <c r="DA38" s="624" t="str">
        <f t="shared" si="54"/>
        <v/>
      </c>
      <c r="DB38" s="624" t="str">
        <f t="shared" si="55"/>
        <v/>
      </c>
      <c r="DC38" s="624" t="str">
        <f t="shared" si="56"/>
        <v/>
      </c>
      <c r="DD38" s="624" t="str">
        <f t="shared" si="57"/>
        <v/>
      </c>
      <c r="DE38" s="624" t="str">
        <f t="shared" si="58"/>
        <v/>
      </c>
      <c r="DF38" s="624" t="str">
        <f t="shared" si="59"/>
        <v/>
      </c>
      <c r="DG38" s="624" t="str">
        <f t="shared" si="60"/>
        <v/>
      </c>
      <c r="DH38" s="624" t="str">
        <f t="shared" si="61"/>
        <v/>
      </c>
      <c r="DI38" s="624" t="str">
        <f t="shared" si="62"/>
        <v/>
      </c>
      <c r="DJ38" s="624" t="str">
        <f t="shared" si="63"/>
        <v/>
      </c>
      <c r="DK38" s="624" t="str">
        <f t="shared" si="64"/>
        <v/>
      </c>
      <c r="DL38" s="624" t="str">
        <f t="shared" si="65"/>
        <v/>
      </c>
      <c r="DM38" s="624" t="str">
        <f t="shared" si="66"/>
        <v/>
      </c>
      <c r="DN38" s="624" t="str">
        <f t="shared" si="67"/>
        <v/>
      </c>
      <c r="DO38" s="624" t="str">
        <f t="shared" si="68"/>
        <v/>
      </c>
      <c r="DP38" s="624" t="str">
        <f t="shared" si="69"/>
        <v/>
      </c>
      <c r="DQ38" s="624" t="str">
        <f t="shared" si="70"/>
        <v/>
      </c>
      <c r="DR38" s="624" t="str">
        <f t="shared" si="71"/>
        <v/>
      </c>
      <c r="DS38" s="624" t="str">
        <f t="shared" si="72"/>
        <v/>
      </c>
      <c r="DT38" s="624" t="str">
        <f t="shared" si="73"/>
        <v/>
      </c>
      <c r="DU38" s="624" t="str">
        <f t="shared" si="74"/>
        <v/>
      </c>
      <c r="DV38" s="624" t="str">
        <f t="shared" si="75"/>
        <v/>
      </c>
      <c r="DW38" s="624" t="str">
        <f t="shared" si="76"/>
        <v/>
      </c>
      <c r="DX38" s="624" t="str">
        <f t="shared" si="77"/>
        <v/>
      </c>
      <c r="DY38" s="624" t="str">
        <f t="shared" si="78"/>
        <v/>
      </c>
      <c r="DZ38" s="624" t="str">
        <f t="shared" si="79"/>
        <v/>
      </c>
      <c r="EA38" s="624" t="str">
        <f t="shared" si="80"/>
        <v/>
      </c>
      <c r="EB38" s="624" t="str">
        <f t="shared" si="81"/>
        <v/>
      </c>
      <c r="EC38" s="624" t="str">
        <f t="shared" si="82"/>
        <v/>
      </c>
      <c r="ED38" s="624" t="str">
        <f t="shared" si="83"/>
        <v/>
      </c>
      <c r="EE38" s="624" t="str">
        <f t="shared" si="84"/>
        <v/>
      </c>
      <c r="EF38" s="624" t="str">
        <f t="shared" si="85"/>
        <v/>
      </c>
      <c r="EG38" s="624" t="str">
        <f t="shared" si="86"/>
        <v/>
      </c>
      <c r="EH38" s="624" t="str">
        <f t="shared" si="87"/>
        <v/>
      </c>
      <c r="EI38" s="624" t="str">
        <f t="shared" si="88"/>
        <v/>
      </c>
      <c r="EJ38" s="624" t="str">
        <f t="shared" si="89"/>
        <v/>
      </c>
      <c r="EK38" s="624" t="str">
        <f t="shared" si="90"/>
        <v/>
      </c>
      <c r="EL38" s="624" t="str">
        <f t="shared" si="91"/>
        <v/>
      </c>
      <c r="EM38" s="624" t="str">
        <f t="shared" si="92"/>
        <v/>
      </c>
      <c r="EN38" s="624" t="str">
        <f t="shared" si="93"/>
        <v/>
      </c>
      <c r="EO38" s="624" t="str">
        <f t="shared" si="94"/>
        <v/>
      </c>
      <c r="EP38" s="624" t="str">
        <f t="shared" si="95"/>
        <v/>
      </c>
      <c r="EQ38" s="624" t="str">
        <f t="shared" si="96"/>
        <v/>
      </c>
      <c r="ER38" s="624" t="str">
        <f t="shared" si="97"/>
        <v/>
      </c>
      <c r="ES38" s="624" t="str">
        <f t="shared" si="98"/>
        <v/>
      </c>
      <c r="ET38" s="624" t="str">
        <f t="shared" si="99"/>
        <v/>
      </c>
      <c r="EU38" s="624" t="str">
        <f t="shared" si="100"/>
        <v/>
      </c>
      <c r="EV38" s="636" t="str">
        <f t="shared" si="101"/>
        <v/>
      </c>
      <c r="EW38" s="636" t="str">
        <f t="shared" si="102"/>
        <v/>
      </c>
      <c r="EX38" s="636" t="str">
        <f t="shared" si="103"/>
        <v/>
      </c>
      <c r="EY38" s="636" t="str">
        <f t="shared" si="104"/>
        <v/>
      </c>
      <c r="EZ38" s="636" t="str">
        <f t="shared" si="105"/>
        <v/>
      </c>
      <c r="FA38" s="636" t="str">
        <f t="shared" si="106"/>
        <v/>
      </c>
      <c r="FB38" s="636" t="str">
        <f t="shared" si="107"/>
        <v/>
      </c>
      <c r="FC38" s="636" t="str">
        <f t="shared" si="108"/>
        <v/>
      </c>
      <c r="FD38" s="636" t="str">
        <f t="shared" si="109"/>
        <v/>
      </c>
      <c r="FE38" s="636" t="str">
        <f t="shared" si="110"/>
        <v/>
      </c>
      <c r="FF38" s="636" t="str">
        <f t="shared" si="111"/>
        <v/>
      </c>
      <c r="FG38" s="636" t="str">
        <f t="shared" si="112"/>
        <v/>
      </c>
      <c r="FH38" s="636" t="str">
        <f t="shared" si="113"/>
        <v/>
      </c>
      <c r="FI38" s="636" t="str">
        <f t="shared" si="114"/>
        <v/>
      </c>
      <c r="FJ38" s="636" t="str">
        <f t="shared" si="115"/>
        <v/>
      </c>
      <c r="FK38" s="636" t="str">
        <f t="shared" si="116"/>
        <v/>
      </c>
      <c r="FL38" s="636" t="str">
        <f t="shared" si="117"/>
        <v/>
      </c>
      <c r="FM38" s="636" t="str">
        <f t="shared" si="118"/>
        <v/>
      </c>
      <c r="FN38" s="636" t="str">
        <f t="shared" si="119"/>
        <v/>
      </c>
      <c r="FO38" s="636" t="str">
        <f t="shared" si="120"/>
        <v/>
      </c>
      <c r="FP38" s="636" t="str">
        <f t="shared" si="121"/>
        <v/>
      </c>
      <c r="FQ38" s="636" t="str">
        <f t="shared" si="122"/>
        <v/>
      </c>
      <c r="FR38" s="636" t="str">
        <f t="shared" si="123"/>
        <v/>
      </c>
      <c r="FS38" s="636" t="str">
        <f t="shared" si="124"/>
        <v/>
      </c>
      <c r="FT38" s="636" t="str">
        <f t="shared" si="125"/>
        <v/>
      </c>
      <c r="FU38" s="636" t="str">
        <f t="shared" si="126"/>
        <v/>
      </c>
      <c r="FV38" s="636" t="str">
        <f t="shared" si="127"/>
        <v/>
      </c>
      <c r="FW38" s="636" t="str">
        <f t="shared" si="128"/>
        <v/>
      </c>
      <c r="FX38" s="636" t="str">
        <f t="shared" si="129"/>
        <v/>
      </c>
      <c r="FY38" s="636" t="str">
        <f t="shared" si="130"/>
        <v/>
      </c>
      <c r="FZ38" s="636" t="str">
        <f t="shared" si="131"/>
        <v/>
      </c>
      <c r="GA38" s="636" t="str">
        <f t="shared" si="132"/>
        <v/>
      </c>
      <c r="GB38" s="636" t="str">
        <f t="shared" si="133"/>
        <v/>
      </c>
      <c r="GC38" s="636" t="str">
        <f t="shared" si="134"/>
        <v/>
      </c>
      <c r="GD38" s="636" t="str">
        <f t="shared" si="135"/>
        <v/>
      </c>
      <c r="GE38" s="636" t="str">
        <f t="shared" si="136"/>
        <v/>
      </c>
      <c r="GF38" s="636" t="str">
        <f t="shared" si="137"/>
        <v/>
      </c>
      <c r="GG38" s="636" t="str">
        <f t="shared" si="138"/>
        <v/>
      </c>
      <c r="GH38" s="636" t="str">
        <f t="shared" si="139"/>
        <v/>
      </c>
      <c r="GI38" s="636" t="str">
        <f t="shared" si="140"/>
        <v/>
      </c>
      <c r="GJ38" s="636" t="str">
        <f t="shared" si="141"/>
        <v/>
      </c>
      <c r="GK38" s="636" t="str">
        <f t="shared" si="142"/>
        <v/>
      </c>
      <c r="GL38" s="636" t="str">
        <f t="shared" si="143"/>
        <v/>
      </c>
      <c r="GM38" s="636" t="str">
        <f t="shared" si="144"/>
        <v/>
      </c>
      <c r="GN38" s="636" t="str">
        <f t="shared" si="145"/>
        <v/>
      </c>
      <c r="GO38" s="637" t="str">
        <f t="shared" si="146"/>
        <v/>
      </c>
      <c r="GP38" s="637" t="str">
        <f t="shared" si="147"/>
        <v/>
      </c>
      <c r="GQ38" s="637" t="str">
        <f t="shared" si="148"/>
        <v/>
      </c>
      <c r="GR38" s="637" t="str">
        <f t="shared" si="149"/>
        <v/>
      </c>
      <c r="GS38" s="637" t="str">
        <f t="shared" si="150"/>
        <v/>
      </c>
      <c r="GT38" s="624" t="str">
        <f t="shared" si="151"/>
        <v/>
      </c>
      <c r="GU38" s="624" t="str">
        <f t="shared" si="152"/>
        <v/>
      </c>
      <c r="GV38" s="624" t="str">
        <f t="shared" si="153"/>
        <v/>
      </c>
      <c r="GW38" s="624" t="str">
        <f t="shared" si="154"/>
        <v/>
      </c>
      <c r="GX38" s="624" t="str">
        <f t="shared" si="155"/>
        <v/>
      </c>
      <c r="GY38" s="624" t="str">
        <f t="shared" si="156"/>
        <v/>
      </c>
      <c r="GZ38" s="624" t="str">
        <f t="shared" si="157"/>
        <v/>
      </c>
      <c r="HA38" s="624" t="str">
        <f t="shared" si="158"/>
        <v/>
      </c>
      <c r="HB38" s="624" t="str">
        <f t="shared" si="159"/>
        <v/>
      </c>
      <c r="HC38" s="624" t="str">
        <f t="shared" si="160"/>
        <v/>
      </c>
      <c r="HD38" s="624" t="str">
        <f t="shared" si="161"/>
        <v/>
      </c>
      <c r="HE38" s="624" t="str">
        <f t="shared" si="162"/>
        <v/>
      </c>
      <c r="HF38" s="624" t="str">
        <f t="shared" si="163"/>
        <v/>
      </c>
      <c r="HG38" s="624" t="str">
        <f t="shared" si="164"/>
        <v/>
      </c>
      <c r="HH38" s="624" t="str">
        <f t="shared" si="165"/>
        <v/>
      </c>
      <c r="HI38" s="624" t="str">
        <f t="shared" si="166"/>
        <v/>
      </c>
      <c r="HJ38" s="624" t="str">
        <f t="shared" si="167"/>
        <v/>
      </c>
      <c r="HK38" s="624" t="str">
        <f t="shared" si="168"/>
        <v/>
      </c>
      <c r="HL38" s="624" t="str">
        <f t="shared" si="169"/>
        <v/>
      </c>
      <c r="HM38" s="624" t="str">
        <f t="shared" si="170"/>
        <v/>
      </c>
    </row>
    <row r="39" spans="1:221" ht="13.15" customHeight="1">
      <c r="A39" s="130" t="str">
        <f t="shared" si="171"/>
        <v/>
      </c>
      <c r="B39" s="1553" t="s">
        <v>2466</v>
      </c>
      <c r="C39" s="1554"/>
      <c r="D39" s="1555"/>
      <c r="E39" s="1556"/>
      <c r="F39" s="1556"/>
      <c r="G39" s="1556"/>
      <c r="H39" s="1556"/>
      <c r="I39" s="1556"/>
      <c r="J39" s="1557"/>
      <c r="K39" s="205">
        <f t="shared" ref="K39:K46" si="205">MAX(0,H39-I39)</f>
        <v>0</v>
      </c>
      <c r="L39" s="776">
        <f t="shared" si="0"/>
        <v>0</v>
      </c>
      <c r="M39" s="1558"/>
      <c r="N39" s="1558"/>
      <c r="O39" s="1558"/>
      <c r="P39" s="559" t="str">
        <f t="shared" si="203"/>
        <v/>
      </c>
      <c r="Q39" s="560" t="str">
        <f>IF(H39="","",P39/($P$6*VLOOKUP(C39,'DCA Underwriting Assumptions'!$J$81:$K$86,2,FALSE)))</f>
        <v/>
      </c>
      <c r="R39" s="667"/>
      <c r="S39" s="560"/>
      <c r="T39" s="1497"/>
      <c r="U39" s="1498"/>
      <c r="V39" s="624" t="str">
        <f t="shared" si="1"/>
        <v/>
      </c>
      <c r="W39" s="624" t="str">
        <f t="shared" si="2"/>
        <v/>
      </c>
      <c r="X39" s="624" t="str">
        <f t="shared" si="3"/>
        <v/>
      </c>
      <c r="Y39" s="624" t="str">
        <f t="shared" si="4"/>
        <v/>
      </c>
      <c r="Z39" s="624" t="str">
        <f t="shared" si="5"/>
        <v/>
      </c>
      <c r="AA39" s="624" t="str">
        <f t="shared" si="6"/>
        <v/>
      </c>
      <c r="AB39" s="624" t="str">
        <f t="shared" si="7"/>
        <v/>
      </c>
      <c r="AC39" s="624" t="str">
        <f t="shared" si="8"/>
        <v/>
      </c>
      <c r="AD39" s="624" t="str">
        <f t="shared" si="9"/>
        <v/>
      </c>
      <c r="AE39" s="624" t="str">
        <f t="shared" si="10"/>
        <v/>
      </c>
      <c r="AF39" s="624" t="str">
        <f t="shared" si="11"/>
        <v/>
      </c>
      <c r="AG39" s="624" t="str">
        <f t="shared" si="12"/>
        <v/>
      </c>
      <c r="AH39" s="624" t="str">
        <f t="shared" si="13"/>
        <v/>
      </c>
      <c r="AI39" s="624" t="str">
        <f t="shared" si="14"/>
        <v/>
      </c>
      <c r="AJ39" s="624" t="str">
        <f t="shared" si="15"/>
        <v/>
      </c>
      <c r="AK39" s="624" t="str">
        <f t="shared" si="16"/>
        <v/>
      </c>
      <c r="AL39" s="624" t="str">
        <f t="shared" si="17"/>
        <v/>
      </c>
      <c r="AM39" s="624" t="str">
        <f t="shared" si="18"/>
        <v/>
      </c>
      <c r="AN39" s="624" t="str">
        <f t="shared" si="19"/>
        <v/>
      </c>
      <c r="AO39" s="624" t="str">
        <f t="shared" si="20"/>
        <v/>
      </c>
      <c r="AP39" s="624" t="str">
        <f t="shared" si="173"/>
        <v/>
      </c>
      <c r="AQ39" s="624" t="str">
        <f t="shared" si="174"/>
        <v/>
      </c>
      <c r="AR39" s="624" t="str">
        <f t="shared" si="175"/>
        <v/>
      </c>
      <c r="AS39" s="624" t="str">
        <f t="shared" si="176"/>
        <v/>
      </c>
      <c r="AT39" s="624" t="str">
        <f t="shared" si="177"/>
        <v/>
      </c>
      <c r="AU39" s="624" t="str">
        <f t="shared" si="178"/>
        <v/>
      </c>
      <c r="AV39" s="624" t="str">
        <f t="shared" si="179"/>
        <v/>
      </c>
      <c r="AW39" s="624" t="str">
        <f t="shared" si="180"/>
        <v/>
      </c>
      <c r="AX39" s="624" t="str">
        <f t="shared" si="181"/>
        <v/>
      </c>
      <c r="AY39" s="624" t="str">
        <f t="shared" si="182"/>
        <v/>
      </c>
      <c r="AZ39" s="624" t="str">
        <f t="shared" si="183"/>
        <v/>
      </c>
      <c r="BA39" s="624" t="str">
        <f t="shared" si="184"/>
        <v/>
      </c>
      <c r="BB39" s="624" t="str">
        <f t="shared" si="185"/>
        <v/>
      </c>
      <c r="BC39" s="624" t="str">
        <f t="shared" si="186"/>
        <v/>
      </c>
      <c r="BD39" s="624" t="str">
        <f t="shared" si="187"/>
        <v/>
      </c>
      <c r="BE39" s="624" t="str">
        <f t="shared" si="188"/>
        <v/>
      </c>
      <c r="BF39" s="624" t="str">
        <f t="shared" si="189"/>
        <v/>
      </c>
      <c r="BG39" s="624" t="str">
        <f t="shared" si="190"/>
        <v/>
      </c>
      <c r="BH39" s="624" t="str">
        <f t="shared" si="191"/>
        <v/>
      </c>
      <c r="BI39" s="624" t="str">
        <f t="shared" si="192"/>
        <v/>
      </c>
      <c r="BJ39" s="624" t="str">
        <f t="shared" si="193"/>
        <v/>
      </c>
      <c r="BK39" s="624" t="str">
        <f t="shared" si="194"/>
        <v/>
      </c>
      <c r="BL39" s="624" t="str">
        <f t="shared" si="195"/>
        <v/>
      </c>
      <c r="BM39" s="624" t="str">
        <f t="shared" si="196"/>
        <v/>
      </c>
      <c r="BN39" s="624" t="str">
        <f t="shared" si="197"/>
        <v/>
      </c>
      <c r="BO39" s="624" t="str">
        <f t="shared" si="198"/>
        <v/>
      </c>
      <c r="BP39" s="624" t="str">
        <f t="shared" si="199"/>
        <v/>
      </c>
      <c r="BQ39" s="624" t="str">
        <f t="shared" si="200"/>
        <v/>
      </c>
      <c r="BR39" s="624" t="str">
        <f t="shared" si="201"/>
        <v/>
      </c>
      <c r="BS39" s="624" t="str">
        <f t="shared" si="202"/>
        <v/>
      </c>
      <c r="BT39" s="624" t="str">
        <f t="shared" si="21"/>
        <v/>
      </c>
      <c r="BU39" s="624" t="str">
        <f t="shared" si="22"/>
        <v/>
      </c>
      <c r="BV39" s="624" t="str">
        <f t="shared" si="23"/>
        <v/>
      </c>
      <c r="BW39" s="624" t="str">
        <f t="shared" si="24"/>
        <v/>
      </c>
      <c r="BX39" s="624" t="str">
        <f t="shared" si="25"/>
        <v/>
      </c>
      <c r="BY39" s="624" t="str">
        <f t="shared" si="26"/>
        <v/>
      </c>
      <c r="BZ39" s="624" t="str">
        <f t="shared" si="27"/>
        <v/>
      </c>
      <c r="CA39" s="624" t="str">
        <f t="shared" si="28"/>
        <v/>
      </c>
      <c r="CB39" s="624" t="str">
        <f t="shared" si="29"/>
        <v/>
      </c>
      <c r="CC39" s="624" t="str">
        <f t="shared" si="30"/>
        <v/>
      </c>
      <c r="CD39" s="624" t="str">
        <f t="shared" si="31"/>
        <v/>
      </c>
      <c r="CE39" s="624" t="str">
        <f t="shared" si="32"/>
        <v/>
      </c>
      <c r="CF39" s="624" t="str">
        <f t="shared" si="33"/>
        <v/>
      </c>
      <c r="CG39" s="624" t="str">
        <f t="shared" si="34"/>
        <v/>
      </c>
      <c r="CH39" s="624" t="str">
        <f t="shared" si="35"/>
        <v/>
      </c>
      <c r="CI39" s="624" t="str">
        <f t="shared" si="36"/>
        <v/>
      </c>
      <c r="CJ39" s="624" t="str">
        <f t="shared" si="37"/>
        <v/>
      </c>
      <c r="CK39" s="624" t="str">
        <f t="shared" si="38"/>
        <v/>
      </c>
      <c r="CL39" s="624" t="str">
        <f t="shared" si="39"/>
        <v/>
      </c>
      <c r="CM39" s="624" t="str">
        <f t="shared" si="40"/>
        <v/>
      </c>
      <c r="CN39" s="624" t="str">
        <f t="shared" si="41"/>
        <v/>
      </c>
      <c r="CO39" s="624" t="str">
        <f t="shared" si="42"/>
        <v/>
      </c>
      <c r="CP39" s="624" t="str">
        <f t="shared" si="43"/>
        <v/>
      </c>
      <c r="CQ39" s="624" t="str">
        <f t="shared" si="44"/>
        <v/>
      </c>
      <c r="CR39" s="624" t="str">
        <f t="shared" si="45"/>
        <v/>
      </c>
      <c r="CS39" s="624" t="str">
        <f t="shared" si="46"/>
        <v/>
      </c>
      <c r="CT39" s="624" t="str">
        <f t="shared" si="47"/>
        <v/>
      </c>
      <c r="CU39" s="624" t="str">
        <f t="shared" si="48"/>
        <v/>
      </c>
      <c r="CV39" s="624" t="str">
        <f t="shared" si="49"/>
        <v/>
      </c>
      <c r="CW39" s="624" t="str">
        <f t="shared" si="50"/>
        <v/>
      </c>
      <c r="CX39" s="624" t="str">
        <f t="shared" si="51"/>
        <v/>
      </c>
      <c r="CY39" s="624" t="str">
        <f t="shared" si="52"/>
        <v/>
      </c>
      <c r="CZ39" s="624" t="str">
        <f t="shared" si="53"/>
        <v/>
      </c>
      <c r="DA39" s="624" t="str">
        <f t="shared" si="54"/>
        <v/>
      </c>
      <c r="DB39" s="624" t="str">
        <f t="shared" si="55"/>
        <v/>
      </c>
      <c r="DC39" s="624" t="str">
        <f t="shared" si="56"/>
        <v/>
      </c>
      <c r="DD39" s="624" t="str">
        <f t="shared" si="57"/>
        <v/>
      </c>
      <c r="DE39" s="624" t="str">
        <f t="shared" si="58"/>
        <v/>
      </c>
      <c r="DF39" s="624" t="str">
        <f t="shared" si="59"/>
        <v/>
      </c>
      <c r="DG39" s="624" t="str">
        <f t="shared" si="60"/>
        <v/>
      </c>
      <c r="DH39" s="624" t="str">
        <f t="shared" si="61"/>
        <v/>
      </c>
      <c r="DI39" s="624" t="str">
        <f t="shared" si="62"/>
        <v/>
      </c>
      <c r="DJ39" s="624" t="str">
        <f t="shared" si="63"/>
        <v/>
      </c>
      <c r="DK39" s="624" t="str">
        <f t="shared" si="64"/>
        <v/>
      </c>
      <c r="DL39" s="624" t="str">
        <f t="shared" si="65"/>
        <v/>
      </c>
      <c r="DM39" s="624" t="str">
        <f t="shared" si="66"/>
        <v/>
      </c>
      <c r="DN39" s="624" t="str">
        <f t="shared" si="67"/>
        <v/>
      </c>
      <c r="DO39" s="624" t="str">
        <f t="shared" si="68"/>
        <v/>
      </c>
      <c r="DP39" s="624" t="str">
        <f t="shared" si="69"/>
        <v/>
      </c>
      <c r="DQ39" s="624" t="str">
        <f t="shared" si="70"/>
        <v/>
      </c>
      <c r="DR39" s="624" t="str">
        <f t="shared" si="71"/>
        <v/>
      </c>
      <c r="DS39" s="624" t="str">
        <f t="shared" si="72"/>
        <v/>
      </c>
      <c r="DT39" s="624" t="str">
        <f t="shared" si="73"/>
        <v/>
      </c>
      <c r="DU39" s="624" t="str">
        <f t="shared" si="74"/>
        <v/>
      </c>
      <c r="DV39" s="624" t="str">
        <f t="shared" si="75"/>
        <v/>
      </c>
      <c r="DW39" s="624" t="str">
        <f t="shared" si="76"/>
        <v/>
      </c>
      <c r="DX39" s="624" t="str">
        <f t="shared" si="77"/>
        <v/>
      </c>
      <c r="DY39" s="624" t="str">
        <f t="shared" si="78"/>
        <v/>
      </c>
      <c r="DZ39" s="624" t="str">
        <f t="shared" si="79"/>
        <v/>
      </c>
      <c r="EA39" s="624" t="str">
        <f t="shared" si="80"/>
        <v/>
      </c>
      <c r="EB39" s="624" t="str">
        <f t="shared" si="81"/>
        <v/>
      </c>
      <c r="EC39" s="624" t="str">
        <f t="shared" si="82"/>
        <v/>
      </c>
      <c r="ED39" s="624" t="str">
        <f t="shared" si="83"/>
        <v/>
      </c>
      <c r="EE39" s="624" t="str">
        <f t="shared" si="84"/>
        <v/>
      </c>
      <c r="EF39" s="624" t="str">
        <f t="shared" si="85"/>
        <v/>
      </c>
      <c r="EG39" s="624" t="str">
        <f t="shared" si="86"/>
        <v/>
      </c>
      <c r="EH39" s="624" t="str">
        <f t="shared" si="87"/>
        <v/>
      </c>
      <c r="EI39" s="624" t="str">
        <f t="shared" si="88"/>
        <v/>
      </c>
      <c r="EJ39" s="624" t="str">
        <f t="shared" si="89"/>
        <v/>
      </c>
      <c r="EK39" s="624" t="str">
        <f t="shared" si="90"/>
        <v/>
      </c>
      <c r="EL39" s="624" t="str">
        <f t="shared" si="91"/>
        <v/>
      </c>
      <c r="EM39" s="624" t="str">
        <f t="shared" si="92"/>
        <v/>
      </c>
      <c r="EN39" s="624" t="str">
        <f t="shared" si="93"/>
        <v/>
      </c>
      <c r="EO39" s="624" t="str">
        <f t="shared" si="94"/>
        <v/>
      </c>
      <c r="EP39" s="624" t="str">
        <f t="shared" si="95"/>
        <v/>
      </c>
      <c r="EQ39" s="624" t="str">
        <f t="shared" si="96"/>
        <v/>
      </c>
      <c r="ER39" s="624" t="str">
        <f t="shared" si="97"/>
        <v/>
      </c>
      <c r="ES39" s="624" t="str">
        <f t="shared" si="98"/>
        <v/>
      </c>
      <c r="ET39" s="624" t="str">
        <f t="shared" si="99"/>
        <v/>
      </c>
      <c r="EU39" s="624" t="str">
        <f t="shared" si="100"/>
        <v/>
      </c>
      <c r="EV39" s="636" t="str">
        <f t="shared" si="101"/>
        <v/>
      </c>
      <c r="EW39" s="636" t="str">
        <f t="shared" si="102"/>
        <v/>
      </c>
      <c r="EX39" s="636" t="str">
        <f t="shared" si="103"/>
        <v/>
      </c>
      <c r="EY39" s="636" t="str">
        <f t="shared" si="104"/>
        <v/>
      </c>
      <c r="EZ39" s="636" t="str">
        <f t="shared" si="105"/>
        <v/>
      </c>
      <c r="FA39" s="636" t="str">
        <f t="shared" si="106"/>
        <v/>
      </c>
      <c r="FB39" s="636" t="str">
        <f t="shared" si="107"/>
        <v/>
      </c>
      <c r="FC39" s="636" t="str">
        <f t="shared" si="108"/>
        <v/>
      </c>
      <c r="FD39" s="636" t="str">
        <f t="shared" si="109"/>
        <v/>
      </c>
      <c r="FE39" s="636" t="str">
        <f t="shared" si="110"/>
        <v/>
      </c>
      <c r="FF39" s="636" t="str">
        <f t="shared" si="111"/>
        <v/>
      </c>
      <c r="FG39" s="636" t="str">
        <f t="shared" si="112"/>
        <v/>
      </c>
      <c r="FH39" s="636" t="str">
        <f t="shared" si="113"/>
        <v/>
      </c>
      <c r="FI39" s="636" t="str">
        <f t="shared" si="114"/>
        <v/>
      </c>
      <c r="FJ39" s="636" t="str">
        <f t="shared" si="115"/>
        <v/>
      </c>
      <c r="FK39" s="636" t="str">
        <f t="shared" si="116"/>
        <v/>
      </c>
      <c r="FL39" s="636" t="str">
        <f t="shared" si="117"/>
        <v/>
      </c>
      <c r="FM39" s="636" t="str">
        <f t="shared" si="118"/>
        <v/>
      </c>
      <c r="FN39" s="636" t="str">
        <f t="shared" si="119"/>
        <v/>
      </c>
      <c r="FO39" s="636" t="str">
        <f t="shared" si="120"/>
        <v/>
      </c>
      <c r="FP39" s="636" t="str">
        <f t="shared" si="121"/>
        <v/>
      </c>
      <c r="FQ39" s="636" t="str">
        <f t="shared" si="122"/>
        <v/>
      </c>
      <c r="FR39" s="636" t="str">
        <f t="shared" si="123"/>
        <v/>
      </c>
      <c r="FS39" s="636" t="str">
        <f t="shared" si="124"/>
        <v/>
      </c>
      <c r="FT39" s="636" t="str">
        <f t="shared" si="125"/>
        <v/>
      </c>
      <c r="FU39" s="636" t="str">
        <f t="shared" si="126"/>
        <v/>
      </c>
      <c r="FV39" s="636" t="str">
        <f t="shared" si="127"/>
        <v/>
      </c>
      <c r="FW39" s="636" t="str">
        <f t="shared" si="128"/>
        <v/>
      </c>
      <c r="FX39" s="636" t="str">
        <f t="shared" si="129"/>
        <v/>
      </c>
      <c r="FY39" s="636" t="str">
        <f t="shared" si="130"/>
        <v/>
      </c>
      <c r="FZ39" s="636" t="str">
        <f t="shared" si="131"/>
        <v/>
      </c>
      <c r="GA39" s="636" t="str">
        <f t="shared" si="132"/>
        <v/>
      </c>
      <c r="GB39" s="636" t="str">
        <f t="shared" si="133"/>
        <v/>
      </c>
      <c r="GC39" s="636" t="str">
        <f t="shared" si="134"/>
        <v/>
      </c>
      <c r="GD39" s="636" t="str">
        <f t="shared" si="135"/>
        <v/>
      </c>
      <c r="GE39" s="636" t="str">
        <f t="shared" si="136"/>
        <v/>
      </c>
      <c r="GF39" s="636" t="str">
        <f t="shared" si="137"/>
        <v/>
      </c>
      <c r="GG39" s="636" t="str">
        <f t="shared" si="138"/>
        <v/>
      </c>
      <c r="GH39" s="636" t="str">
        <f t="shared" si="139"/>
        <v/>
      </c>
      <c r="GI39" s="636" t="str">
        <f t="shared" si="140"/>
        <v/>
      </c>
      <c r="GJ39" s="636" t="str">
        <f t="shared" si="141"/>
        <v/>
      </c>
      <c r="GK39" s="636" t="str">
        <f t="shared" si="142"/>
        <v/>
      </c>
      <c r="GL39" s="636" t="str">
        <f t="shared" si="143"/>
        <v/>
      </c>
      <c r="GM39" s="636" t="str">
        <f t="shared" si="144"/>
        <v/>
      </c>
      <c r="GN39" s="636" t="str">
        <f t="shared" si="145"/>
        <v/>
      </c>
      <c r="GO39" s="637" t="str">
        <f t="shared" si="146"/>
        <v/>
      </c>
      <c r="GP39" s="637" t="str">
        <f t="shared" si="147"/>
        <v/>
      </c>
      <c r="GQ39" s="637" t="str">
        <f t="shared" si="148"/>
        <v/>
      </c>
      <c r="GR39" s="637" t="str">
        <f t="shared" si="149"/>
        <v/>
      </c>
      <c r="GS39" s="637" t="str">
        <f t="shared" si="150"/>
        <v/>
      </c>
      <c r="GT39" s="624" t="str">
        <f t="shared" si="151"/>
        <v/>
      </c>
      <c r="GU39" s="624" t="str">
        <f t="shared" si="152"/>
        <v/>
      </c>
      <c r="GV39" s="624" t="str">
        <f t="shared" si="153"/>
        <v/>
      </c>
      <c r="GW39" s="624" t="str">
        <f t="shared" si="154"/>
        <v/>
      </c>
      <c r="GX39" s="624" t="str">
        <f t="shared" si="155"/>
        <v/>
      </c>
      <c r="GY39" s="624" t="str">
        <f t="shared" si="156"/>
        <v/>
      </c>
      <c r="GZ39" s="624" t="str">
        <f t="shared" si="157"/>
        <v/>
      </c>
      <c r="HA39" s="624" t="str">
        <f t="shared" si="158"/>
        <v/>
      </c>
      <c r="HB39" s="624" t="str">
        <f t="shared" si="159"/>
        <v/>
      </c>
      <c r="HC39" s="624" t="str">
        <f t="shared" si="160"/>
        <v/>
      </c>
      <c r="HD39" s="624" t="str">
        <f t="shared" si="161"/>
        <v/>
      </c>
      <c r="HE39" s="624" t="str">
        <f t="shared" si="162"/>
        <v/>
      </c>
      <c r="HF39" s="624" t="str">
        <f t="shared" si="163"/>
        <v/>
      </c>
      <c r="HG39" s="624" t="str">
        <f t="shared" si="164"/>
        <v/>
      </c>
      <c r="HH39" s="624" t="str">
        <f t="shared" si="165"/>
        <v/>
      </c>
      <c r="HI39" s="624" t="str">
        <f t="shared" si="166"/>
        <v/>
      </c>
      <c r="HJ39" s="624" t="str">
        <f t="shared" si="167"/>
        <v/>
      </c>
      <c r="HK39" s="624" t="str">
        <f t="shared" si="168"/>
        <v/>
      </c>
      <c r="HL39" s="624" t="str">
        <f t="shared" si="169"/>
        <v/>
      </c>
      <c r="HM39" s="624" t="str">
        <f t="shared" si="170"/>
        <v/>
      </c>
    </row>
    <row r="40" spans="1:221" ht="13.15" customHeight="1">
      <c r="A40" s="130" t="str">
        <f t="shared" si="171"/>
        <v/>
      </c>
      <c r="B40" s="1553" t="s">
        <v>2466</v>
      </c>
      <c r="C40" s="1554"/>
      <c r="D40" s="1555"/>
      <c r="E40" s="1556"/>
      <c r="F40" s="1556"/>
      <c r="G40" s="1556"/>
      <c r="H40" s="1556"/>
      <c r="I40" s="1556"/>
      <c r="J40" s="1557"/>
      <c r="K40" s="205">
        <f t="shared" si="205"/>
        <v>0</v>
      </c>
      <c r="L40" s="205">
        <f t="shared" si="0"/>
        <v>0</v>
      </c>
      <c r="M40" s="1558"/>
      <c r="N40" s="1558"/>
      <c r="O40" s="1558"/>
      <c r="P40" s="559" t="str">
        <f t="shared" si="203"/>
        <v/>
      </c>
      <c r="Q40" s="560" t="str">
        <f>IF(H40="","",P40/($P$6*VLOOKUP(C40,'DCA Underwriting Assumptions'!$J$81:$K$86,2,FALSE)))</f>
        <v/>
      </c>
      <c r="R40" s="667"/>
      <c r="S40" s="560"/>
      <c r="T40" s="1497"/>
      <c r="U40" s="1498"/>
      <c r="V40" s="624" t="str">
        <f t="shared" si="1"/>
        <v/>
      </c>
      <c r="W40" s="624" t="str">
        <f t="shared" si="2"/>
        <v/>
      </c>
      <c r="X40" s="624" t="str">
        <f t="shared" si="3"/>
        <v/>
      </c>
      <c r="Y40" s="624" t="str">
        <f t="shared" si="4"/>
        <v/>
      </c>
      <c r="Z40" s="624" t="str">
        <f t="shared" si="5"/>
        <v/>
      </c>
      <c r="AA40" s="624" t="str">
        <f t="shared" si="6"/>
        <v/>
      </c>
      <c r="AB40" s="624" t="str">
        <f t="shared" si="7"/>
        <v/>
      </c>
      <c r="AC40" s="624" t="str">
        <f t="shared" si="8"/>
        <v/>
      </c>
      <c r="AD40" s="624" t="str">
        <f t="shared" si="9"/>
        <v/>
      </c>
      <c r="AE40" s="624" t="str">
        <f t="shared" si="10"/>
        <v/>
      </c>
      <c r="AF40" s="624" t="str">
        <f t="shared" si="11"/>
        <v/>
      </c>
      <c r="AG40" s="624" t="str">
        <f t="shared" si="12"/>
        <v/>
      </c>
      <c r="AH40" s="624" t="str">
        <f t="shared" si="13"/>
        <v/>
      </c>
      <c r="AI40" s="624" t="str">
        <f t="shared" si="14"/>
        <v/>
      </c>
      <c r="AJ40" s="624" t="str">
        <f t="shared" si="15"/>
        <v/>
      </c>
      <c r="AK40" s="624" t="str">
        <f t="shared" si="16"/>
        <v/>
      </c>
      <c r="AL40" s="624" t="str">
        <f t="shared" si="17"/>
        <v/>
      </c>
      <c r="AM40" s="624" t="str">
        <f t="shared" si="18"/>
        <v/>
      </c>
      <c r="AN40" s="624" t="str">
        <f t="shared" si="19"/>
        <v/>
      </c>
      <c r="AO40" s="624" t="str">
        <f t="shared" si="20"/>
        <v/>
      </c>
      <c r="AP40" s="624" t="str">
        <f t="shared" si="173"/>
        <v/>
      </c>
      <c r="AQ40" s="624" t="str">
        <f t="shared" si="174"/>
        <v/>
      </c>
      <c r="AR40" s="624" t="str">
        <f t="shared" si="175"/>
        <v/>
      </c>
      <c r="AS40" s="624" t="str">
        <f t="shared" si="176"/>
        <v/>
      </c>
      <c r="AT40" s="624" t="str">
        <f t="shared" si="177"/>
        <v/>
      </c>
      <c r="AU40" s="624" t="str">
        <f t="shared" si="178"/>
        <v/>
      </c>
      <c r="AV40" s="624" t="str">
        <f t="shared" si="179"/>
        <v/>
      </c>
      <c r="AW40" s="624" t="str">
        <f t="shared" si="180"/>
        <v/>
      </c>
      <c r="AX40" s="624" t="str">
        <f t="shared" si="181"/>
        <v/>
      </c>
      <c r="AY40" s="624" t="str">
        <f t="shared" si="182"/>
        <v/>
      </c>
      <c r="AZ40" s="624" t="str">
        <f t="shared" si="183"/>
        <v/>
      </c>
      <c r="BA40" s="624" t="str">
        <f t="shared" si="184"/>
        <v/>
      </c>
      <c r="BB40" s="624" t="str">
        <f t="shared" si="185"/>
        <v/>
      </c>
      <c r="BC40" s="624" t="str">
        <f t="shared" si="186"/>
        <v/>
      </c>
      <c r="BD40" s="624" t="str">
        <f t="shared" si="187"/>
        <v/>
      </c>
      <c r="BE40" s="624" t="str">
        <f t="shared" si="188"/>
        <v/>
      </c>
      <c r="BF40" s="624" t="str">
        <f t="shared" si="189"/>
        <v/>
      </c>
      <c r="BG40" s="624" t="str">
        <f t="shared" si="190"/>
        <v/>
      </c>
      <c r="BH40" s="624" t="str">
        <f t="shared" si="191"/>
        <v/>
      </c>
      <c r="BI40" s="624" t="str">
        <f t="shared" si="192"/>
        <v/>
      </c>
      <c r="BJ40" s="624" t="str">
        <f t="shared" si="193"/>
        <v/>
      </c>
      <c r="BK40" s="624" t="str">
        <f t="shared" si="194"/>
        <v/>
      </c>
      <c r="BL40" s="624" t="str">
        <f t="shared" si="195"/>
        <v/>
      </c>
      <c r="BM40" s="624" t="str">
        <f t="shared" si="196"/>
        <v/>
      </c>
      <c r="BN40" s="624" t="str">
        <f t="shared" si="197"/>
        <v/>
      </c>
      <c r="BO40" s="624" t="str">
        <f t="shared" si="198"/>
        <v/>
      </c>
      <c r="BP40" s="624" t="str">
        <f t="shared" si="199"/>
        <v/>
      </c>
      <c r="BQ40" s="624" t="str">
        <f t="shared" si="200"/>
        <v/>
      </c>
      <c r="BR40" s="624" t="str">
        <f t="shared" si="201"/>
        <v/>
      </c>
      <c r="BS40" s="624" t="str">
        <f t="shared" si="202"/>
        <v/>
      </c>
      <c r="BT40" s="624" t="str">
        <f t="shared" si="21"/>
        <v/>
      </c>
      <c r="BU40" s="624" t="str">
        <f t="shared" si="22"/>
        <v/>
      </c>
      <c r="BV40" s="624" t="str">
        <f t="shared" si="23"/>
        <v/>
      </c>
      <c r="BW40" s="624" t="str">
        <f t="shared" si="24"/>
        <v/>
      </c>
      <c r="BX40" s="624" t="str">
        <f t="shared" si="25"/>
        <v/>
      </c>
      <c r="BY40" s="624" t="str">
        <f t="shared" si="26"/>
        <v/>
      </c>
      <c r="BZ40" s="624" t="str">
        <f t="shared" si="27"/>
        <v/>
      </c>
      <c r="CA40" s="624" t="str">
        <f t="shared" si="28"/>
        <v/>
      </c>
      <c r="CB40" s="624" t="str">
        <f t="shared" si="29"/>
        <v/>
      </c>
      <c r="CC40" s="624" t="str">
        <f t="shared" si="30"/>
        <v/>
      </c>
      <c r="CD40" s="624" t="str">
        <f t="shared" si="31"/>
        <v/>
      </c>
      <c r="CE40" s="624" t="str">
        <f t="shared" si="32"/>
        <v/>
      </c>
      <c r="CF40" s="624" t="str">
        <f t="shared" si="33"/>
        <v/>
      </c>
      <c r="CG40" s="624" t="str">
        <f t="shared" si="34"/>
        <v/>
      </c>
      <c r="CH40" s="624" t="str">
        <f t="shared" si="35"/>
        <v/>
      </c>
      <c r="CI40" s="624" t="str">
        <f t="shared" si="36"/>
        <v/>
      </c>
      <c r="CJ40" s="624" t="str">
        <f t="shared" si="37"/>
        <v/>
      </c>
      <c r="CK40" s="624" t="str">
        <f t="shared" si="38"/>
        <v/>
      </c>
      <c r="CL40" s="624" t="str">
        <f t="shared" si="39"/>
        <v/>
      </c>
      <c r="CM40" s="624" t="str">
        <f t="shared" si="40"/>
        <v/>
      </c>
      <c r="CN40" s="624" t="str">
        <f t="shared" si="41"/>
        <v/>
      </c>
      <c r="CO40" s="624" t="str">
        <f t="shared" si="42"/>
        <v/>
      </c>
      <c r="CP40" s="624" t="str">
        <f t="shared" si="43"/>
        <v/>
      </c>
      <c r="CQ40" s="624" t="str">
        <f t="shared" si="44"/>
        <v/>
      </c>
      <c r="CR40" s="624" t="str">
        <f t="shared" si="45"/>
        <v/>
      </c>
      <c r="CS40" s="624" t="str">
        <f t="shared" si="46"/>
        <v/>
      </c>
      <c r="CT40" s="624" t="str">
        <f t="shared" si="47"/>
        <v/>
      </c>
      <c r="CU40" s="624" t="str">
        <f t="shared" si="48"/>
        <v/>
      </c>
      <c r="CV40" s="624" t="str">
        <f t="shared" si="49"/>
        <v/>
      </c>
      <c r="CW40" s="624" t="str">
        <f t="shared" si="50"/>
        <v/>
      </c>
      <c r="CX40" s="624" t="str">
        <f t="shared" si="51"/>
        <v/>
      </c>
      <c r="CY40" s="624" t="str">
        <f t="shared" si="52"/>
        <v/>
      </c>
      <c r="CZ40" s="624" t="str">
        <f t="shared" si="53"/>
        <v/>
      </c>
      <c r="DA40" s="624" t="str">
        <f t="shared" si="54"/>
        <v/>
      </c>
      <c r="DB40" s="624" t="str">
        <f t="shared" si="55"/>
        <v/>
      </c>
      <c r="DC40" s="624" t="str">
        <f t="shared" si="56"/>
        <v/>
      </c>
      <c r="DD40" s="624" t="str">
        <f t="shared" si="57"/>
        <v/>
      </c>
      <c r="DE40" s="624" t="str">
        <f t="shared" si="58"/>
        <v/>
      </c>
      <c r="DF40" s="624" t="str">
        <f t="shared" si="59"/>
        <v/>
      </c>
      <c r="DG40" s="624" t="str">
        <f t="shared" si="60"/>
        <v/>
      </c>
      <c r="DH40" s="624" t="str">
        <f t="shared" si="61"/>
        <v/>
      </c>
      <c r="DI40" s="624" t="str">
        <f t="shared" si="62"/>
        <v/>
      </c>
      <c r="DJ40" s="624" t="str">
        <f t="shared" si="63"/>
        <v/>
      </c>
      <c r="DK40" s="624" t="str">
        <f t="shared" si="64"/>
        <v/>
      </c>
      <c r="DL40" s="624" t="str">
        <f t="shared" si="65"/>
        <v/>
      </c>
      <c r="DM40" s="624" t="str">
        <f t="shared" si="66"/>
        <v/>
      </c>
      <c r="DN40" s="624" t="str">
        <f t="shared" si="67"/>
        <v/>
      </c>
      <c r="DO40" s="624" t="str">
        <f t="shared" si="68"/>
        <v/>
      </c>
      <c r="DP40" s="624" t="str">
        <f t="shared" si="69"/>
        <v/>
      </c>
      <c r="DQ40" s="624" t="str">
        <f t="shared" si="70"/>
        <v/>
      </c>
      <c r="DR40" s="624" t="str">
        <f t="shared" si="71"/>
        <v/>
      </c>
      <c r="DS40" s="624" t="str">
        <f t="shared" si="72"/>
        <v/>
      </c>
      <c r="DT40" s="624" t="str">
        <f t="shared" si="73"/>
        <v/>
      </c>
      <c r="DU40" s="624" t="str">
        <f t="shared" si="74"/>
        <v/>
      </c>
      <c r="DV40" s="624" t="str">
        <f t="shared" si="75"/>
        <v/>
      </c>
      <c r="DW40" s="624" t="str">
        <f t="shared" si="76"/>
        <v/>
      </c>
      <c r="DX40" s="624" t="str">
        <f t="shared" si="77"/>
        <v/>
      </c>
      <c r="DY40" s="624" t="str">
        <f t="shared" si="78"/>
        <v/>
      </c>
      <c r="DZ40" s="624" t="str">
        <f t="shared" si="79"/>
        <v/>
      </c>
      <c r="EA40" s="624" t="str">
        <f t="shared" si="80"/>
        <v/>
      </c>
      <c r="EB40" s="624" t="str">
        <f t="shared" si="81"/>
        <v/>
      </c>
      <c r="EC40" s="624" t="str">
        <f t="shared" si="82"/>
        <v/>
      </c>
      <c r="ED40" s="624" t="str">
        <f t="shared" si="83"/>
        <v/>
      </c>
      <c r="EE40" s="624" t="str">
        <f t="shared" si="84"/>
        <v/>
      </c>
      <c r="EF40" s="624" t="str">
        <f t="shared" si="85"/>
        <v/>
      </c>
      <c r="EG40" s="624" t="str">
        <f t="shared" si="86"/>
        <v/>
      </c>
      <c r="EH40" s="624" t="str">
        <f t="shared" si="87"/>
        <v/>
      </c>
      <c r="EI40" s="624" t="str">
        <f t="shared" si="88"/>
        <v/>
      </c>
      <c r="EJ40" s="624" t="str">
        <f t="shared" si="89"/>
        <v/>
      </c>
      <c r="EK40" s="624" t="str">
        <f t="shared" si="90"/>
        <v/>
      </c>
      <c r="EL40" s="624" t="str">
        <f t="shared" si="91"/>
        <v/>
      </c>
      <c r="EM40" s="624" t="str">
        <f t="shared" si="92"/>
        <v/>
      </c>
      <c r="EN40" s="624" t="str">
        <f t="shared" si="93"/>
        <v/>
      </c>
      <c r="EO40" s="624" t="str">
        <f t="shared" si="94"/>
        <v/>
      </c>
      <c r="EP40" s="624" t="str">
        <f t="shared" si="95"/>
        <v/>
      </c>
      <c r="EQ40" s="624" t="str">
        <f t="shared" si="96"/>
        <v/>
      </c>
      <c r="ER40" s="624" t="str">
        <f t="shared" si="97"/>
        <v/>
      </c>
      <c r="ES40" s="624" t="str">
        <f t="shared" si="98"/>
        <v/>
      </c>
      <c r="ET40" s="624" t="str">
        <f t="shared" si="99"/>
        <v/>
      </c>
      <c r="EU40" s="624" t="str">
        <f t="shared" si="100"/>
        <v/>
      </c>
      <c r="EV40" s="636" t="str">
        <f t="shared" si="101"/>
        <v/>
      </c>
      <c r="EW40" s="636" t="str">
        <f t="shared" si="102"/>
        <v/>
      </c>
      <c r="EX40" s="636" t="str">
        <f t="shared" si="103"/>
        <v/>
      </c>
      <c r="EY40" s="636" t="str">
        <f t="shared" si="104"/>
        <v/>
      </c>
      <c r="EZ40" s="636" t="str">
        <f t="shared" si="105"/>
        <v/>
      </c>
      <c r="FA40" s="636" t="str">
        <f t="shared" si="106"/>
        <v/>
      </c>
      <c r="FB40" s="636" t="str">
        <f t="shared" si="107"/>
        <v/>
      </c>
      <c r="FC40" s="636" t="str">
        <f t="shared" si="108"/>
        <v/>
      </c>
      <c r="FD40" s="636" t="str">
        <f t="shared" si="109"/>
        <v/>
      </c>
      <c r="FE40" s="636" t="str">
        <f t="shared" si="110"/>
        <v/>
      </c>
      <c r="FF40" s="636" t="str">
        <f t="shared" si="111"/>
        <v/>
      </c>
      <c r="FG40" s="636" t="str">
        <f t="shared" si="112"/>
        <v/>
      </c>
      <c r="FH40" s="636" t="str">
        <f t="shared" si="113"/>
        <v/>
      </c>
      <c r="FI40" s="636" t="str">
        <f t="shared" si="114"/>
        <v/>
      </c>
      <c r="FJ40" s="636" t="str">
        <f t="shared" si="115"/>
        <v/>
      </c>
      <c r="FK40" s="636" t="str">
        <f t="shared" si="116"/>
        <v/>
      </c>
      <c r="FL40" s="636" t="str">
        <f t="shared" si="117"/>
        <v/>
      </c>
      <c r="FM40" s="636" t="str">
        <f t="shared" si="118"/>
        <v/>
      </c>
      <c r="FN40" s="636" t="str">
        <f t="shared" si="119"/>
        <v/>
      </c>
      <c r="FO40" s="636" t="str">
        <f t="shared" si="120"/>
        <v/>
      </c>
      <c r="FP40" s="636" t="str">
        <f t="shared" si="121"/>
        <v/>
      </c>
      <c r="FQ40" s="636" t="str">
        <f t="shared" si="122"/>
        <v/>
      </c>
      <c r="FR40" s="636" t="str">
        <f t="shared" si="123"/>
        <v/>
      </c>
      <c r="FS40" s="636" t="str">
        <f t="shared" si="124"/>
        <v/>
      </c>
      <c r="FT40" s="636" t="str">
        <f t="shared" si="125"/>
        <v/>
      </c>
      <c r="FU40" s="636" t="str">
        <f t="shared" si="126"/>
        <v/>
      </c>
      <c r="FV40" s="636" t="str">
        <f t="shared" si="127"/>
        <v/>
      </c>
      <c r="FW40" s="636" t="str">
        <f t="shared" si="128"/>
        <v/>
      </c>
      <c r="FX40" s="636" t="str">
        <f t="shared" si="129"/>
        <v/>
      </c>
      <c r="FY40" s="636" t="str">
        <f t="shared" si="130"/>
        <v/>
      </c>
      <c r="FZ40" s="636" t="str">
        <f t="shared" si="131"/>
        <v/>
      </c>
      <c r="GA40" s="636" t="str">
        <f t="shared" si="132"/>
        <v/>
      </c>
      <c r="GB40" s="636" t="str">
        <f t="shared" si="133"/>
        <v/>
      </c>
      <c r="GC40" s="636" t="str">
        <f t="shared" si="134"/>
        <v/>
      </c>
      <c r="GD40" s="636" t="str">
        <f t="shared" si="135"/>
        <v/>
      </c>
      <c r="GE40" s="636" t="str">
        <f t="shared" si="136"/>
        <v/>
      </c>
      <c r="GF40" s="636" t="str">
        <f t="shared" si="137"/>
        <v/>
      </c>
      <c r="GG40" s="636" t="str">
        <f t="shared" si="138"/>
        <v/>
      </c>
      <c r="GH40" s="636" t="str">
        <f t="shared" si="139"/>
        <v/>
      </c>
      <c r="GI40" s="636" t="str">
        <f t="shared" si="140"/>
        <v/>
      </c>
      <c r="GJ40" s="636" t="str">
        <f t="shared" si="141"/>
        <v/>
      </c>
      <c r="GK40" s="636" t="str">
        <f t="shared" si="142"/>
        <v/>
      </c>
      <c r="GL40" s="636" t="str">
        <f t="shared" si="143"/>
        <v/>
      </c>
      <c r="GM40" s="636" t="str">
        <f t="shared" si="144"/>
        <v/>
      </c>
      <c r="GN40" s="636" t="str">
        <f t="shared" si="145"/>
        <v/>
      </c>
      <c r="GO40" s="637" t="str">
        <f t="shared" si="146"/>
        <v/>
      </c>
      <c r="GP40" s="637" t="str">
        <f t="shared" si="147"/>
        <v/>
      </c>
      <c r="GQ40" s="637" t="str">
        <f t="shared" si="148"/>
        <v/>
      </c>
      <c r="GR40" s="637" t="str">
        <f t="shared" si="149"/>
        <v/>
      </c>
      <c r="GS40" s="637" t="str">
        <f t="shared" si="150"/>
        <v/>
      </c>
      <c r="GT40" s="624" t="str">
        <f t="shared" si="151"/>
        <v/>
      </c>
      <c r="GU40" s="624" t="str">
        <f t="shared" si="152"/>
        <v/>
      </c>
      <c r="GV40" s="624" t="str">
        <f t="shared" si="153"/>
        <v/>
      </c>
      <c r="GW40" s="624" t="str">
        <f t="shared" si="154"/>
        <v/>
      </c>
      <c r="GX40" s="624" t="str">
        <f t="shared" si="155"/>
        <v/>
      </c>
      <c r="GY40" s="624" t="str">
        <f t="shared" si="156"/>
        <v/>
      </c>
      <c r="GZ40" s="624" t="str">
        <f t="shared" si="157"/>
        <v/>
      </c>
      <c r="HA40" s="624" t="str">
        <f t="shared" si="158"/>
        <v/>
      </c>
      <c r="HB40" s="624" t="str">
        <f t="shared" si="159"/>
        <v/>
      </c>
      <c r="HC40" s="624" t="str">
        <f t="shared" si="160"/>
        <v/>
      </c>
      <c r="HD40" s="624" t="str">
        <f t="shared" si="161"/>
        <v/>
      </c>
      <c r="HE40" s="624" t="str">
        <f t="shared" si="162"/>
        <v/>
      </c>
      <c r="HF40" s="624" t="str">
        <f t="shared" si="163"/>
        <v/>
      </c>
      <c r="HG40" s="624" t="str">
        <f t="shared" si="164"/>
        <v/>
      </c>
      <c r="HH40" s="624" t="str">
        <f t="shared" si="165"/>
        <v/>
      </c>
      <c r="HI40" s="624" t="str">
        <f t="shared" si="166"/>
        <v/>
      </c>
      <c r="HJ40" s="624" t="str">
        <f t="shared" si="167"/>
        <v/>
      </c>
      <c r="HK40" s="624" t="str">
        <f t="shared" si="168"/>
        <v/>
      </c>
      <c r="HL40" s="624" t="str">
        <f t="shared" si="169"/>
        <v/>
      </c>
      <c r="HM40" s="624" t="str">
        <f t="shared" si="170"/>
        <v/>
      </c>
    </row>
    <row r="41" spans="1:221" ht="13.15" customHeight="1">
      <c r="A41" s="130" t="str">
        <f t="shared" si="171"/>
        <v/>
      </c>
      <c r="B41" s="1553" t="s">
        <v>2466</v>
      </c>
      <c r="C41" s="1554"/>
      <c r="D41" s="1555"/>
      <c r="E41" s="1556"/>
      <c r="F41" s="1556"/>
      <c r="G41" s="1556"/>
      <c r="H41" s="1556"/>
      <c r="I41" s="1556"/>
      <c r="J41" s="1557"/>
      <c r="K41" s="205">
        <f t="shared" si="205"/>
        <v>0</v>
      </c>
      <c r="L41" s="205">
        <f t="shared" si="0"/>
        <v>0</v>
      </c>
      <c r="M41" s="1558"/>
      <c r="N41" s="1558"/>
      <c r="O41" s="1558"/>
      <c r="P41" s="559" t="str">
        <f t="shared" si="203"/>
        <v/>
      </c>
      <c r="Q41" s="560" t="str">
        <f>IF(H41="","",P41/($P$6*VLOOKUP(C41,'DCA Underwriting Assumptions'!$J$81:$K$86,2,FALSE)))</f>
        <v/>
      </c>
      <c r="R41" s="667"/>
      <c r="S41" s="560"/>
      <c r="T41" s="1497"/>
      <c r="U41" s="1498"/>
      <c r="V41" s="624" t="str">
        <f t="shared" si="1"/>
        <v/>
      </c>
      <c r="W41" s="624" t="str">
        <f t="shared" si="2"/>
        <v/>
      </c>
      <c r="X41" s="624" t="str">
        <f t="shared" si="3"/>
        <v/>
      </c>
      <c r="Y41" s="624" t="str">
        <f t="shared" si="4"/>
        <v/>
      </c>
      <c r="Z41" s="624" t="str">
        <f t="shared" si="5"/>
        <v/>
      </c>
      <c r="AA41" s="624" t="str">
        <f t="shared" si="6"/>
        <v/>
      </c>
      <c r="AB41" s="624" t="str">
        <f t="shared" si="7"/>
        <v/>
      </c>
      <c r="AC41" s="624" t="str">
        <f t="shared" si="8"/>
        <v/>
      </c>
      <c r="AD41" s="624" t="str">
        <f t="shared" si="9"/>
        <v/>
      </c>
      <c r="AE41" s="624" t="str">
        <f t="shared" si="10"/>
        <v/>
      </c>
      <c r="AF41" s="624" t="str">
        <f t="shared" si="11"/>
        <v/>
      </c>
      <c r="AG41" s="624" t="str">
        <f t="shared" si="12"/>
        <v/>
      </c>
      <c r="AH41" s="624" t="str">
        <f t="shared" si="13"/>
        <v/>
      </c>
      <c r="AI41" s="624" t="str">
        <f t="shared" si="14"/>
        <v/>
      </c>
      <c r="AJ41" s="624" t="str">
        <f t="shared" si="15"/>
        <v/>
      </c>
      <c r="AK41" s="624" t="str">
        <f t="shared" si="16"/>
        <v/>
      </c>
      <c r="AL41" s="624" t="str">
        <f t="shared" si="17"/>
        <v/>
      </c>
      <c r="AM41" s="624" t="str">
        <f t="shared" si="18"/>
        <v/>
      </c>
      <c r="AN41" s="624" t="str">
        <f t="shared" si="19"/>
        <v/>
      </c>
      <c r="AO41" s="624" t="str">
        <f t="shared" si="20"/>
        <v/>
      </c>
      <c r="AP41" s="624" t="str">
        <f t="shared" si="173"/>
        <v/>
      </c>
      <c r="AQ41" s="624" t="str">
        <f t="shared" si="174"/>
        <v/>
      </c>
      <c r="AR41" s="624" t="str">
        <f t="shared" si="175"/>
        <v/>
      </c>
      <c r="AS41" s="624" t="str">
        <f t="shared" si="176"/>
        <v/>
      </c>
      <c r="AT41" s="624" t="str">
        <f t="shared" si="177"/>
        <v/>
      </c>
      <c r="AU41" s="624" t="str">
        <f t="shared" si="178"/>
        <v/>
      </c>
      <c r="AV41" s="624" t="str">
        <f t="shared" si="179"/>
        <v/>
      </c>
      <c r="AW41" s="624" t="str">
        <f t="shared" si="180"/>
        <v/>
      </c>
      <c r="AX41" s="624" t="str">
        <f t="shared" si="181"/>
        <v/>
      </c>
      <c r="AY41" s="624" t="str">
        <f t="shared" si="182"/>
        <v/>
      </c>
      <c r="AZ41" s="624" t="str">
        <f t="shared" si="183"/>
        <v/>
      </c>
      <c r="BA41" s="624" t="str">
        <f t="shared" si="184"/>
        <v/>
      </c>
      <c r="BB41" s="624" t="str">
        <f t="shared" si="185"/>
        <v/>
      </c>
      <c r="BC41" s="624" t="str">
        <f t="shared" si="186"/>
        <v/>
      </c>
      <c r="BD41" s="624" t="str">
        <f t="shared" si="187"/>
        <v/>
      </c>
      <c r="BE41" s="624" t="str">
        <f t="shared" si="188"/>
        <v/>
      </c>
      <c r="BF41" s="624" t="str">
        <f t="shared" si="189"/>
        <v/>
      </c>
      <c r="BG41" s="624" t="str">
        <f t="shared" si="190"/>
        <v/>
      </c>
      <c r="BH41" s="624" t="str">
        <f t="shared" si="191"/>
        <v/>
      </c>
      <c r="BI41" s="624" t="str">
        <f t="shared" si="192"/>
        <v/>
      </c>
      <c r="BJ41" s="624" t="str">
        <f t="shared" si="193"/>
        <v/>
      </c>
      <c r="BK41" s="624" t="str">
        <f t="shared" si="194"/>
        <v/>
      </c>
      <c r="BL41" s="624" t="str">
        <f t="shared" si="195"/>
        <v/>
      </c>
      <c r="BM41" s="624" t="str">
        <f t="shared" si="196"/>
        <v/>
      </c>
      <c r="BN41" s="624" t="str">
        <f t="shared" si="197"/>
        <v/>
      </c>
      <c r="BO41" s="624" t="str">
        <f t="shared" si="198"/>
        <v/>
      </c>
      <c r="BP41" s="624" t="str">
        <f t="shared" si="199"/>
        <v/>
      </c>
      <c r="BQ41" s="624" t="str">
        <f t="shared" si="200"/>
        <v/>
      </c>
      <c r="BR41" s="624" t="str">
        <f t="shared" si="201"/>
        <v/>
      </c>
      <c r="BS41" s="624" t="str">
        <f t="shared" si="202"/>
        <v/>
      </c>
      <c r="BT41" s="624" t="str">
        <f t="shared" si="21"/>
        <v/>
      </c>
      <c r="BU41" s="624" t="str">
        <f t="shared" si="22"/>
        <v/>
      </c>
      <c r="BV41" s="624" t="str">
        <f t="shared" si="23"/>
        <v/>
      </c>
      <c r="BW41" s="624" t="str">
        <f t="shared" si="24"/>
        <v/>
      </c>
      <c r="BX41" s="624" t="str">
        <f t="shared" si="25"/>
        <v/>
      </c>
      <c r="BY41" s="624" t="str">
        <f t="shared" si="26"/>
        <v/>
      </c>
      <c r="BZ41" s="624" t="str">
        <f t="shared" si="27"/>
        <v/>
      </c>
      <c r="CA41" s="624" t="str">
        <f t="shared" si="28"/>
        <v/>
      </c>
      <c r="CB41" s="624" t="str">
        <f t="shared" si="29"/>
        <v/>
      </c>
      <c r="CC41" s="624" t="str">
        <f t="shared" si="30"/>
        <v/>
      </c>
      <c r="CD41" s="624" t="str">
        <f t="shared" si="31"/>
        <v/>
      </c>
      <c r="CE41" s="624" t="str">
        <f t="shared" si="32"/>
        <v/>
      </c>
      <c r="CF41" s="624" t="str">
        <f t="shared" si="33"/>
        <v/>
      </c>
      <c r="CG41" s="624" t="str">
        <f t="shared" si="34"/>
        <v/>
      </c>
      <c r="CH41" s="624" t="str">
        <f t="shared" si="35"/>
        <v/>
      </c>
      <c r="CI41" s="624" t="str">
        <f t="shared" si="36"/>
        <v/>
      </c>
      <c r="CJ41" s="624" t="str">
        <f t="shared" si="37"/>
        <v/>
      </c>
      <c r="CK41" s="624" t="str">
        <f t="shared" si="38"/>
        <v/>
      </c>
      <c r="CL41" s="624" t="str">
        <f t="shared" si="39"/>
        <v/>
      </c>
      <c r="CM41" s="624" t="str">
        <f t="shared" si="40"/>
        <v/>
      </c>
      <c r="CN41" s="624" t="str">
        <f t="shared" si="41"/>
        <v/>
      </c>
      <c r="CO41" s="624" t="str">
        <f t="shared" si="42"/>
        <v/>
      </c>
      <c r="CP41" s="624" t="str">
        <f t="shared" si="43"/>
        <v/>
      </c>
      <c r="CQ41" s="624" t="str">
        <f t="shared" si="44"/>
        <v/>
      </c>
      <c r="CR41" s="624" t="str">
        <f t="shared" si="45"/>
        <v/>
      </c>
      <c r="CS41" s="624" t="str">
        <f t="shared" si="46"/>
        <v/>
      </c>
      <c r="CT41" s="624" t="str">
        <f t="shared" si="47"/>
        <v/>
      </c>
      <c r="CU41" s="624" t="str">
        <f t="shared" si="48"/>
        <v/>
      </c>
      <c r="CV41" s="624" t="str">
        <f t="shared" si="49"/>
        <v/>
      </c>
      <c r="CW41" s="624" t="str">
        <f t="shared" si="50"/>
        <v/>
      </c>
      <c r="CX41" s="624" t="str">
        <f t="shared" si="51"/>
        <v/>
      </c>
      <c r="CY41" s="624" t="str">
        <f t="shared" si="52"/>
        <v/>
      </c>
      <c r="CZ41" s="624" t="str">
        <f t="shared" si="53"/>
        <v/>
      </c>
      <c r="DA41" s="624" t="str">
        <f t="shared" si="54"/>
        <v/>
      </c>
      <c r="DB41" s="624" t="str">
        <f t="shared" si="55"/>
        <v/>
      </c>
      <c r="DC41" s="624" t="str">
        <f t="shared" si="56"/>
        <v/>
      </c>
      <c r="DD41" s="624" t="str">
        <f t="shared" si="57"/>
        <v/>
      </c>
      <c r="DE41" s="624" t="str">
        <f t="shared" si="58"/>
        <v/>
      </c>
      <c r="DF41" s="624" t="str">
        <f t="shared" si="59"/>
        <v/>
      </c>
      <c r="DG41" s="624" t="str">
        <f t="shared" si="60"/>
        <v/>
      </c>
      <c r="DH41" s="624" t="str">
        <f t="shared" si="61"/>
        <v/>
      </c>
      <c r="DI41" s="624" t="str">
        <f t="shared" si="62"/>
        <v/>
      </c>
      <c r="DJ41" s="624" t="str">
        <f t="shared" si="63"/>
        <v/>
      </c>
      <c r="DK41" s="624" t="str">
        <f t="shared" si="64"/>
        <v/>
      </c>
      <c r="DL41" s="624" t="str">
        <f t="shared" si="65"/>
        <v/>
      </c>
      <c r="DM41" s="624" t="str">
        <f t="shared" si="66"/>
        <v/>
      </c>
      <c r="DN41" s="624" t="str">
        <f t="shared" si="67"/>
        <v/>
      </c>
      <c r="DO41" s="624" t="str">
        <f t="shared" si="68"/>
        <v/>
      </c>
      <c r="DP41" s="624" t="str">
        <f t="shared" si="69"/>
        <v/>
      </c>
      <c r="DQ41" s="624" t="str">
        <f t="shared" si="70"/>
        <v/>
      </c>
      <c r="DR41" s="624" t="str">
        <f t="shared" si="71"/>
        <v/>
      </c>
      <c r="DS41" s="624" t="str">
        <f t="shared" si="72"/>
        <v/>
      </c>
      <c r="DT41" s="624" t="str">
        <f t="shared" si="73"/>
        <v/>
      </c>
      <c r="DU41" s="624" t="str">
        <f t="shared" si="74"/>
        <v/>
      </c>
      <c r="DV41" s="624" t="str">
        <f t="shared" si="75"/>
        <v/>
      </c>
      <c r="DW41" s="624" t="str">
        <f t="shared" si="76"/>
        <v/>
      </c>
      <c r="DX41" s="624" t="str">
        <f t="shared" si="77"/>
        <v/>
      </c>
      <c r="DY41" s="624" t="str">
        <f t="shared" si="78"/>
        <v/>
      </c>
      <c r="DZ41" s="624" t="str">
        <f t="shared" si="79"/>
        <v/>
      </c>
      <c r="EA41" s="624" t="str">
        <f t="shared" si="80"/>
        <v/>
      </c>
      <c r="EB41" s="624" t="str">
        <f t="shared" si="81"/>
        <v/>
      </c>
      <c r="EC41" s="624" t="str">
        <f t="shared" si="82"/>
        <v/>
      </c>
      <c r="ED41" s="624" t="str">
        <f t="shared" si="83"/>
        <v/>
      </c>
      <c r="EE41" s="624" t="str">
        <f t="shared" si="84"/>
        <v/>
      </c>
      <c r="EF41" s="624" t="str">
        <f t="shared" si="85"/>
        <v/>
      </c>
      <c r="EG41" s="624" t="str">
        <f t="shared" si="86"/>
        <v/>
      </c>
      <c r="EH41" s="624" t="str">
        <f t="shared" si="87"/>
        <v/>
      </c>
      <c r="EI41" s="624" t="str">
        <f t="shared" si="88"/>
        <v/>
      </c>
      <c r="EJ41" s="624" t="str">
        <f t="shared" si="89"/>
        <v/>
      </c>
      <c r="EK41" s="624" t="str">
        <f t="shared" si="90"/>
        <v/>
      </c>
      <c r="EL41" s="624" t="str">
        <f t="shared" si="91"/>
        <v/>
      </c>
      <c r="EM41" s="624" t="str">
        <f t="shared" si="92"/>
        <v/>
      </c>
      <c r="EN41" s="624" t="str">
        <f t="shared" si="93"/>
        <v/>
      </c>
      <c r="EO41" s="624" t="str">
        <f t="shared" si="94"/>
        <v/>
      </c>
      <c r="EP41" s="624" t="str">
        <f t="shared" si="95"/>
        <v/>
      </c>
      <c r="EQ41" s="624" t="str">
        <f t="shared" si="96"/>
        <v/>
      </c>
      <c r="ER41" s="624" t="str">
        <f t="shared" si="97"/>
        <v/>
      </c>
      <c r="ES41" s="624" t="str">
        <f t="shared" si="98"/>
        <v/>
      </c>
      <c r="ET41" s="624" t="str">
        <f t="shared" si="99"/>
        <v/>
      </c>
      <c r="EU41" s="624" t="str">
        <f t="shared" si="100"/>
        <v/>
      </c>
      <c r="EV41" s="636" t="str">
        <f t="shared" si="101"/>
        <v/>
      </c>
      <c r="EW41" s="636" t="str">
        <f t="shared" si="102"/>
        <v/>
      </c>
      <c r="EX41" s="636" t="str">
        <f t="shared" si="103"/>
        <v/>
      </c>
      <c r="EY41" s="636" t="str">
        <f t="shared" si="104"/>
        <v/>
      </c>
      <c r="EZ41" s="636" t="str">
        <f t="shared" si="105"/>
        <v/>
      </c>
      <c r="FA41" s="636" t="str">
        <f t="shared" si="106"/>
        <v/>
      </c>
      <c r="FB41" s="636" t="str">
        <f t="shared" si="107"/>
        <v/>
      </c>
      <c r="FC41" s="636" t="str">
        <f t="shared" si="108"/>
        <v/>
      </c>
      <c r="FD41" s="636" t="str">
        <f t="shared" si="109"/>
        <v/>
      </c>
      <c r="FE41" s="636" t="str">
        <f t="shared" si="110"/>
        <v/>
      </c>
      <c r="FF41" s="636" t="str">
        <f t="shared" si="111"/>
        <v/>
      </c>
      <c r="FG41" s="636" t="str">
        <f t="shared" si="112"/>
        <v/>
      </c>
      <c r="FH41" s="636" t="str">
        <f t="shared" si="113"/>
        <v/>
      </c>
      <c r="FI41" s="636" t="str">
        <f t="shared" si="114"/>
        <v/>
      </c>
      <c r="FJ41" s="636" t="str">
        <f t="shared" si="115"/>
        <v/>
      </c>
      <c r="FK41" s="636" t="str">
        <f t="shared" si="116"/>
        <v/>
      </c>
      <c r="FL41" s="636" t="str">
        <f t="shared" si="117"/>
        <v/>
      </c>
      <c r="FM41" s="636" t="str">
        <f t="shared" si="118"/>
        <v/>
      </c>
      <c r="FN41" s="636" t="str">
        <f t="shared" si="119"/>
        <v/>
      </c>
      <c r="FO41" s="636" t="str">
        <f t="shared" si="120"/>
        <v/>
      </c>
      <c r="FP41" s="636" t="str">
        <f t="shared" si="121"/>
        <v/>
      </c>
      <c r="FQ41" s="636" t="str">
        <f t="shared" si="122"/>
        <v/>
      </c>
      <c r="FR41" s="636" t="str">
        <f t="shared" si="123"/>
        <v/>
      </c>
      <c r="FS41" s="636" t="str">
        <f t="shared" si="124"/>
        <v/>
      </c>
      <c r="FT41" s="636" t="str">
        <f t="shared" si="125"/>
        <v/>
      </c>
      <c r="FU41" s="636" t="str">
        <f t="shared" si="126"/>
        <v/>
      </c>
      <c r="FV41" s="636" t="str">
        <f t="shared" si="127"/>
        <v/>
      </c>
      <c r="FW41" s="636" t="str">
        <f t="shared" si="128"/>
        <v/>
      </c>
      <c r="FX41" s="636" t="str">
        <f t="shared" si="129"/>
        <v/>
      </c>
      <c r="FY41" s="636" t="str">
        <f t="shared" si="130"/>
        <v/>
      </c>
      <c r="FZ41" s="636" t="str">
        <f t="shared" si="131"/>
        <v/>
      </c>
      <c r="GA41" s="636" t="str">
        <f t="shared" si="132"/>
        <v/>
      </c>
      <c r="GB41" s="636" t="str">
        <f t="shared" si="133"/>
        <v/>
      </c>
      <c r="GC41" s="636" t="str">
        <f t="shared" si="134"/>
        <v/>
      </c>
      <c r="GD41" s="636" t="str">
        <f t="shared" si="135"/>
        <v/>
      </c>
      <c r="GE41" s="636" t="str">
        <f t="shared" si="136"/>
        <v/>
      </c>
      <c r="GF41" s="636" t="str">
        <f t="shared" si="137"/>
        <v/>
      </c>
      <c r="GG41" s="636" t="str">
        <f t="shared" si="138"/>
        <v/>
      </c>
      <c r="GH41" s="636" t="str">
        <f t="shared" si="139"/>
        <v/>
      </c>
      <c r="GI41" s="636" t="str">
        <f t="shared" si="140"/>
        <v/>
      </c>
      <c r="GJ41" s="636" t="str">
        <f t="shared" si="141"/>
        <v/>
      </c>
      <c r="GK41" s="636" t="str">
        <f t="shared" si="142"/>
        <v/>
      </c>
      <c r="GL41" s="636" t="str">
        <f t="shared" si="143"/>
        <v/>
      </c>
      <c r="GM41" s="636" t="str">
        <f t="shared" si="144"/>
        <v/>
      </c>
      <c r="GN41" s="636" t="str">
        <f t="shared" si="145"/>
        <v/>
      </c>
      <c r="GO41" s="637" t="str">
        <f t="shared" si="146"/>
        <v/>
      </c>
      <c r="GP41" s="637" t="str">
        <f t="shared" si="147"/>
        <v/>
      </c>
      <c r="GQ41" s="637" t="str">
        <f t="shared" si="148"/>
        <v/>
      </c>
      <c r="GR41" s="637" t="str">
        <f t="shared" si="149"/>
        <v/>
      </c>
      <c r="GS41" s="637" t="str">
        <f t="shared" si="150"/>
        <v/>
      </c>
      <c r="GT41" s="624" t="str">
        <f t="shared" si="151"/>
        <v/>
      </c>
      <c r="GU41" s="624" t="str">
        <f t="shared" si="152"/>
        <v/>
      </c>
      <c r="GV41" s="624" t="str">
        <f t="shared" si="153"/>
        <v/>
      </c>
      <c r="GW41" s="624" t="str">
        <f t="shared" si="154"/>
        <v/>
      </c>
      <c r="GX41" s="624" t="str">
        <f t="shared" si="155"/>
        <v/>
      </c>
      <c r="GY41" s="624" t="str">
        <f t="shared" si="156"/>
        <v/>
      </c>
      <c r="GZ41" s="624" t="str">
        <f t="shared" si="157"/>
        <v/>
      </c>
      <c r="HA41" s="624" t="str">
        <f t="shared" si="158"/>
        <v/>
      </c>
      <c r="HB41" s="624" t="str">
        <f t="shared" si="159"/>
        <v/>
      </c>
      <c r="HC41" s="624" t="str">
        <f t="shared" si="160"/>
        <v/>
      </c>
      <c r="HD41" s="624" t="str">
        <f t="shared" si="161"/>
        <v/>
      </c>
      <c r="HE41" s="624" t="str">
        <f t="shared" si="162"/>
        <v/>
      </c>
      <c r="HF41" s="624" t="str">
        <f t="shared" si="163"/>
        <v/>
      </c>
      <c r="HG41" s="624" t="str">
        <f t="shared" si="164"/>
        <v/>
      </c>
      <c r="HH41" s="624" t="str">
        <f t="shared" si="165"/>
        <v/>
      </c>
      <c r="HI41" s="624" t="str">
        <f t="shared" si="166"/>
        <v/>
      </c>
      <c r="HJ41" s="624" t="str">
        <f t="shared" si="167"/>
        <v/>
      </c>
      <c r="HK41" s="624" t="str">
        <f t="shared" si="168"/>
        <v/>
      </c>
      <c r="HL41" s="624" t="str">
        <f t="shared" si="169"/>
        <v/>
      </c>
      <c r="HM41" s="624" t="str">
        <f t="shared" si="170"/>
        <v/>
      </c>
    </row>
    <row r="42" spans="1:221" ht="13.15" customHeight="1">
      <c r="A42" s="130" t="str">
        <f t="shared" si="171"/>
        <v/>
      </c>
      <c r="B42" s="1553" t="s">
        <v>2466</v>
      </c>
      <c r="C42" s="1554"/>
      <c r="D42" s="1555"/>
      <c r="E42" s="1556"/>
      <c r="F42" s="1556"/>
      <c r="G42" s="1556"/>
      <c r="H42" s="1556"/>
      <c r="I42" s="1556"/>
      <c r="J42" s="1557"/>
      <c r="K42" s="205">
        <f t="shared" si="205"/>
        <v>0</v>
      </c>
      <c r="L42" s="205">
        <f t="shared" si="0"/>
        <v>0</v>
      </c>
      <c r="M42" s="1558"/>
      <c r="N42" s="1558"/>
      <c r="O42" s="1558"/>
      <c r="P42" s="559" t="str">
        <f t="shared" si="203"/>
        <v/>
      </c>
      <c r="Q42" s="560" t="str">
        <f>IF(H42="","",P42/($P$6*VLOOKUP(C42,'DCA Underwriting Assumptions'!$J$81:$K$86,2,FALSE)))</f>
        <v/>
      </c>
      <c r="R42" s="667"/>
      <c r="S42" s="560"/>
      <c r="T42" s="1497"/>
      <c r="U42" s="1498"/>
      <c r="V42" s="624" t="str">
        <f t="shared" si="1"/>
        <v/>
      </c>
      <c r="W42" s="624" t="str">
        <f t="shared" si="2"/>
        <v/>
      </c>
      <c r="X42" s="624" t="str">
        <f t="shared" si="3"/>
        <v/>
      </c>
      <c r="Y42" s="624" t="str">
        <f t="shared" si="4"/>
        <v/>
      </c>
      <c r="Z42" s="624" t="str">
        <f t="shared" si="5"/>
        <v/>
      </c>
      <c r="AA42" s="624" t="str">
        <f t="shared" si="6"/>
        <v/>
      </c>
      <c r="AB42" s="624" t="str">
        <f t="shared" si="7"/>
        <v/>
      </c>
      <c r="AC42" s="624" t="str">
        <f t="shared" si="8"/>
        <v/>
      </c>
      <c r="AD42" s="624" t="str">
        <f t="shared" si="9"/>
        <v/>
      </c>
      <c r="AE42" s="624" t="str">
        <f t="shared" si="10"/>
        <v/>
      </c>
      <c r="AF42" s="624" t="str">
        <f t="shared" si="11"/>
        <v/>
      </c>
      <c r="AG42" s="624" t="str">
        <f t="shared" si="12"/>
        <v/>
      </c>
      <c r="AH42" s="624" t="str">
        <f t="shared" si="13"/>
        <v/>
      </c>
      <c r="AI42" s="624" t="str">
        <f t="shared" si="14"/>
        <v/>
      </c>
      <c r="AJ42" s="624" t="str">
        <f t="shared" si="15"/>
        <v/>
      </c>
      <c r="AK42" s="624" t="str">
        <f t="shared" si="16"/>
        <v/>
      </c>
      <c r="AL42" s="624" t="str">
        <f t="shared" si="17"/>
        <v/>
      </c>
      <c r="AM42" s="624" t="str">
        <f t="shared" si="18"/>
        <v/>
      </c>
      <c r="AN42" s="624" t="str">
        <f t="shared" si="19"/>
        <v/>
      </c>
      <c r="AO42" s="624" t="str">
        <f t="shared" si="20"/>
        <v/>
      </c>
      <c r="AP42" s="624" t="str">
        <f t="shared" si="173"/>
        <v/>
      </c>
      <c r="AQ42" s="624" t="str">
        <f t="shared" si="174"/>
        <v/>
      </c>
      <c r="AR42" s="624" t="str">
        <f t="shared" si="175"/>
        <v/>
      </c>
      <c r="AS42" s="624" t="str">
        <f t="shared" si="176"/>
        <v/>
      </c>
      <c r="AT42" s="624" t="str">
        <f t="shared" si="177"/>
        <v/>
      </c>
      <c r="AU42" s="624" t="str">
        <f t="shared" si="178"/>
        <v/>
      </c>
      <c r="AV42" s="624" t="str">
        <f t="shared" si="179"/>
        <v/>
      </c>
      <c r="AW42" s="624" t="str">
        <f t="shared" si="180"/>
        <v/>
      </c>
      <c r="AX42" s="624" t="str">
        <f t="shared" si="181"/>
        <v/>
      </c>
      <c r="AY42" s="624" t="str">
        <f t="shared" si="182"/>
        <v/>
      </c>
      <c r="AZ42" s="624" t="str">
        <f t="shared" si="183"/>
        <v/>
      </c>
      <c r="BA42" s="624" t="str">
        <f t="shared" si="184"/>
        <v/>
      </c>
      <c r="BB42" s="624" t="str">
        <f t="shared" si="185"/>
        <v/>
      </c>
      <c r="BC42" s="624" t="str">
        <f t="shared" si="186"/>
        <v/>
      </c>
      <c r="BD42" s="624" t="str">
        <f t="shared" si="187"/>
        <v/>
      </c>
      <c r="BE42" s="624" t="str">
        <f t="shared" si="188"/>
        <v/>
      </c>
      <c r="BF42" s="624" t="str">
        <f t="shared" si="189"/>
        <v/>
      </c>
      <c r="BG42" s="624" t="str">
        <f t="shared" si="190"/>
        <v/>
      </c>
      <c r="BH42" s="624" t="str">
        <f t="shared" si="191"/>
        <v/>
      </c>
      <c r="BI42" s="624" t="str">
        <f t="shared" si="192"/>
        <v/>
      </c>
      <c r="BJ42" s="624" t="str">
        <f t="shared" si="193"/>
        <v/>
      </c>
      <c r="BK42" s="624" t="str">
        <f t="shared" si="194"/>
        <v/>
      </c>
      <c r="BL42" s="624" t="str">
        <f t="shared" si="195"/>
        <v/>
      </c>
      <c r="BM42" s="624" t="str">
        <f t="shared" si="196"/>
        <v/>
      </c>
      <c r="BN42" s="624" t="str">
        <f t="shared" si="197"/>
        <v/>
      </c>
      <c r="BO42" s="624" t="str">
        <f t="shared" si="198"/>
        <v/>
      </c>
      <c r="BP42" s="624" t="str">
        <f t="shared" si="199"/>
        <v/>
      </c>
      <c r="BQ42" s="624" t="str">
        <f t="shared" si="200"/>
        <v/>
      </c>
      <c r="BR42" s="624" t="str">
        <f t="shared" si="201"/>
        <v/>
      </c>
      <c r="BS42" s="624" t="str">
        <f t="shared" si="202"/>
        <v/>
      </c>
      <c r="BT42" s="624" t="str">
        <f t="shared" si="21"/>
        <v/>
      </c>
      <c r="BU42" s="624" t="str">
        <f t="shared" si="22"/>
        <v/>
      </c>
      <c r="BV42" s="624" t="str">
        <f t="shared" si="23"/>
        <v/>
      </c>
      <c r="BW42" s="624" t="str">
        <f t="shared" si="24"/>
        <v/>
      </c>
      <c r="BX42" s="624" t="str">
        <f t="shared" si="25"/>
        <v/>
      </c>
      <c r="BY42" s="624" t="str">
        <f t="shared" si="26"/>
        <v/>
      </c>
      <c r="BZ42" s="624" t="str">
        <f t="shared" si="27"/>
        <v/>
      </c>
      <c r="CA42" s="624" t="str">
        <f t="shared" si="28"/>
        <v/>
      </c>
      <c r="CB42" s="624" t="str">
        <f t="shared" si="29"/>
        <v/>
      </c>
      <c r="CC42" s="624" t="str">
        <f t="shared" si="30"/>
        <v/>
      </c>
      <c r="CD42" s="624" t="str">
        <f t="shared" si="31"/>
        <v/>
      </c>
      <c r="CE42" s="624" t="str">
        <f t="shared" si="32"/>
        <v/>
      </c>
      <c r="CF42" s="624" t="str">
        <f t="shared" si="33"/>
        <v/>
      </c>
      <c r="CG42" s="624" t="str">
        <f t="shared" si="34"/>
        <v/>
      </c>
      <c r="CH42" s="624" t="str">
        <f t="shared" si="35"/>
        <v/>
      </c>
      <c r="CI42" s="624" t="str">
        <f t="shared" si="36"/>
        <v/>
      </c>
      <c r="CJ42" s="624" t="str">
        <f t="shared" si="37"/>
        <v/>
      </c>
      <c r="CK42" s="624" t="str">
        <f t="shared" si="38"/>
        <v/>
      </c>
      <c r="CL42" s="624" t="str">
        <f t="shared" si="39"/>
        <v/>
      </c>
      <c r="CM42" s="624" t="str">
        <f t="shared" si="40"/>
        <v/>
      </c>
      <c r="CN42" s="624" t="str">
        <f t="shared" si="41"/>
        <v/>
      </c>
      <c r="CO42" s="624" t="str">
        <f t="shared" si="42"/>
        <v/>
      </c>
      <c r="CP42" s="624" t="str">
        <f t="shared" si="43"/>
        <v/>
      </c>
      <c r="CQ42" s="624" t="str">
        <f t="shared" si="44"/>
        <v/>
      </c>
      <c r="CR42" s="624" t="str">
        <f t="shared" si="45"/>
        <v/>
      </c>
      <c r="CS42" s="624" t="str">
        <f t="shared" si="46"/>
        <v/>
      </c>
      <c r="CT42" s="624" t="str">
        <f t="shared" si="47"/>
        <v/>
      </c>
      <c r="CU42" s="624" t="str">
        <f t="shared" si="48"/>
        <v/>
      </c>
      <c r="CV42" s="624" t="str">
        <f t="shared" si="49"/>
        <v/>
      </c>
      <c r="CW42" s="624" t="str">
        <f t="shared" si="50"/>
        <v/>
      </c>
      <c r="CX42" s="624" t="str">
        <f t="shared" si="51"/>
        <v/>
      </c>
      <c r="CY42" s="624" t="str">
        <f t="shared" si="52"/>
        <v/>
      </c>
      <c r="CZ42" s="624" t="str">
        <f t="shared" si="53"/>
        <v/>
      </c>
      <c r="DA42" s="624" t="str">
        <f t="shared" si="54"/>
        <v/>
      </c>
      <c r="DB42" s="624" t="str">
        <f t="shared" si="55"/>
        <v/>
      </c>
      <c r="DC42" s="624" t="str">
        <f t="shared" si="56"/>
        <v/>
      </c>
      <c r="DD42" s="624" t="str">
        <f t="shared" si="57"/>
        <v/>
      </c>
      <c r="DE42" s="624" t="str">
        <f t="shared" si="58"/>
        <v/>
      </c>
      <c r="DF42" s="624" t="str">
        <f t="shared" si="59"/>
        <v/>
      </c>
      <c r="DG42" s="624" t="str">
        <f t="shared" si="60"/>
        <v/>
      </c>
      <c r="DH42" s="624" t="str">
        <f t="shared" si="61"/>
        <v/>
      </c>
      <c r="DI42" s="624" t="str">
        <f t="shared" si="62"/>
        <v/>
      </c>
      <c r="DJ42" s="624" t="str">
        <f t="shared" si="63"/>
        <v/>
      </c>
      <c r="DK42" s="624" t="str">
        <f t="shared" si="64"/>
        <v/>
      </c>
      <c r="DL42" s="624" t="str">
        <f t="shared" si="65"/>
        <v/>
      </c>
      <c r="DM42" s="624" t="str">
        <f t="shared" si="66"/>
        <v/>
      </c>
      <c r="DN42" s="624" t="str">
        <f t="shared" si="67"/>
        <v/>
      </c>
      <c r="DO42" s="624" t="str">
        <f t="shared" si="68"/>
        <v/>
      </c>
      <c r="DP42" s="624" t="str">
        <f t="shared" si="69"/>
        <v/>
      </c>
      <c r="DQ42" s="624" t="str">
        <f t="shared" si="70"/>
        <v/>
      </c>
      <c r="DR42" s="624" t="str">
        <f t="shared" si="71"/>
        <v/>
      </c>
      <c r="DS42" s="624" t="str">
        <f t="shared" si="72"/>
        <v/>
      </c>
      <c r="DT42" s="624" t="str">
        <f t="shared" si="73"/>
        <v/>
      </c>
      <c r="DU42" s="624" t="str">
        <f t="shared" si="74"/>
        <v/>
      </c>
      <c r="DV42" s="624" t="str">
        <f t="shared" si="75"/>
        <v/>
      </c>
      <c r="DW42" s="624" t="str">
        <f t="shared" si="76"/>
        <v/>
      </c>
      <c r="DX42" s="624" t="str">
        <f t="shared" si="77"/>
        <v/>
      </c>
      <c r="DY42" s="624" t="str">
        <f t="shared" si="78"/>
        <v/>
      </c>
      <c r="DZ42" s="624" t="str">
        <f t="shared" si="79"/>
        <v/>
      </c>
      <c r="EA42" s="624" t="str">
        <f t="shared" si="80"/>
        <v/>
      </c>
      <c r="EB42" s="624" t="str">
        <f t="shared" si="81"/>
        <v/>
      </c>
      <c r="EC42" s="624" t="str">
        <f t="shared" si="82"/>
        <v/>
      </c>
      <c r="ED42" s="624" t="str">
        <f t="shared" si="83"/>
        <v/>
      </c>
      <c r="EE42" s="624" t="str">
        <f t="shared" si="84"/>
        <v/>
      </c>
      <c r="EF42" s="624" t="str">
        <f t="shared" si="85"/>
        <v/>
      </c>
      <c r="EG42" s="624" t="str">
        <f t="shared" si="86"/>
        <v/>
      </c>
      <c r="EH42" s="624" t="str">
        <f t="shared" si="87"/>
        <v/>
      </c>
      <c r="EI42" s="624" t="str">
        <f t="shared" si="88"/>
        <v/>
      </c>
      <c r="EJ42" s="624" t="str">
        <f t="shared" si="89"/>
        <v/>
      </c>
      <c r="EK42" s="624" t="str">
        <f t="shared" si="90"/>
        <v/>
      </c>
      <c r="EL42" s="624" t="str">
        <f t="shared" si="91"/>
        <v/>
      </c>
      <c r="EM42" s="624" t="str">
        <f t="shared" si="92"/>
        <v/>
      </c>
      <c r="EN42" s="624" t="str">
        <f t="shared" si="93"/>
        <v/>
      </c>
      <c r="EO42" s="624" t="str">
        <f t="shared" si="94"/>
        <v/>
      </c>
      <c r="EP42" s="624" t="str">
        <f t="shared" si="95"/>
        <v/>
      </c>
      <c r="EQ42" s="624" t="str">
        <f t="shared" si="96"/>
        <v/>
      </c>
      <c r="ER42" s="624" t="str">
        <f t="shared" si="97"/>
        <v/>
      </c>
      <c r="ES42" s="624" t="str">
        <f t="shared" si="98"/>
        <v/>
      </c>
      <c r="ET42" s="624" t="str">
        <f t="shared" si="99"/>
        <v/>
      </c>
      <c r="EU42" s="624" t="str">
        <f t="shared" si="100"/>
        <v/>
      </c>
      <c r="EV42" s="636" t="str">
        <f t="shared" si="101"/>
        <v/>
      </c>
      <c r="EW42" s="636" t="str">
        <f t="shared" si="102"/>
        <v/>
      </c>
      <c r="EX42" s="636" t="str">
        <f t="shared" si="103"/>
        <v/>
      </c>
      <c r="EY42" s="636" t="str">
        <f t="shared" si="104"/>
        <v/>
      </c>
      <c r="EZ42" s="636" t="str">
        <f t="shared" si="105"/>
        <v/>
      </c>
      <c r="FA42" s="636" t="str">
        <f t="shared" si="106"/>
        <v/>
      </c>
      <c r="FB42" s="636" t="str">
        <f t="shared" si="107"/>
        <v/>
      </c>
      <c r="FC42" s="636" t="str">
        <f t="shared" si="108"/>
        <v/>
      </c>
      <c r="FD42" s="636" t="str">
        <f t="shared" si="109"/>
        <v/>
      </c>
      <c r="FE42" s="636" t="str">
        <f t="shared" si="110"/>
        <v/>
      </c>
      <c r="FF42" s="636" t="str">
        <f t="shared" si="111"/>
        <v/>
      </c>
      <c r="FG42" s="636" t="str">
        <f t="shared" si="112"/>
        <v/>
      </c>
      <c r="FH42" s="636" t="str">
        <f t="shared" si="113"/>
        <v/>
      </c>
      <c r="FI42" s="636" t="str">
        <f t="shared" si="114"/>
        <v/>
      </c>
      <c r="FJ42" s="636" t="str">
        <f t="shared" si="115"/>
        <v/>
      </c>
      <c r="FK42" s="636" t="str">
        <f t="shared" si="116"/>
        <v/>
      </c>
      <c r="FL42" s="636" t="str">
        <f t="shared" si="117"/>
        <v/>
      </c>
      <c r="FM42" s="636" t="str">
        <f t="shared" si="118"/>
        <v/>
      </c>
      <c r="FN42" s="636" t="str">
        <f t="shared" si="119"/>
        <v/>
      </c>
      <c r="FO42" s="636" t="str">
        <f t="shared" si="120"/>
        <v/>
      </c>
      <c r="FP42" s="636" t="str">
        <f t="shared" si="121"/>
        <v/>
      </c>
      <c r="FQ42" s="636" t="str">
        <f t="shared" si="122"/>
        <v/>
      </c>
      <c r="FR42" s="636" t="str">
        <f t="shared" si="123"/>
        <v/>
      </c>
      <c r="FS42" s="636" t="str">
        <f t="shared" si="124"/>
        <v/>
      </c>
      <c r="FT42" s="636" t="str">
        <f t="shared" si="125"/>
        <v/>
      </c>
      <c r="FU42" s="636" t="str">
        <f t="shared" si="126"/>
        <v/>
      </c>
      <c r="FV42" s="636" t="str">
        <f t="shared" si="127"/>
        <v/>
      </c>
      <c r="FW42" s="636" t="str">
        <f t="shared" si="128"/>
        <v/>
      </c>
      <c r="FX42" s="636" t="str">
        <f t="shared" si="129"/>
        <v/>
      </c>
      <c r="FY42" s="636" t="str">
        <f t="shared" si="130"/>
        <v/>
      </c>
      <c r="FZ42" s="636" t="str">
        <f t="shared" si="131"/>
        <v/>
      </c>
      <c r="GA42" s="636" t="str">
        <f t="shared" si="132"/>
        <v/>
      </c>
      <c r="GB42" s="636" t="str">
        <f t="shared" si="133"/>
        <v/>
      </c>
      <c r="GC42" s="636" t="str">
        <f t="shared" si="134"/>
        <v/>
      </c>
      <c r="GD42" s="636" t="str">
        <f t="shared" si="135"/>
        <v/>
      </c>
      <c r="GE42" s="636" t="str">
        <f t="shared" si="136"/>
        <v/>
      </c>
      <c r="GF42" s="636" t="str">
        <f t="shared" si="137"/>
        <v/>
      </c>
      <c r="GG42" s="636" t="str">
        <f t="shared" si="138"/>
        <v/>
      </c>
      <c r="GH42" s="636" t="str">
        <f t="shared" si="139"/>
        <v/>
      </c>
      <c r="GI42" s="636" t="str">
        <f t="shared" si="140"/>
        <v/>
      </c>
      <c r="GJ42" s="636" t="str">
        <f t="shared" si="141"/>
        <v/>
      </c>
      <c r="GK42" s="636" t="str">
        <f t="shared" si="142"/>
        <v/>
      </c>
      <c r="GL42" s="636" t="str">
        <f t="shared" si="143"/>
        <v/>
      </c>
      <c r="GM42" s="636" t="str">
        <f t="shared" si="144"/>
        <v/>
      </c>
      <c r="GN42" s="636" t="str">
        <f t="shared" si="145"/>
        <v/>
      </c>
      <c r="GO42" s="637" t="str">
        <f t="shared" si="146"/>
        <v/>
      </c>
      <c r="GP42" s="637" t="str">
        <f t="shared" si="147"/>
        <v/>
      </c>
      <c r="GQ42" s="637" t="str">
        <f t="shared" si="148"/>
        <v/>
      </c>
      <c r="GR42" s="637" t="str">
        <f t="shared" si="149"/>
        <v/>
      </c>
      <c r="GS42" s="637" t="str">
        <f t="shared" si="150"/>
        <v/>
      </c>
      <c r="GT42" s="624" t="str">
        <f t="shared" si="151"/>
        <v/>
      </c>
      <c r="GU42" s="624" t="str">
        <f t="shared" si="152"/>
        <v/>
      </c>
      <c r="GV42" s="624" t="str">
        <f t="shared" si="153"/>
        <v/>
      </c>
      <c r="GW42" s="624" t="str">
        <f t="shared" si="154"/>
        <v/>
      </c>
      <c r="GX42" s="624" t="str">
        <f t="shared" si="155"/>
        <v/>
      </c>
      <c r="GY42" s="624" t="str">
        <f t="shared" si="156"/>
        <v/>
      </c>
      <c r="GZ42" s="624" t="str">
        <f t="shared" si="157"/>
        <v/>
      </c>
      <c r="HA42" s="624" t="str">
        <f t="shared" si="158"/>
        <v/>
      </c>
      <c r="HB42" s="624" t="str">
        <f t="shared" si="159"/>
        <v/>
      </c>
      <c r="HC42" s="624" t="str">
        <f t="shared" si="160"/>
        <v/>
      </c>
      <c r="HD42" s="624" t="str">
        <f t="shared" si="161"/>
        <v/>
      </c>
      <c r="HE42" s="624" t="str">
        <f t="shared" si="162"/>
        <v/>
      </c>
      <c r="HF42" s="624" t="str">
        <f t="shared" si="163"/>
        <v/>
      </c>
      <c r="HG42" s="624" t="str">
        <f t="shared" si="164"/>
        <v/>
      </c>
      <c r="HH42" s="624" t="str">
        <f t="shared" si="165"/>
        <v/>
      </c>
      <c r="HI42" s="624" t="str">
        <f t="shared" si="166"/>
        <v/>
      </c>
      <c r="HJ42" s="624" t="str">
        <f t="shared" si="167"/>
        <v/>
      </c>
      <c r="HK42" s="624" t="str">
        <f t="shared" si="168"/>
        <v/>
      </c>
      <c r="HL42" s="624" t="str">
        <f t="shared" si="169"/>
        <v/>
      </c>
      <c r="HM42" s="624" t="str">
        <f t="shared" si="170"/>
        <v/>
      </c>
    </row>
    <row r="43" spans="1:221" ht="13.15" customHeight="1">
      <c r="A43" s="130" t="str">
        <f t="shared" si="171"/>
        <v/>
      </c>
      <c r="B43" s="1553" t="s">
        <v>2466</v>
      </c>
      <c r="C43" s="1554"/>
      <c r="D43" s="1555"/>
      <c r="E43" s="1556"/>
      <c r="F43" s="1556"/>
      <c r="G43" s="1556"/>
      <c r="H43" s="1556"/>
      <c r="I43" s="1556"/>
      <c r="J43" s="1557"/>
      <c r="K43" s="205">
        <f t="shared" si="205"/>
        <v>0</v>
      </c>
      <c r="L43" s="205">
        <f t="shared" si="0"/>
        <v>0</v>
      </c>
      <c r="M43" s="1558"/>
      <c r="N43" s="1558"/>
      <c r="O43" s="1558"/>
      <c r="P43" s="559" t="str">
        <f t="shared" si="203"/>
        <v/>
      </c>
      <c r="Q43" s="560" t="str">
        <f>IF(H43="","",P43/($P$6*VLOOKUP(C43,'DCA Underwriting Assumptions'!$J$81:$K$86,2,FALSE)))</f>
        <v/>
      </c>
      <c r="R43" s="667"/>
      <c r="S43" s="560"/>
      <c r="T43" s="1497"/>
      <c r="U43" s="1498"/>
      <c r="V43" s="624" t="str">
        <f t="shared" si="1"/>
        <v/>
      </c>
      <c r="W43" s="624" t="str">
        <f t="shared" si="2"/>
        <v/>
      </c>
      <c r="X43" s="624" t="str">
        <f t="shared" si="3"/>
        <v/>
      </c>
      <c r="Y43" s="624" t="str">
        <f t="shared" si="4"/>
        <v/>
      </c>
      <c r="Z43" s="624" t="str">
        <f t="shared" si="5"/>
        <v/>
      </c>
      <c r="AA43" s="624" t="str">
        <f t="shared" si="6"/>
        <v/>
      </c>
      <c r="AB43" s="624" t="str">
        <f t="shared" si="7"/>
        <v/>
      </c>
      <c r="AC43" s="624" t="str">
        <f t="shared" si="8"/>
        <v/>
      </c>
      <c r="AD43" s="624" t="str">
        <f t="shared" si="9"/>
        <v/>
      </c>
      <c r="AE43" s="624" t="str">
        <f t="shared" si="10"/>
        <v/>
      </c>
      <c r="AF43" s="624" t="str">
        <f t="shared" si="11"/>
        <v/>
      </c>
      <c r="AG43" s="624" t="str">
        <f t="shared" si="12"/>
        <v/>
      </c>
      <c r="AH43" s="624" t="str">
        <f t="shared" si="13"/>
        <v/>
      </c>
      <c r="AI43" s="624" t="str">
        <f t="shared" si="14"/>
        <v/>
      </c>
      <c r="AJ43" s="624" t="str">
        <f t="shared" si="15"/>
        <v/>
      </c>
      <c r="AK43" s="624" t="str">
        <f t="shared" si="16"/>
        <v/>
      </c>
      <c r="AL43" s="624" t="str">
        <f t="shared" si="17"/>
        <v/>
      </c>
      <c r="AM43" s="624" t="str">
        <f t="shared" si="18"/>
        <v/>
      </c>
      <c r="AN43" s="624" t="str">
        <f t="shared" si="19"/>
        <v/>
      </c>
      <c r="AO43" s="624" t="str">
        <f t="shared" si="20"/>
        <v/>
      </c>
      <c r="AP43" s="624" t="str">
        <f t="shared" si="173"/>
        <v/>
      </c>
      <c r="AQ43" s="624" t="str">
        <f t="shared" si="174"/>
        <v/>
      </c>
      <c r="AR43" s="624" t="str">
        <f t="shared" si="175"/>
        <v/>
      </c>
      <c r="AS43" s="624" t="str">
        <f t="shared" si="176"/>
        <v/>
      </c>
      <c r="AT43" s="624" t="str">
        <f t="shared" si="177"/>
        <v/>
      </c>
      <c r="AU43" s="624" t="str">
        <f t="shared" si="178"/>
        <v/>
      </c>
      <c r="AV43" s="624" t="str">
        <f t="shared" si="179"/>
        <v/>
      </c>
      <c r="AW43" s="624" t="str">
        <f t="shared" si="180"/>
        <v/>
      </c>
      <c r="AX43" s="624" t="str">
        <f t="shared" si="181"/>
        <v/>
      </c>
      <c r="AY43" s="624" t="str">
        <f t="shared" si="182"/>
        <v/>
      </c>
      <c r="AZ43" s="624" t="str">
        <f t="shared" si="183"/>
        <v/>
      </c>
      <c r="BA43" s="624" t="str">
        <f t="shared" si="184"/>
        <v/>
      </c>
      <c r="BB43" s="624" t="str">
        <f t="shared" si="185"/>
        <v/>
      </c>
      <c r="BC43" s="624" t="str">
        <f t="shared" si="186"/>
        <v/>
      </c>
      <c r="BD43" s="624" t="str">
        <f t="shared" si="187"/>
        <v/>
      </c>
      <c r="BE43" s="624" t="str">
        <f t="shared" si="188"/>
        <v/>
      </c>
      <c r="BF43" s="624" t="str">
        <f t="shared" si="189"/>
        <v/>
      </c>
      <c r="BG43" s="624" t="str">
        <f t="shared" si="190"/>
        <v/>
      </c>
      <c r="BH43" s="624" t="str">
        <f t="shared" si="191"/>
        <v/>
      </c>
      <c r="BI43" s="624" t="str">
        <f t="shared" si="192"/>
        <v/>
      </c>
      <c r="BJ43" s="624" t="str">
        <f t="shared" si="193"/>
        <v/>
      </c>
      <c r="BK43" s="624" t="str">
        <f t="shared" si="194"/>
        <v/>
      </c>
      <c r="BL43" s="624" t="str">
        <f t="shared" si="195"/>
        <v/>
      </c>
      <c r="BM43" s="624" t="str">
        <f t="shared" si="196"/>
        <v/>
      </c>
      <c r="BN43" s="624" t="str">
        <f t="shared" si="197"/>
        <v/>
      </c>
      <c r="BO43" s="624" t="str">
        <f t="shared" si="198"/>
        <v/>
      </c>
      <c r="BP43" s="624" t="str">
        <f t="shared" si="199"/>
        <v/>
      </c>
      <c r="BQ43" s="624" t="str">
        <f t="shared" si="200"/>
        <v/>
      </c>
      <c r="BR43" s="624" t="str">
        <f t="shared" si="201"/>
        <v/>
      </c>
      <c r="BS43" s="624" t="str">
        <f t="shared" si="202"/>
        <v/>
      </c>
      <c r="BT43" s="624" t="str">
        <f t="shared" si="21"/>
        <v/>
      </c>
      <c r="BU43" s="624" t="str">
        <f t="shared" si="22"/>
        <v/>
      </c>
      <c r="BV43" s="624" t="str">
        <f t="shared" si="23"/>
        <v/>
      </c>
      <c r="BW43" s="624" t="str">
        <f t="shared" si="24"/>
        <v/>
      </c>
      <c r="BX43" s="624" t="str">
        <f t="shared" si="25"/>
        <v/>
      </c>
      <c r="BY43" s="624" t="str">
        <f t="shared" si="26"/>
        <v/>
      </c>
      <c r="BZ43" s="624" t="str">
        <f t="shared" si="27"/>
        <v/>
      </c>
      <c r="CA43" s="624" t="str">
        <f t="shared" si="28"/>
        <v/>
      </c>
      <c r="CB43" s="624" t="str">
        <f t="shared" si="29"/>
        <v/>
      </c>
      <c r="CC43" s="624" t="str">
        <f t="shared" si="30"/>
        <v/>
      </c>
      <c r="CD43" s="624" t="str">
        <f t="shared" si="31"/>
        <v/>
      </c>
      <c r="CE43" s="624" t="str">
        <f t="shared" si="32"/>
        <v/>
      </c>
      <c r="CF43" s="624" t="str">
        <f t="shared" si="33"/>
        <v/>
      </c>
      <c r="CG43" s="624" t="str">
        <f t="shared" si="34"/>
        <v/>
      </c>
      <c r="CH43" s="624" t="str">
        <f t="shared" si="35"/>
        <v/>
      </c>
      <c r="CI43" s="624" t="str">
        <f t="shared" si="36"/>
        <v/>
      </c>
      <c r="CJ43" s="624" t="str">
        <f t="shared" si="37"/>
        <v/>
      </c>
      <c r="CK43" s="624" t="str">
        <f t="shared" si="38"/>
        <v/>
      </c>
      <c r="CL43" s="624" t="str">
        <f t="shared" si="39"/>
        <v/>
      </c>
      <c r="CM43" s="624" t="str">
        <f t="shared" si="40"/>
        <v/>
      </c>
      <c r="CN43" s="624" t="str">
        <f t="shared" si="41"/>
        <v/>
      </c>
      <c r="CO43" s="624" t="str">
        <f t="shared" si="42"/>
        <v/>
      </c>
      <c r="CP43" s="624" t="str">
        <f t="shared" si="43"/>
        <v/>
      </c>
      <c r="CQ43" s="624" t="str">
        <f t="shared" si="44"/>
        <v/>
      </c>
      <c r="CR43" s="624" t="str">
        <f t="shared" si="45"/>
        <v/>
      </c>
      <c r="CS43" s="624" t="str">
        <f t="shared" si="46"/>
        <v/>
      </c>
      <c r="CT43" s="624" t="str">
        <f t="shared" si="47"/>
        <v/>
      </c>
      <c r="CU43" s="624" t="str">
        <f t="shared" si="48"/>
        <v/>
      </c>
      <c r="CV43" s="624" t="str">
        <f t="shared" si="49"/>
        <v/>
      </c>
      <c r="CW43" s="624" t="str">
        <f t="shared" si="50"/>
        <v/>
      </c>
      <c r="CX43" s="624" t="str">
        <f t="shared" si="51"/>
        <v/>
      </c>
      <c r="CY43" s="624" t="str">
        <f t="shared" si="52"/>
        <v/>
      </c>
      <c r="CZ43" s="624" t="str">
        <f t="shared" si="53"/>
        <v/>
      </c>
      <c r="DA43" s="624" t="str">
        <f t="shared" si="54"/>
        <v/>
      </c>
      <c r="DB43" s="624" t="str">
        <f t="shared" si="55"/>
        <v/>
      </c>
      <c r="DC43" s="624" t="str">
        <f t="shared" si="56"/>
        <v/>
      </c>
      <c r="DD43" s="624" t="str">
        <f t="shared" si="57"/>
        <v/>
      </c>
      <c r="DE43" s="624" t="str">
        <f t="shared" si="58"/>
        <v/>
      </c>
      <c r="DF43" s="624" t="str">
        <f t="shared" si="59"/>
        <v/>
      </c>
      <c r="DG43" s="624" t="str">
        <f t="shared" si="60"/>
        <v/>
      </c>
      <c r="DH43" s="624" t="str">
        <f t="shared" si="61"/>
        <v/>
      </c>
      <c r="DI43" s="624" t="str">
        <f t="shared" si="62"/>
        <v/>
      </c>
      <c r="DJ43" s="624" t="str">
        <f t="shared" si="63"/>
        <v/>
      </c>
      <c r="DK43" s="624" t="str">
        <f t="shared" si="64"/>
        <v/>
      </c>
      <c r="DL43" s="624" t="str">
        <f t="shared" si="65"/>
        <v/>
      </c>
      <c r="DM43" s="624" t="str">
        <f t="shared" si="66"/>
        <v/>
      </c>
      <c r="DN43" s="624" t="str">
        <f t="shared" si="67"/>
        <v/>
      </c>
      <c r="DO43" s="624" t="str">
        <f t="shared" si="68"/>
        <v/>
      </c>
      <c r="DP43" s="624" t="str">
        <f t="shared" si="69"/>
        <v/>
      </c>
      <c r="DQ43" s="624" t="str">
        <f t="shared" si="70"/>
        <v/>
      </c>
      <c r="DR43" s="624" t="str">
        <f t="shared" si="71"/>
        <v/>
      </c>
      <c r="DS43" s="624" t="str">
        <f t="shared" si="72"/>
        <v/>
      </c>
      <c r="DT43" s="624" t="str">
        <f t="shared" si="73"/>
        <v/>
      </c>
      <c r="DU43" s="624" t="str">
        <f t="shared" si="74"/>
        <v/>
      </c>
      <c r="DV43" s="624" t="str">
        <f t="shared" si="75"/>
        <v/>
      </c>
      <c r="DW43" s="624" t="str">
        <f t="shared" si="76"/>
        <v/>
      </c>
      <c r="DX43" s="624" t="str">
        <f t="shared" si="77"/>
        <v/>
      </c>
      <c r="DY43" s="624" t="str">
        <f t="shared" si="78"/>
        <v/>
      </c>
      <c r="DZ43" s="624" t="str">
        <f t="shared" si="79"/>
        <v/>
      </c>
      <c r="EA43" s="624" t="str">
        <f t="shared" si="80"/>
        <v/>
      </c>
      <c r="EB43" s="624" t="str">
        <f t="shared" si="81"/>
        <v/>
      </c>
      <c r="EC43" s="624" t="str">
        <f t="shared" si="82"/>
        <v/>
      </c>
      <c r="ED43" s="624" t="str">
        <f t="shared" si="83"/>
        <v/>
      </c>
      <c r="EE43" s="624" t="str">
        <f t="shared" si="84"/>
        <v/>
      </c>
      <c r="EF43" s="624" t="str">
        <f t="shared" si="85"/>
        <v/>
      </c>
      <c r="EG43" s="624" t="str">
        <f t="shared" si="86"/>
        <v/>
      </c>
      <c r="EH43" s="624" t="str">
        <f t="shared" si="87"/>
        <v/>
      </c>
      <c r="EI43" s="624" t="str">
        <f t="shared" si="88"/>
        <v/>
      </c>
      <c r="EJ43" s="624" t="str">
        <f t="shared" si="89"/>
        <v/>
      </c>
      <c r="EK43" s="624" t="str">
        <f t="shared" si="90"/>
        <v/>
      </c>
      <c r="EL43" s="624" t="str">
        <f t="shared" si="91"/>
        <v/>
      </c>
      <c r="EM43" s="624" t="str">
        <f t="shared" si="92"/>
        <v/>
      </c>
      <c r="EN43" s="624" t="str">
        <f t="shared" si="93"/>
        <v/>
      </c>
      <c r="EO43" s="624" t="str">
        <f t="shared" si="94"/>
        <v/>
      </c>
      <c r="EP43" s="624" t="str">
        <f t="shared" si="95"/>
        <v/>
      </c>
      <c r="EQ43" s="624" t="str">
        <f t="shared" si="96"/>
        <v/>
      </c>
      <c r="ER43" s="624" t="str">
        <f t="shared" si="97"/>
        <v/>
      </c>
      <c r="ES43" s="624" t="str">
        <f t="shared" si="98"/>
        <v/>
      </c>
      <c r="ET43" s="624" t="str">
        <f t="shared" si="99"/>
        <v/>
      </c>
      <c r="EU43" s="624" t="str">
        <f t="shared" si="100"/>
        <v/>
      </c>
      <c r="EV43" s="636" t="str">
        <f t="shared" si="101"/>
        <v/>
      </c>
      <c r="EW43" s="636" t="str">
        <f t="shared" si="102"/>
        <v/>
      </c>
      <c r="EX43" s="636" t="str">
        <f t="shared" si="103"/>
        <v/>
      </c>
      <c r="EY43" s="636" t="str">
        <f t="shared" si="104"/>
        <v/>
      </c>
      <c r="EZ43" s="636" t="str">
        <f t="shared" si="105"/>
        <v/>
      </c>
      <c r="FA43" s="636" t="str">
        <f t="shared" si="106"/>
        <v/>
      </c>
      <c r="FB43" s="636" t="str">
        <f t="shared" si="107"/>
        <v/>
      </c>
      <c r="FC43" s="636" t="str">
        <f t="shared" si="108"/>
        <v/>
      </c>
      <c r="FD43" s="636" t="str">
        <f t="shared" si="109"/>
        <v/>
      </c>
      <c r="FE43" s="636" t="str">
        <f t="shared" si="110"/>
        <v/>
      </c>
      <c r="FF43" s="636" t="str">
        <f t="shared" si="111"/>
        <v/>
      </c>
      <c r="FG43" s="636" t="str">
        <f t="shared" si="112"/>
        <v/>
      </c>
      <c r="FH43" s="636" t="str">
        <f t="shared" si="113"/>
        <v/>
      </c>
      <c r="FI43" s="636" t="str">
        <f t="shared" si="114"/>
        <v/>
      </c>
      <c r="FJ43" s="636" t="str">
        <f t="shared" si="115"/>
        <v/>
      </c>
      <c r="FK43" s="636" t="str">
        <f t="shared" si="116"/>
        <v/>
      </c>
      <c r="FL43" s="636" t="str">
        <f t="shared" si="117"/>
        <v/>
      </c>
      <c r="FM43" s="636" t="str">
        <f t="shared" si="118"/>
        <v/>
      </c>
      <c r="FN43" s="636" t="str">
        <f t="shared" si="119"/>
        <v/>
      </c>
      <c r="FO43" s="636" t="str">
        <f t="shared" si="120"/>
        <v/>
      </c>
      <c r="FP43" s="636" t="str">
        <f t="shared" si="121"/>
        <v/>
      </c>
      <c r="FQ43" s="636" t="str">
        <f t="shared" si="122"/>
        <v/>
      </c>
      <c r="FR43" s="636" t="str">
        <f t="shared" si="123"/>
        <v/>
      </c>
      <c r="FS43" s="636" t="str">
        <f t="shared" si="124"/>
        <v/>
      </c>
      <c r="FT43" s="636" t="str">
        <f t="shared" si="125"/>
        <v/>
      </c>
      <c r="FU43" s="636" t="str">
        <f t="shared" si="126"/>
        <v/>
      </c>
      <c r="FV43" s="636" t="str">
        <f t="shared" si="127"/>
        <v/>
      </c>
      <c r="FW43" s="636" t="str">
        <f t="shared" si="128"/>
        <v/>
      </c>
      <c r="FX43" s="636" t="str">
        <f t="shared" si="129"/>
        <v/>
      </c>
      <c r="FY43" s="636" t="str">
        <f t="shared" si="130"/>
        <v/>
      </c>
      <c r="FZ43" s="636" t="str">
        <f t="shared" si="131"/>
        <v/>
      </c>
      <c r="GA43" s="636" t="str">
        <f t="shared" si="132"/>
        <v/>
      </c>
      <c r="GB43" s="636" t="str">
        <f t="shared" si="133"/>
        <v/>
      </c>
      <c r="GC43" s="636" t="str">
        <f t="shared" si="134"/>
        <v/>
      </c>
      <c r="GD43" s="636" t="str">
        <f t="shared" si="135"/>
        <v/>
      </c>
      <c r="GE43" s="636" t="str">
        <f t="shared" si="136"/>
        <v/>
      </c>
      <c r="GF43" s="636" t="str">
        <f t="shared" si="137"/>
        <v/>
      </c>
      <c r="GG43" s="636" t="str">
        <f t="shared" si="138"/>
        <v/>
      </c>
      <c r="GH43" s="636" t="str">
        <f t="shared" si="139"/>
        <v/>
      </c>
      <c r="GI43" s="636" t="str">
        <f t="shared" si="140"/>
        <v/>
      </c>
      <c r="GJ43" s="636" t="str">
        <f t="shared" si="141"/>
        <v/>
      </c>
      <c r="GK43" s="636" t="str">
        <f t="shared" si="142"/>
        <v/>
      </c>
      <c r="GL43" s="636" t="str">
        <f t="shared" si="143"/>
        <v/>
      </c>
      <c r="GM43" s="636" t="str">
        <f t="shared" si="144"/>
        <v/>
      </c>
      <c r="GN43" s="636" t="str">
        <f t="shared" si="145"/>
        <v/>
      </c>
      <c r="GO43" s="637" t="str">
        <f t="shared" si="146"/>
        <v/>
      </c>
      <c r="GP43" s="637" t="str">
        <f t="shared" si="147"/>
        <v/>
      </c>
      <c r="GQ43" s="637" t="str">
        <f t="shared" si="148"/>
        <v/>
      </c>
      <c r="GR43" s="637" t="str">
        <f t="shared" si="149"/>
        <v/>
      </c>
      <c r="GS43" s="637" t="str">
        <f t="shared" si="150"/>
        <v/>
      </c>
      <c r="GT43" s="624" t="str">
        <f t="shared" si="151"/>
        <v/>
      </c>
      <c r="GU43" s="624" t="str">
        <f t="shared" si="152"/>
        <v/>
      </c>
      <c r="GV43" s="624" t="str">
        <f t="shared" si="153"/>
        <v/>
      </c>
      <c r="GW43" s="624" t="str">
        <f t="shared" si="154"/>
        <v/>
      </c>
      <c r="GX43" s="624" t="str">
        <f t="shared" si="155"/>
        <v/>
      </c>
      <c r="GY43" s="624" t="str">
        <f t="shared" si="156"/>
        <v/>
      </c>
      <c r="GZ43" s="624" t="str">
        <f t="shared" si="157"/>
        <v/>
      </c>
      <c r="HA43" s="624" t="str">
        <f t="shared" si="158"/>
        <v/>
      </c>
      <c r="HB43" s="624" t="str">
        <f t="shared" si="159"/>
        <v/>
      </c>
      <c r="HC43" s="624" t="str">
        <f t="shared" si="160"/>
        <v/>
      </c>
      <c r="HD43" s="624" t="str">
        <f t="shared" si="161"/>
        <v/>
      </c>
      <c r="HE43" s="624" t="str">
        <f t="shared" si="162"/>
        <v/>
      </c>
      <c r="HF43" s="624" t="str">
        <f t="shared" si="163"/>
        <v/>
      </c>
      <c r="HG43" s="624" t="str">
        <f t="shared" si="164"/>
        <v/>
      </c>
      <c r="HH43" s="624" t="str">
        <f t="shared" si="165"/>
        <v/>
      </c>
      <c r="HI43" s="624" t="str">
        <f t="shared" si="166"/>
        <v/>
      </c>
      <c r="HJ43" s="624" t="str">
        <f t="shared" si="167"/>
        <v/>
      </c>
      <c r="HK43" s="624" t="str">
        <f t="shared" si="168"/>
        <v/>
      </c>
      <c r="HL43" s="624" t="str">
        <f t="shared" si="169"/>
        <v/>
      </c>
      <c r="HM43" s="624" t="str">
        <f t="shared" si="170"/>
        <v/>
      </c>
    </row>
    <row r="44" spans="1:221" ht="13.15" customHeight="1">
      <c r="A44" s="130" t="str">
        <f t="shared" si="171"/>
        <v/>
      </c>
      <c r="B44" s="1553" t="s">
        <v>2466</v>
      </c>
      <c r="C44" s="1554"/>
      <c r="D44" s="1555"/>
      <c r="E44" s="1556"/>
      <c r="F44" s="1556"/>
      <c r="G44" s="1556"/>
      <c r="H44" s="1556"/>
      <c r="I44" s="1556"/>
      <c r="J44" s="1557"/>
      <c r="K44" s="205">
        <f t="shared" si="205"/>
        <v>0</v>
      </c>
      <c r="L44" s="205">
        <f t="shared" si="0"/>
        <v>0</v>
      </c>
      <c r="M44" s="1558"/>
      <c r="N44" s="1558"/>
      <c r="O44" s="1558"/>
      <c r="P44" s="559" t="str">
        <f t="shared" si="203"/>
        <v/>
      </c>
      <c r="Q44" s="560" t="str">
        <f>IF(H44="","",P44/($P$6*VLOOKUP(C44,'DCA Underwriting Assumptions'!$J$81:$K$86,2,FALSE)))</f>
        <v/>
      </c>
      <c r="R44" s="667"/>
      <c r="S44" s="560"/>
      <c r="T44" s="1497"/>
      <c r="U44" s="1498"/>
      <c r="V44" s="624" t="str">
        <f t="shared" si="1"/>
        <v/>
      </c>
      <c r="W44" s="624" t="str">
        <f t="shared" si="2"/>
        <v/>
      </c>
      <c r="X44" s="624" t="str">
        <f t="shared" si="3"/>
        <v/>
      </c>
      <c r="Y44" s="624" t="str">
        <f t="shared" si="4"/>
        <v/>
      </c>
      <c r="Z44" s="624" t="str">
        <f t="shared" si="5"/>
        <v/>
      </c>
      <c r="AA44" s="624" t="str">
        <f t="shared" si="6"/>
        <v/>
      </c>
      <c r="AB44" s="624" t="str">
        <f t="shared" si="7"/>
        <v/>
      </c>
      <c r="AC44" s="624" t="str">
        <f t="shared" si="8"/>
        <v/>
      </c>
      <c r="AD44" s="624" t="str">
        <f t="shared" si="9"/>
        <v/>
      </c>
      <c r="AE44" s="624" t="str">
        <f t="shared" si="10"/>
        <v/>
      </c>
      <c r="AF44" s="624" t="str">
        <f t="shared" si="11"/>
        <v/>
      </c>
      <c r="AG44" s="624" t="str">
        <f t="shared" si="12"/>
        <v/>
      </c>
      <c r="AH44" s="624" t="str">
        <f t="shared" si="13"/>
        <v/>
      </c>
      <c r="AI44" s="624" t="str">
        <f t="shared" si="14"/>
        <v/>
      </c>
      <c r="AJ44" s="624" t="str">
        <f t="shared" si="15"/>
        <v/>
      </c>
      <c r="AK44" s="624" t="str">
        <f t="shared" si="16"/>
        <v/>
      </c>
      <c r="AL44" s="624" t="str">
        <f t="shared" si="17"/>
        <v/>
      </c>
      <c r="AM44" s="624" t="str">
        <f t="shared" si="18"/>
        <v/>
      </c>
      <c r="AN44" s="624" t="str">
        <f t="shared" si="19"/>
        <v/>
      </c>
      <c r="AO44" s="624" t="str">
        <f t="shared" si="20"/>
        <v/>
      </c>
      <c r="AP44" s="624" t="str">
        <f t="shared" si="173"/>
        <v/>
      </c>
      <c r="AQ44" s="624" t="str">
        <f t="shared" si="174"/>
        <v/>
      </c>
      <c r="AR44" s="624" t="str">
        <f t="shared" si="175"/>
        <v/>
      </c>
      <c r="AS44" s="624" t="str">
        <f t="shared" si="176"/>
        <v/>
      </c>
      <c r="AT44" s="624" t="str">
        <f t="shared" si="177"/>
        <v/>
      </c>
      <c r="AU44" s="624" t="str">
        <f t="shared" si="178"/>
        <v/>
      </c>
      <c r="AV44" s="624" t="str">
        <f t="shared" si="179"/>
        <v/>
      </c>
      <c r="AW44" s="624" t="str">
        <f t="shared" si="180"/>
        <v/>
      </c>
      <c r="AX44" s="624" t="str">
        <f t="shared" si="181"/>
        <v/>
      </c>
      <c r="AY44" s="624" t="str">
        <f t="shared" si="182"/>
        <v/>
      </c>
      <c r="AZ44" s="624" t="str">
        <f t="shared" si="183"/>
        <v/>
      </c>
      <c r="BA44" s="624" t="str">
        <f t="shared" si="184"/>
        <v/>
      </c>
      <c r="BB44" s="624" t="str">
        <f t="shared" si="185"/>
        <v/>
      </c>
      <c r="BC44" s="624" t="str">
        <f t="shared" si="186"/>
        <v/>
      </c>
      <c r="BD44" s="624" t="str">
        <f t="shared" si="187"/>
        <v/>
      </c>
      <c r="BE44" s="624" t="str">
        <f t="shared" si="188"/>
        <v/>
      </c>
      <c r="BF44" s="624" t="str">
        <f t="shared" si="189"/>
        <v/>
      </c>
      <c r="BG44" s="624" t="str">
        <f t="shared" si="190"/>
        <v/>
      </c>
      <c r="BH44" s="624" t="str">
        <f t="shared" si="191"/>
        <v/>
      </c>
      <c r="BI44" s="624" t="str">
        <f t="shared" si="192"/>
        <v/>
      </c>
      <c r="BJ44" s="624" t="str">
        <f t="shared" si="193"/>
        <v/>
      </c>
      <c r="BK44" s="624" t="str">
        <f t="shared" si="194"/>
        <v/>
      </c>
      <c r="BL44" s="624" t="str">
        <f t="shared" si="195"/>
        <v/>
      </c>
      <c r="BM44" s="624" t="str">
        <f t="shared" si="196"/>
        <v/>
      </c>
      <c r="BN44" s="624" t="str">
        <f t="shared" si="197"/>
        <v/>
      </c>
      <c r="BO44" s="624" t="str">
        <f t="shared" si="198"/>
        <v/>
      </c>
      <c r="BP44" s="624" t="str">
        <f t="shared" si="199"/>
        <v/>
      </c>
      <c r="BQ44" s="624" t="str">
        <f t="shared" si="200"/>
        <v/>
      </c>
      <c r="BR44" s="624" t="str">
        <f t="shared" si="201"/>
        <v/>
      </c>
      <c r="BS44" s="624" t="str">
        <f t="shared" si="202"/>
        <v/>
      </c>
      <c r="BT44" s="624" t="str">
        <f t="shared" si="21"/>
        <v/>
      </c>
      <c r="BU44" s="624" t="str">
        <f t="shared" si="22"/>
        <v/>
      </c>
      <c r="BV44" s="624" t="str">
        <f t="shared" si="23"/>
        <v/>
      </c>
      <c r="BW44" s="624" t="str">
        <f t="shared" si="24"/>
        <v/>
      </c>
      <c r="BX44" s="624" t="str">
        <f t="shared" si="25"/>
        <v/>
      </c>
      <c r="BY44" s="624" t="str">
        <f t="shared" si="26"/>
        <v/>
      </c>
      <c r="BZ44" s="624" t="str">
        <f t="shared" si="27"/>
        <v/>
      </c>
      <c r="CA44" s="624" t="str">
        <f t="shared" si="28"/>
        <v/>
      </c>
      <c r="CB44" s="624" t="str">
        <f t="shared" si="29"/>
        <v/>
      </c>
      <c r="CC44" s="624" t="str">
        <f t="shared" si="30"/>
        <v/>
      </c>
      <c r="CD44" s="624" t="str">
        <f t="shared" si="31"/>
        <v/>
      </c>
      <c r="CE44" s="624" t="str">
        <f t="shared" si="32"/>
        <v/>
      </c>
      <c r="CF44" s="624" t="str">
        <f t="shared" si="33"/>
        <v/>
      </c>
      <c r="CG44" s="624" t="str">
        <f t="shared" si="34"/>
        <v/>
      </c>
      <c r="CH44" s="624" t="str">
        <f t="shared" si="35"/>
        <v/>
      </c>
      <c r="CI44" s="624" t="str">
        <f t="shared" si="36"/>
        <v/>
      </c>
      <c r="CJ44" s="624" t="str">
        <f t="shared" si="37"/>
        <v/>
      </c>
      <c r="CK44" s="624" t="str">
        <f t="shared" si="38"/>
        <v/>
      </c>
      <c r="CL44" s="624" t="str">
        <f t="shared" si="39"/>
        <v/>
      </c>
      <c r="CM44" s="624" t="str">
        <f t="shared" si="40"/>
        <v/>
      </c>
      <c r="CN44" s="624" t="str">
        <f t="shared" si="41"/>
        <v/>
      </c>
      <c r="CO44" s="624" t="str">
        <f t="shared" si="42"/>
        <v/>
      </c>
      <c r="CP44" s="624" t="str">
        <f t="shared" si="43"/>
        <v/>
      </c>
      <c r="CQ44" s="624" t="str">
        <f t="shared" si="44"/>
        <v/>
      </c>
      <c r="CR44" s="624" t="str">
        <f t="shared" si="45"/>
        <v/>
      </c>
      <c r="CS44" s="624" t="str">
        <f t="shared" si="46"/>
        <v/>
      </c>
      <c r="CT44" s="624" t="str">
        <f t="shared" si="47"/>
        <v/>
      </c>
      <c r="CU44" s="624" t="str">
        <f t="shared" si="48"/>
        <v/>
      </c>
      <c r="CV44" s="624" t="str">
        <f t="shared" si="49"/>
        <v/>
      </c>
      <c r="CW44" s="624" t="str">
        <f t="shared" si="50"/>
        <v/>
      </c>
      <c r="CX44" s="624" t="str">
        <f t="shared" si="51"/>
        <v/>
      </c>
      <c r="CY44" s="624" t="str">
        <f t="shared" si="52"/>
        <v/>
      </c>
      <c r="CZ44" s="624" t="str">
        <f t="shared" si="53"/>
        <v/>
      </c>
      <c r="DA44" s="624" t="str">
        <f t="shared" si="54"/>
        <v/>
      </c>
      <c r="DB44" s="624" t="str">
        <f t="shared" si="55"/>
        <v/>
      </c>
      <c r="DC44" s="624" t="str">
        <f t="shared" si="56"/>
        <v/>
      </c>
      <c r="DD44" s="624" t="str">
        <f t="shared" si="57"/>
        <v/>
      </c>
      <c r="DE44" s="624" t="str">
        <f t="shared" si="58"/>
        <v/>
      </c>
      <c r="DF44" s="624" t="str">
        <f t="shared" si="59"/>
        <v/>
      </c>
      <c r="DG44" s="624" t="str">
        <f t="shared" si="60"/>
        <v/>
      </c>
      <c r="DH44" s="624" t="str">
        <f t="shared" si="61"/>
        <v/>
      </c>
      <c r="DI44" s="624" t="str">
        <f t="shared" si="62"/>
        <v/>
      </c>
      <c r="DJ44" s="624" t="str">
        <f t="shared" si="63"/>
        <v/>
      </c>
      <c r="DK44" s="624" t="str">
        <f t="shared" si="64"/>
        <v/>
      </c>
      <c r="DL44" s="624" t="str">
        <f t="shared" si="65"/>
        <v/>
      </c>
      <c r="DM44" s="624" t="str">
        <f t="shared" si="66"/>
        <v/>
      </c>
      <c r="DN44" s="624" t="str">
        <f t="shared" si="67"/>
        <v/>
      </c>
      <c r="DO44" s="624" t="str">
        <f t="shared" si="68"/>
        <v/>
      </c>
      <c r="DP44" s="624" t="str">
        <f t="shared" si="69"/>
        <v/>
      </c>
      <c r="DQ44" s="624" t="str">
        <f t="shared" si="70"/>
        <v/>
      </c>
      <c r="DR44" s="624" t="str">
        <f t="shared" si="71"/>
        <v/>
      </c>
      <c r="DS44" s="624" t="str">
        <f t="shared" si="72"/>
        <v/>
      </c>
      <c r="DT44" s="624" t="str">
        <f t="shared" si="73"/>
        <v/>
      </c>
      <c r="DU44" s="624" t="str">
        <f t="shared" si="74"/>
        <v/>
      </c>
      <c r="DV44" s="624" t="str">
        <f t="shared" si="75"/>
        <v/>
      </c>
      <c r="DW44" s="624" t="str">
        <f t="shared" si="76"/>
        <v/>
      </c>
      <c r="DX44" s="624" t="str">
        <f t="shared" si="77"/>
        <v/>
      </c>
      <c r="DY44" s="624" t="str">
        <f t="shared" si="78"/>
        <v/>
      </c>
      <c r="DZ44" s="624" t="str">
        <f t="shared" si="79"/>
        <v/>
      </c>
      <c r="EA44" s="624" t="str">
        <f t="shared" si="80"/>
        <v/>
      </c>
      <c r="EB44" s="624" t="str">
        <f t="shared" si="81"/>
        <v/>
      </c>
      <c r="EC44" s="624" t="str">
        <f t="shared" si="82"/>
        <v/>
      </c>
      <c r="ED44" s="624" t="str">
        <f t="shared" si="83"/>
        <v/>
      </c>
      <c r="EE44" s="624" t="str">
        <f t="shared" si="84"/>
        <v/>
      </c>
      <c r="EF44" s="624" t="str">
        <f t="shared" si="85"/>
        <v/>
      </c>
      <c r="EG44" s="624" t="str">
        <f t="shared" si="86"/>
        <v/>
      </c>
      <c r="EH44" s="624" t="str">
        <f t="shared" si="87"/>
        <v/>
      </c>
      <c r="EI44" s="624" t="str">
        <f t="shared" si="88"/>
        <v/>
      </c>
      <c r="EJ44" s="624" t="str">
        <f t="shared" si="89"/>
        <v/>
      </c>
      <c r="EK44" s="624" t="str">
        <f t="shared" si="90"/>
        <v/>
      </c>
      <c r="EL44" s="624" t="str">
        <f t="shared" si="91"/>
        <v/>
      </c>
      <c r="EM44" s="624" t="str">
        <f t="shared" si="92"/>
        <v/>
      </c>
      <c r="EN44" s="624" t="str">
        <f t="shared" si="93"/>
        <v/>
      </c>
      <c r="EO44" s="624" t="str">
        <f t="shared" si="94"/>
        <v/>
      </c>
      <c r="EP44" s="624" t="str">
        <f t="shared" si="95"/>
        <v/>
      </c>
      <c r="EQ44" s="624" t="str">
        <f t="shared" si="96"/>
        <v/>
      </c>
      <c r="ER44" s="624" t="str">
        <f t="shared" si="97"/>
        <v/>
      </c>
      <c r="ES44" s="624" t="str">
        <f t="shared" si="98"/>
        <v/>
      </c>
      <c r="ET44" s="624" t="str">
        <f t="shared" si="99"/>
        <v/>
      </c>
      <c r="EU44" s="624" t="str">
        <f t="shared" si="100"/>
        <v/>
      </c>
      <c r="EV44" s="636" t="str">
        <f t="shared" si="101"/>
        <v/>
      </c>
      <c r="EW44" s="636" t="str">
        <f t="shared" si="102"/>
        <v/>
      </c>
      <c r="EX44" s="636" t="str">
        <f t="shared" si="103"/>
        <v/>
      </c>
      <c r="EY44" s="636" t="str">
        <f t="shared" si="104"/>
        <v/>
      </c>
      <c r="EZ44" s="636" t="str">
        <f t="shared" si="105"/>
        <v/>
      </c>
      <c r="FA44" s="636" t="str">
        <f t="shared" si="106"/>
        <v/>
      </c>
      <c r="FB44" s="636" t="str">
        <f t="shared" si="107"/>
        <v/>
      </c>
      <c r="FC44" s="636" t="str">
        <f t="shared" si="108"/>
        <v/>
      </c>
      <c r="FD44" s="636" t="str">
        <f t="shared" si="109"/>
        <v/>
      </c>
      <c r="FE44" s="636" t="str">
        <f t="shared" si="110"/>
        <v/>
      </c>
      <c r="FF44" s="636" t="str">
        <f t="shared" si="111"/>
        <v/>
      </c>
      <c r="FG44" s="636" t="str">
        <f t="shared" si="112"/>
        <v/>
      </c>
      <c r="FH44" s="636" t="str">
        <f t="shared" si="113"/>
        <v/>
      </c>
      <c r="FI44" s="636" t="str">
        <f t="shared" si="114"/>
        <v/>
      </c>
      <c r="FJ44" s="636" t="str">
        <f t="shared" si="115"/>
        <v/>
      </c>
      <c r="FK44" s="636" t="str">
        <f t="shared" si="116"/>
        <v/>
      </c>
      <c r="FL44" s="636" t="str">
        <f t="shared" si="117"/>
        <v/>
      </c>
      <c r="FM44" s="636" t="str">
        <f t="shared" si="118"/>
        <v/>
      </c>
      <c r="FN44" s="636" t="str">
        <f t="shared" si="119"/>
        <v/>
      </c>
      <c r="FO44" s="636" t="str">
        <f t="shared" si="120"/>
        <v/>
      </c>
      <c r="FP44" s="636" t="str">
        <f t="shared" si="121"/>
        <v/>
      </c>
      <c r="FQ44" s="636" t="str">
        <f t="shared" si="122"/>
        <v/>
      </c>
      <c r="FR44" s="636" t="str">
        <f t="shared" si="123"/>
        <v/>
      </c>
      <c r="FS44" s="636" t="str">
        <f t="shared" si="124"/>
        <v/>
      </c>
      <c r="FT44" s="636" t="str">
        <f t="shared" si="125"/>
        <v/>
      </c>
      <c r="FU44" s="636" t="str">
        <f t="shared" si="126"/>
        <v/>
      </c>
      <c r="FV44" s="636" t="str">
        <f t="shared" si="127"/>
        <v/>
      </c>
      <c r="FW44" s="636" t="str">
        <f t="shared" si="128"/>
        <v/>
      </c>
      <c r="FX44" s="636" t="str">
        <f t="shared" si="129"/>
        <v/>
      </c>
      <c r="FY44" s="636" t="str">
        <f t="shared" si="130"/>
        <v/>
      </c>
      <c r="FZ44" s="636" t="str">
        <f t="shared" si="131"/>
        <v/>
      </c>
      <c r="GA44" s="636" t="str">
        <f t="shared" si="132"/>
        <v/>
      </c>
      <c r="GB44" s="636" t="str">
        <f t="shared" si="133"/>
        <v/>
      </c>
      <c r="GC44" s="636" t="str">
        <f t="shared" si="134"/>
        <v/>
      </c>
      <c r="GD44" s="636" t="str">
        <f t="shared" si="135"/>
        <v/>
      </c>
      <c r="GE44" s="636" t="str">
        <f t="shared" si="136"/>
        <v/>
      </c>
      <c r="GF44" s="636" t="str">
        <f t="shared" si="137"/>
        <v/>
      </c>
      <c r="GG44" s="636" t="str">
        <f t="shared" si="138"/>
        <v/>
      </c>
      <c r="GH44" s="636" t="str">
        <f t="shared" si="139"/>
        <v/>
      </c>
      <c r="GI44" s="636" t="str">
        <f t="shared" si="140"/>
        <v/>
      </c>
      <c r="GJ44" s="636" t="str">
        <f t="shared" si="141"/>
        <v/>
      </c>
      <c r="GK44" s="636" t="str">
        <f t="shared" si="142"/>
        <v/>
      </c>
      <c r="GL44" s="636" t="str">
        <f t="shared" si="143"/>
        <v/>
      </c>
      <c r="GM44" s="636" t="str">
        <f t="shared" si="144"/>
        <v/>
      </c>
      <c r="GN44" s="636" t="str">
        <f t="shared" si="145"/>
        <v/>
      </c>
      <c r="GO44" s="637" t="str">
        <f t="shared" si="146"/>
        <v/>
      </c>
      <c r="GP44" s="637" t="str">
        <f t="shared" si="147"/>
        <v/>
      </c>
      <c r="GQ44" s="637" t="str">
        <f t="shared" si="148"/>
        <v/>
      </c>
      <c r="GR44" s="637" t="str">
        <f t="shared" si="149"/>
        <v/>
      </c>
      <c r="GS44" s="637" t="str">
        <f t="shared" si="150"/>
        <v/>
      </c>
      <c r="GT44" s="624" t="str">
        <f t="shared" si="151"/>
        <v/>
      </c>
      <c r="GU44" s="624" t="str">
        <f t="shared" si="152"/>
        <v/>
      </c>
      <c r="GV44" s="624" t="str">
        <f t="shared" si="153"/>
        <v/>
      </c>
      <c r="GW44" s="624" t="str">
        <f t="shared" si="154"/>
        <v/>
      </c>
      <c r="GX44" s="624" t="str">
        <f t="shared" si="155"/>
        <v/>
      </c>
      <c r="GY44" s="624" t="str">
        <f t="shared" si="156"/>
        <v/>
      </c>
      <c r="GZ44" s="624" t="str">
        <f t="shared" si="157"/>
        <v/>
      </c>
      <c r="HA44" s="624" t="str">
        <f t="shared" si="158"/>
        <v/>
      </c>
      <c r="HB44" s="624" t="str">
        <f t="shared" si="159"/>
        <v/>
      </c>
      <c r="HC44" s="624" t="str">
        <f t="shared" si="160"/>
        <v/>
      </c>
      <c r="HD44" s="624" t="str">
        <f t="shared" si="161"/>
        <v/>
      </c>
      <c r="HE44" s="624" t="str">
        <f t="shared" si="162"/>
        <v/>
      </c>
      <c r="HF44" s="624" t="str">
        <f t="shared" si="163"/>
        <v/>
      </c>
      <c r="HG44" s="624" t="str">
        <f t="shared" si="164"/>
        <v/>
      </c>
      <c r="HH44" s="624" t="str">
        <f t="shared" si="165"/>
        <v/>
      </c>
      <c r="HI44" s="624" t="str">
        <f t="shared" si="166"/>
        <v/>
      </c>
      <c r="HJ44" s="624" t="str">
        <f t="shared" si="167"/>
        <v/>
      </c>
      <c r="HK44" s="624" t="str">
        <f t="shared" si="168"/>
        <v/>
      </c>
      <c r="HL44" s="624" t="str">
        <f t="shared" si="169"/>
        <v/>
      </c>
      <c r="HM44" s="624" t="str">
        <f t="shared" si="170"/>
        <v/>
      </c>
    </row>
    <row r="45" spans="1:221" ht="13.15" customHeight="1">
      <c r="A45" s="130" t="str">
        <f t="shared" si="171"/>
        <v/>
      </c>
      <c r="B45" s="1553" t="s">
        <v>2466</v>
      </c>
      <c r="C45" s="1554"/>
      <c r="D45" s="1555"/>
      <c r="E45" s="1556"/>
      <c r="F45" s="1556"/>
      <c r="G45" s="1556"/>
      <c r="H45" s="1556"/>
      <c r="I45" s="1556"/>
      <c r="J45" s="1557"/>
      <c r="K45" s="205">
        <f t="shared" si="205"/>
        <v>0</v>
      </c>
      <c r="L45" s="205">
        <f t="shared" si="0"/>
        <v>0</v>
      </c>
      <c r="M45" s="1558"/>
      <c r="N45" s="1558"/>
      <c r="O45" s="1558"/>
      <c r="P45" s="559" t="str">
        <f t="shared" si="203"/>
        <v/>
      </c>
      <c r="Q45" s="560" t="str">
        <f>IF(H45="","",P45/($P$6*VLOOKUP(C45,'DCA Underwriting Assumptions'!$J$81:$K$86,2,FALSE)))</f>
        <v/>
      </c>
      <c r="R45" s="667"/>
      <c r="S45" s="560"/>
      <c r="T45" s="1497"/>
      <c r="U45" s="1498"/>
      <c r="V45" s="624" t="str">
        <f t="shared" si="1"/>
        <v/>
      </c>
      <c r="W45" s="624" t="str">
        <f t="shared" si="2"/>
        <v/>
      </c>
      <c r="X45" s="624" t="str">
        <f t="shared" si="3"/>
        <v/>
      </c>
      <c r="Y45" s="624" t="str">
        <f t="shared" si="4"/>
        <v/>
      </c>
      <c r="Z45" s="624" t="str">
        <f t="shared" si="5"/>
        <v/>
      </c>
      <c r="AA45" s="624" t="str">
        <f t="shared" si="6"/>
        <v/>
      </c>
      <c r="AB45" s="624" t="str">
        <f t="shared" si="7"/>
        <v/>
      </c>
      <c r="AC45" s="624" t="str">
        <f t="shared" si="8"/>
        <v/>
      </c>
      <c r="AD45" s="624" t="str">
        <f t="shared" si="9"/>
        <v/>
      </c>
      <c r="AE45" s="624" t="str">
        <f t="shared" si="10"/>
        <v/>
      </c>
      <c r="AF45" s="624" t="str">
        <f t="shared" si="11"/>
        <v/>
      </c>
      <c r="AG45" s="624" t="str">
        <f t="shared" si="12"/>
        <v/>
      </c>
      <c r="AH45" s="624" t="str">
        <f t="shared" si="13"/>
        <v/>
      </c>
      <c r="AI45" s="624" t="str">
        <f t="shared" si="14"/>
        <v/>
      </c>
      <c r="AJ45" s="624" t="str">
        <f t="shared" si="15"/>
        <v/>
      </c>
      <c r="AK45" s="624" t="str">
        <f t="shared" si="16"/>
        <v/>
      </c>
      <c r="AL45" s="624" t="str">
        <f t="shared" si="17"/>
        <v/>
      </c>
      <c r="AM45" s="624" t="str">
        <f t="shared" si="18"/>
        <v/>
      </c>
      <c r="AN45" s="624" t="str">
        <f t="shared" si="19"/>
        <v/>
      </c>
      <c r="AO45" s="624" t="str">
        <f t="shared" si="20"/>
        <v/>
      </c>
      <c r="AP45" s="624" t="str">
        <f t="shared" si="173"/>
        <v/>
      </c>
      <c r="AQ45" s="624" t="str">
        <f t="shared" si="174"/>
        <v/>
      </c>
      <c r="AR45" s="624" t="str">
        <f t="shared" si="175"/>
        <v/>
      </c>
      <c r="AS45" s="624" t="str">
        <f t="shared" si="176"/>
        <v/>
      </c>
      <c r="AT45" s="624" t="str">
        <f t="shared" si="177"/>
        <v/>
      </c>
      <c r="AU45" s="624" t="str">
        <f t="shared" si="178"/>
        <v/>
      </c>
      <c r="AV45" s="624" t="str">
        <f t="shared" si="179"/>
        <v/>
      </c>
      <c r="AW45" s="624" t="str">
        <f t="shared" si="180"/>
        <v/>
      </c>
      <c r="AX45" s="624" t="str">
        <f t="shared" si="181"/>
        <v/>
      </c>
      <c r="AY45" s="624" t="str">
        <f t="shared" si="182"/>
        <v/>
      </c>
      <c r="AZ45" s="624" t="str">
        <f t="shared" si="183"/>
        <v/>
      </c>
      <c r="BA45" s="624" t="str">
        <f t="shared" si="184"/>
        <v/>
      </c>
      <c r="BB45" s="624" t="str">
        <f t="shared" si="185"/>
        <v/>
      </c>
      <c r="BC45" s="624" t="str">
        <f t="shared" si="186"/>
        <v/>
      </c>
      <c r="BD45" s="624" t="str">
        <f t="shared" si="187"/>
        <v/>
      </c>
      <c r="BE45" s="624" t="str">
        <f t="shared" si="188"/>
        <v/>
      </c>
      <c r="BF45" s="624" t="str">
        <f t="shared" si="189"/>
        <v/>
      </c>
      <c r="BG45" s="624" t="str">
        <f t="shared" si="190"/>
        <v/>
      </c>
      <c r="BH45" s="624" t="str">
        <f t="shared" si="191"/>
        <v/>
      </c>
      <c r="BI45" s="624" t="str">
        <f t="shared" si="192"/>
        <v/>
      </c>
      <c r="BJ45" s="624" t="str">
        <f t="shared" si="193"/>
        <v/>
      </c>
      <c r="BK45" s="624" t="str">
        <f t="shared" si="194"/>
        <v/>
      </c>
      <c r="BL45" s="624" t="str">
        <f t="shared" si="195"/>
        <v/>
      </c>
      <c r="BM45" s="624" t="str">
        <f t="shared" si="196"/>
        <v/>
      </c>
      <c r="BN45" s="624" t="str">
        <f t="shared" si="197"/>
        <v/>
      </c>
      <c r="BO45" s="624" t="str">
        <f t="shared" si="198"/>
        <v/>
      </c>
      <c r="BP45" s="624" t="str">
        <f t="shared" si="199"/>
        <v/>
      </c>
      <c r="BQ45" s="624" t="str">
        <f t="shared" si="200"/>
        <v/>
      </c>
      <c r="BR45" s="624" t="str">
        <f t="shared" si="201"/>
        <v/>
      </c>
      <c r="BS45" s="624" t="str">
        <f t="shared" si="202"/>
        <v/>
      </c>
      <c r="BT45" s="624" t="str">
        <f t="shared" si="21"/>
        <v/>
      </c>
      <c r="BU45" s="624" t="str">
        <f t="shared" si="22"/>
        <v/>
      </c>
      <c r="BV45" s="624" t="str">
        <f t="shared" si="23"/>
        <v/>
      </c>
      <c r="BW45" s="624" t="str">
        <f t="shared" si="24"/>
        <v/>
      </c>
      <c r="BX45" s="624" t="str">
        <f t="shared" si="25"/>
        <v/>
      </c>
      <c r="BY45" s="624" t="str">
        <f t="shared" si="26"/>
        <v/>
      </c>
      <c r="BZ45" s="624" t="str">
        <f t="shared" si="27"/>
        <v/>
      </c>
      <c r="CA45" s="624" t="str">
        <f t="shared" si="28"/>
        <v/>
      </c>
      <c r="CB45" s="624" t="str">
        <f t="shared" si="29"/>
        <v/>
      </c>
      <c r="CC45" s="624" t="str">
        <f t="shared" si="30"/>
        <v/>
      </c>
      <c r="CD45" s="624" t="str">
        <f t="shared" si="31"/>
        <v/>
      </c>
      <c r="CE45" s="624" t="str">
        <f t="shared" si="32"/>
        <v/>
      </c>
      <c r="CF45" s="624" t="str">
        <f t="shared" si="33"/>
        <v/>
      </c>
      <c r="CG45" s="624" t="str">
        <f t="shared" si="34"/>
        <v/>
      </c>
      <c r="CH45" s="624" t="str">
        <f t="shared" si="35"/>
        <v/>
      </c>
      <c r="CI45" s="624" t="str">
        <f t="shared" si="36"/>
        <v/>
      </c>
      <c r="CJ45" s="624" t="str">
        <f t="shared" si="37"/>
        <v/>
      </c>
      <c r="CK45" s="624" t="str">
        <f t="shared" si="38"/>
        <v/>
      </c>
      <c r="CL45" s="624" t="str">
        <f t="shared" si="39"/>
        <v/>
      </c>
      <c r="CM45" s="624" t="str">
        <f t="shared" si="40"/>
        <v/>
      </c>
      <c r="CN45" s="624" t="str">
        <f t="shared" si="41"/>
        <v/>
      </c>
      <c r="CO45" s="624" t="str">
        <f t="shared" si="42"/>
        <v/>
      </c>
      <c r="CP45" s="624" t="str">
        <f t="shared" si="43"/>
        <v/>
      </c>
      <c r="CQ45" s="624" t="str">
        <f t="shared" si="44"/>
        <v/>
      </c>
      <c r="CR45" s="624" t="str">
        <f t="shared" si="45"/>
        <v/>
      </c>
      <c r="CS45" s="624" t="str">
        <f t="shared" si="46"/>
        <v/>
      </c>
      <c r="CT45" s="624" t="str">
        <f t="shared" si="47"/>
        <v/>
      </c>
      <c r="CU45" s="624" t="str">
        <f t="shared" si="48"/>
        <v/>
      </c>
      <c r="CV45" s="624" t="str">
        <f t="shared" si="49"/>
        <v/>
      </c>
      <c r="CW45" s="624" t="str">
        <f t="shared" si="50"/>
        <v/>
      </c>
      <c r="CX45" s="624" t="str">
        <f t="shared" si="51"/>
        <v/>
      </c>
      <c r="CY45" s="624" t="str">
        <f t="shared" si="52"/>
        <v/>
      </c>
      <c r="CZ45" s="624" t="str">
        <f t="shared" si="53"/>
        <v/>
      </c>
      <c r="DA45" s="624" t="str">
        <f t="shared" si="54"/>
        <v/>
      </c>
      <c r="DB45" s="624" t="str">
        <f t="shared" si="55"/>
        <v/>
      </c>
      <c r="DC45" s="624" t="str">
        <f t="shared" si="56"/>
        <v/>
      </c>
      <c r="DD45" s="624" t="str">
        <f t="shared" si="57"/>
        <v/>
      </c>
      <c r="DE45" s="624" t="str">
        <f t="shared" si="58"/>
        <v/>
      </c>
      <c r="DF45" s="624" t="str">
        <f t="shared" si="59"/>
        <v/>
      </c>
      <c r="DG45" s="624" t="str">
        <f t="shared" si="60"/>
        <v/>
      </c>
      <c r="DH45" s="624" t="str">
        <f t="shared" si="61"/>
        <v/>
      </c>
      <c r="DI45" s="624" t="str">
        <f t="shared" si="62"/>
        <v/>
      </c>
      <c r="DJ45" s="624" t="str">
        <f t="shared" si="63"/>
        <v/>
      </c>
      <c r="DK45" s="624" t="str">
        <f t="shared" si="64"/>
        <v/>
      </c>
      <c r="DL45" s="624" t="str">
        <f t="shared" si="65"/>
        <v/>
      </c>
      <c r="DM45" s="624" t="str">
        <f t="shared" si="66"/>
        <v/>
      </c>
      <c r="DN45" s="624" t="str">
        <f t="shared" si="67"/>
        <v/>
      </c>
      <c r="DO45" s="624" t="str">
        <f t="shared" si="68"/>
        <v/>
      </c>
      <c r="DP45" s="624" t="str">
        <f t="shared" si="69"/>
        <v/>
      </c>
      <c r="DQ45" s="624" t="str">
        <f t="shared" si="70"/>
        <v/>
      </c>
      <c r="DR45" s="624" t="str">
        <f t="shared" si="71"/>
        <v/>
      </c>
      <c r="DS45" s="624" t="str">
        <f t="shared" si="72"/>
        <v/>
      </c>
      <c r="DT45" s="624" t="str">
        <f t="shared" si="73"/>
        <v/>
      </c>
      <c r="DU45" s="624" t="str">
        <f t="shared" si="74"/>
        <v/>
      </c>
      <c r="DV45" s="624" t="str">
        <f t="shared" si="75"/>
        <v/>
      </c>
      <c r="DW45" s="624" t="str">
        <f t="shared" si="76"/>
        <v/>
      </c>
      <c r="DX45" s="624" t="str">
        <f t="shared" si="77"/>
        <v/>
      </c>
      <c r="DY45" s="624" t="str">
        <f t="shared" si="78"/>
        <v/>
      </c>
      <c r="DZ45" s="624" t="str">
        <f t="shared" si="79"/>
        <v/>
      </c>
      <c r="EA45" s="624" t="str">
        <f t="shared" si="80"/>
        <v/>
      </c>
      <c r="EB45" s="624" t="str">
        <f t="shared" si="81"/>
        <v/>
      </c>
      <c r="EC45" s="624" t="str">
        <f t="shared" si="82"/>
        <v/>
      </c>
      <c r="ED45" s="624" t="str">
        <f t="shared" si="83"/>
        <v/>
      </c>
      <c r="EE45" s="624" t="str">
        <f t="shared" si="84"/>
        <v/>
      </c>
      <c r="EF45" s="624" t="str">
        <f t="shared" si="85"/>
        <v/>
      </c>
      <c r="EG45" s="624" t="str">
        <f t="shared" si="86"/>
        <v/>
      </c>
      <c r="EH45" s="624" t="str">
        <f t="shared" si="87"/>
        <v/>
      </c>
      <c r="EI45" s="624" t="str">
        <f t="shared" si="88"/>
        <v/>
      </c>
      <c r="EJ45" s="624" t="str">
        <f t="shared" si="89"/>
        <v/>
      </c>
      <c r="EK45" s="624" t="str">
        <f t="shared" si="90"/>
        <v/>
      </c>
      <c r="EL45" s="624" t="str">
        <f t="shared" si="91"/>
        <v/>
      </c>
      <c r="EM45" s="624" t="str">
        <f t="shared" si="92"/>
        <v/>
      </c>
      <c r="EN45" s="624" t="str">
        <f t="shared" si="93"/>
        <v/>
      </c>
      <c r="EO45" s="624" t="str">
        <f t="shared" si="94"/>
        <v/>
      </c>
      <c r="EP45" s="624" t="str">
        <f t="shared" si="95"/>
        <v/>
      </c>
      <c r="EQ45" s="624" t="str">
        <f t="shared" si="96"/>
        <v/>
      </c>
      <c r="ER45" s="624" t="str">
        <f t="shared" si="97"/>
        <v/>
      </c>
      <c r="ES45" s="624" t="str">
        <f t="shared" si="98"/>
        <v/>
      </c>
      <c r="ET45" s="624" t="str">
        <f t="shared" si="99"/>
        <v/>
      </c>
      <c r="EU45" s="624" t="str">
        <f t="shared" si="100"/>
        <v/>
      </c>
      <c r="EV45" s="636" t="str">
        <f t="shared" si="101"/>
        <v/>
      </c>
      <c r="EW45" s="636" t="str">
        <f t="shared" si="102"/>
        <v/>
      </c>
      <c r="EX45" s="636" t="str">
        <f t="shared" si="103"/>
        <v/>
      </c>
      <c r="EY45" s="636" t="str">
        <f t="shared" si="104"/>
        <v/>
      </c>
      <c r="EZ45" s="636" t="str">
        <f t="shared" si="105"/>
        <v/>
      </c>
      <c r="FA45" s="636" t="str">
        <f t="shared" si="106"/>
        <v/>
      </c>
      <c r="FB45" s="636" t="str">
        <f t="shared" si="107"/>
        <v/>
      </c>
      <c r="FC45" s="636" t="str">
        <f t="shared" si="108"/>
        <v/>
      </c>
      <c r="FD45" s="636" t="str">
        <f t="shared" si="109"/>
        <v/>
      </c>
      <c r="FE45" s="636" t="str">
        <f t="shared" si="110"/>
        <v/>
      </c>
      <c r="FF45" s="636" t="str">
        <f t="shared" si="111"/>
        <v/>
      </c>
      <c r="FG45" s="636" t="str">
        <f t="shared" si="112"/>
        <v/>
      </c>
      <c r="FH45" s="636" t="str">
        <f t="shared" si="113"/>
        <v/>
      </c>
      <c r="FI45" s="636" t="str">
        <f t="shared" si="114"/>
        <v/>
      </c>
      <c r="FJ45" s="636" t="str">
        <f t="shared" si="115"/>
        <v/>
      </c>
      <c r="FK45" s="636" t="str">
        <f t="shared" si="116"/>
        <v/>
      </c>
      <c r="FL45" s="636" t="str">
        <f t="shared" si="117"/>
        <v/>
      </c>
      <c r="FM45" s="636" t="str">
        <f t="shared" si="118"/>
        <v/>
      </c>
      <c r="FN45" s="636" t="str">
        <f t="shared" si="119"/>
        <v/>
      </c>
      <c r="FO45" s="636" t="str">
        <f t="shared" si="120"/>
        <v/>
      </c>
      <c r="FP45" s="636" t="str">
        <f t="shared" si="121"/>
        <v/>
      </c>
      <c r="FQ45" s="636" t="str">
        <f t="shared" si="122"/>
        <v/>
      </c>
      <c r="FR45" s="636" t="str">
        <f t="shared" si="123"/>
        <v/>
      </c>
      <c r="FS45" s="636" t="str">
        <f t="shared" si="124"/>
        <v/>
      </c>
      <c r="FT45" s="636" t="str">
        <f t="shared" si="125"/>
        <v/>
      </c>
      <c r="FU45" s="636" t="str">
        <f t="shared" si="126"/>
        <v/>
      </c>
      <c r="FV45" s="636" t="str">
        <f t="shared" si="127"/>
        <v/>
      </c>
      <c r="FW45" s="636" t="str">
        <f t="shared" si="128"/>
        <v/>
      </c>
      <c r="FX45" s="636" t="str">
        <f t="shared" si="129"/>
        <v/>
      </c>
      <c r="FY45" s="636" t="str">
        <f t="shared" si="130"/>
        <v/>
      </c>
      <c r="FZ45" s="636" t="str">
        <f t="shared" si="131"/>
        <v/>
      </c>
      <c r="GA45" s="636" t="str">
        <f t="shared" si="132"/>
        <v/>
      </c>
      <c r="GB45" s="636" t="str">
        <f t="shared" si="133"/>
        <v/>
      </c>
      <c r="GC45" s="636" t="str">
        <f t="shared" si="134"/>
        <v/>
      </c>
      <c r="GD45" s="636" t="str">
        <f t="shared" si="135"/>
        <v/>
      </c>
      <c r="GE45" s="636" t="str">
        <f t="shared" si="136"/>
        <v/>
      </c>
      <c r="GF45" s="636" t="str">
        <f t="shared" si="137"/>
        <v/>
      </c>
      <c r="GG45" s="636" t="str">
        <f t="shared" si="138"/>
        <v/>
      </c>
      <c r="GH45" s="636" t="str">
        <f t="shared" si="139"/>
        <v/>
      </c>
      <c r="GI45" s="636" t="str">
        <f t="shared" si="140"/>
        <v/>
      </c>
      <c r="GJ45" s="636" t="str">
        <f t="shared" si="141"/>
        <v/>
      </c>
      <c r="GK45" s="636" t="str">
        <f t="shared" si="142"/>
        <v/>
      </c>
      <c r="GL45" s="636" t="str">
        <f t="shared" si="143"/>
        <v/>
      </c>
      <c r="GM45" s="636" t="str">
        <f t="shared" si="144"/>
        <v/>
      </c>
      <c r="GN45" s="636" t="str">
        <f t="shared" si="145"/>
        <v/>
      </c>
      <c r="GO45" s="637" t="str">
        <f t="shared" si="146"/>
        <v/>
      </c>
      <c r="GP45" s="637" t="str">
        <f t="shared" si="147"/>
        <v/>
      </c>
      <c r="GQ45" s="637" t="str">
        <f t="shared" si="148"/>
        <v/>
      </c>
      <c r="GR45" s="637" t="str">
        <f t="shared" si="149"/>
        <v/>
      </c>
      <c r="GS45" s="637" t="str">
        <f t="shared" si="150"/>
        <v/>
      </c>
      <c r="GT45" s="624" t="str">
        <f t="shared" si="151"/>
        <v/>
      </c>
      <c r="GU45" s="624" t="str">
        <f t="shared" si="152"/>
        <v/>
      </c>
      <c r="GV45" s="624" t="str">
        <f t="shared" si="153"/>
        <v/>
      </c>
      <c r="GW45" s="624" t="str">
        <f t="shared" si="154"/>
        <v/>
      </c>
      <c r="GX45" s="624" t="str">
        <f t="shared" si="155"/>
        <v/>
      </c>
      <c r="GY45" s="624" t="str">
        <f t="shared" si="156"/>
        <v/>
      </c>
      <c r="GZ45" s="624" t="str">
        <f t="shared" si="157"/>
        <v/>
      </c>
      <c r="HA45" s="624" t="str">
        <f t="shared" si="158"/>
        <v/>
      </c>
      <c r="HB45" s="624" t="str">
        <f t="shared" si="159"/>
        <v/>
      </c>
      <c r="HC45" s="624" t="str">
        <f t="shared" si="160"/>
        <v/>
      </c>
      <c r="HD45" s="624" t="str">
        <f t="shared" si="161"/>
        <v/>
      </c>
      <c r="HE45" s="624" t="str">
        <f t="shared" si="162"/>
        <v/>
      </c>
      <c r="HF45" s="624" t="str">
        <f t="shared" si="163"/>
        <v/>
      </c>
      <c r="HG45" s="624" t="str">
        <f t="shared" si="164"/>
        <v/>
      </c>
      <c r="HH45" s="624" t="str">
        <f t="shared" si="165"/>
        <v/>
      </c>
      <c r="HI45" s="624" t="str">
        <f t="shared" si="166"/>
        <v/>
      </c>
      <c r="HJ45" s="624" t="str">
        <f t="shared" si="167"/>
        <v/>
      </c>
      <c r="HK45" s="624" t="str">
        <f t="shared" si="168"/>
        <v/>
      </c>
      <c r="HL45" s="624" t="str">
        <f t="shared" si="169"/>
        <v/>
      </c>
      <c r="HM45" s="624" t="str">
        <f t="shared" si="170"/>
        <v/>
      </c>
    </row>
    <row r="46" spans="1:221" ht="13.15" customHeight="1">
      <c r="A46" s="130" t="str">
        <f t="shared" si="171"/>
        <v/>
      </c>
      <c r="B46" s="1553" t="s">
        <v>2466</v>
      </c>
      <c r="C46" s="1554"/>
      <c r="D46" s="1555"/>
      <c r="E46" s="1556"/>
      <c r="F46" s="1556"/>
      <c r="G46" s="1556"/>
      <c r="H46" s="1556"/>
      <c r="I46" s="1556"/>
      <c r="J46" s="1557"/>
      <c r="K46" s="205">
        <f t="shared" si="205"/>
        <v>0</v>
      </c>
      <c r="L46" s="205">
        <f t="shared" si="0"/>
        <v>0</v>
      </c>
      <c r="M46" s="1558"/>
      <c r="N46" s="1558"/>
      <c r="O46" s="1558"/>
      <c r="P46" s="559" t="str">
        <f t="shared" si="203"/>
        <v/>
      </c>
      <c r="Q46" s="560" t="str">
        <f>IF(H46="","",P46/($P$6*VLOOKUP(C46,'DCA Underwriting Assumptions'!$J$81:$K$86,2,FALSE)))</f>
        <v/>
      </c>
      <c r="R46" s="667"/>
      <c r="S46" s="560"/>
      <c r="T46" s="1497"/>
      <c r="U46" s="1498"/>
      <c r="V46" s="624" t="str">
        <f t="shared" si="1"/>
        <v/>
      </c>
      <c r="W46" s="624" t="str">
        <f t="shared" si="2"/>
        <v/>
      </c>
      <c r="X46" s="624" t="str">
        <f t="shared" si="3"/>
        <v/>
      </c>
      <c r="Y46" s="624" t="str">
        <f t="shared" si="4"/>
        <v/>
      </c>
      <c r="Z46" s="624" t="str">
        <f t="shared" si="5"/>
        <v/>
      </c>
      <c r="AA46" s="624" t="str">
        <f t="shared" si="6"/>
        <v/>
      </c>
      <c r="AB46" s="624" t="str">
        <f t="shared" si="7"/>
        <v/>
      </c>
      <c r="AC46" s="624" t="str">
        <f t="shared" si="8"/>
        <v/>
      </c>
      <c r="AD46" s="624" t="str">
        <f t="shared" si="9"/>
        <v/>
      </c>
      <c r="AE46" s="624" t="str">
        <f t="shared" si="10"/>
        <v/>
      </c>
      <c r="AF46" s="624" t="str">
        <f t="shared" si="11"/>
        <v/>
      </c>
      <c r="AG46" s="624" t="str">
        <f t="shared" si="12"/>
        <v/>
      </c>
      <c r="AH46" s="624" t="str">
        <f t="shared" si="13"/>
        <v/>
      </c>
      <c r="AI46" s="624" t="str">
        <f t="shared" si="14"/>
        <v/>
      </c>
      <c r="AJ46" s="624" t="str">
        <f t="shared" si="15"/>
        <v/>
      </c>
      <c r="AK46" s="624" t="str">
        <f t="shared" si="16"/>
        <v/>
      </c>
      <c r="AL46" s="624" t="str">
        <f t="shared" si="17"/>
        <v/>
      </c>
      <c r="AM46" s="624" t="str">
        <f t="shared" si="18"/>
        <v/>
      </c>
      <c r="AN46" s="624" t="str">
        <f t="shared" si="19"/>
        <v/>
      </c>
      <c r="AO46" s="624" t="str">
        <f t="shared" si="20"/>
        <v/>
      </c>
      <c r="AP46" s="624" t="str">
        <f t="shared" si="173"/>
        <v/>
      </c>
      <c r="AQ46" s="624" t="str">
        <f t="shared" si="174"/>
        <v/>
      </c>
      <c r="AR46" s="624" t="str">
        <f t="shared" si="175"/>
        <v/>
      </c>
      <c r="AS46" s="624" t="str">
        <f t="shared" si="176"/>
        <v/>
      </c>
      <c r="AT46" s="624" t="str">
        <f t="shared" si="177"/>
        <v/>
      </c>
      <c r="AU46" s="624" t="str">
        <f t="shared" si="178"/>
        <v/>
      </c>
      <c r="AV46" s="624" t="str">
        <f t="shared" si="179"/>
        <v/>
      </c>
      <c r="AW46" s="624" t="str">
        <f t="shared" si="180"/>
        <v/>
      </c>
      <c r="AX46" s="624" t="str">
        <f t="shared" si="181"/>
        <v/>
      </c>
      <c r="AY46" s="624" t="str">
        <f t="shared" si="182"/>
        <v/>
      </c>
      <c r="AZ46" s="624" t="str">
        <f t="shared" si="183"/>
        <v/>
      </c>
      <c r="BA46" s="624" t="str">
        <f t="shared" si="184"/>
        <v/>
      </c>
      <c r="BB46" s="624" t="str">
        <f t="shared" si="185"/>
        <v/>
      </c>
      <c r="BC46" s="624" t="str">
        <f t="shared" si="186"/>
        <v/>
      </c>
      <c r="BD46" s="624" t="str">
        <f t="shared" si="187"/>
        <v/>
      </c>
      <c r="BE46" s="624" t="str">
        <f t="shared" si="188"/>
        <v/>
      </c>
      <c r="BF46" s="624" t="str">
        <f t="shared" si="189"/>
        <v/>
      </c>
      <c r="BG46" s="624" t="str">
        <f t="shared" si="190"/>
        <v/>
      </c>
      <c r="BH46" s="624" t="str">
        <f t="shared" si="191"/>
        <v/>
      </c>
      <c r="BI46" s="624" t="str">
        <f t="shared" si="192"/>
        <v/>
      </c>
      <c r="BJ46" s="624" t="str">
        <f t="shared" si="193"/>
        <v/>
      </c>
      <c r="BK46" s="624" t="str">
        <f t="shared" si="194"/>
        <v/>
      </c>
      <c r="BL46" s="624" t="str">
        <f t="shared" si="195"/>
        <v/>
      </c>
      <c r="BM46" s="624" t="str">
        <f t="shared" si="196"/>
        <v/>
      </c>
      <c r="BN46" s="624" t="str">
        <f t="shared" si="197"/>
        <v/>
      </c>
      <c r="BO46" s="624" t="str">
        <f t="shared" si="198"/>
        <v/>
      </c>
      <c r="BP46" s="624" t="str">
        <f t="shared" si="199"/>
        <v/>
      </c>
      <c r="BQ46" s="624" t="str">
        <f t="shared" si="200"/>
        <v/>
      </c>
      <c r="BR46" s="624" t="str">
        <f t="shared" si="201"/>
        <v/>
      </c>
      <c r="BS46" s="624" t="str">
        <f t="shared" si="202"/>
        <v/>
      </c>
      <c r="BT46" s="624" t="str">
        <f t="shared" si="21"/>
        <v/>
      </c>
      <c r="BU46" s="624" t="str">
        <f t="shared" si="22"/>
        <v/>
      </c>
      <c r="BV46" s="624" t="str">
        <f t="shared" si="23"/>
        <v/>
      </c>
      <c r="BW46" s="624" t="str">
        <f t="shared" si="24"/>
        <v/>
      </c>
      <c r="BX46" s="624" t="str">
        <f t="shared" si="25"/>
        <v/>
      </c>
      <c r="BY46" s="624" t="str">
        <f t="shared" si="26"/>
        <v/>
      </c>
      <c r="BZ46" s="624" t="str">
        <f t="shared" si="27"/>
        <v/>
      </c>
      <c r="CA46" s="624" t="str">
        <f t="shared" si="28"/>
        <v/>
      </c>
      <c r="CB46" s="624" t="str">
        <f t="shared" si="29"/>
        <v/>
      </c>
      <c r="CC46" s="624" t="str">
        <f t="shared" si="30"/>
        <v/>
      </c>
      <c r="CD46" s="624" t="str">
        <f t="shared" si="31"/>
        <v/>
      </c>
      <c r="CE46" s="624" t="str">
        <f t="shared" si="32"/>
        <v/>
      </c>
      <c r="CF46" s="624" t="str">
        <f t="shared" si="33"/>
        <v/>
      </c>
      <c r="CG46" s="624" t="str">
        <f t="shared" si="34"/>
        <v/>
      </c>
      <c r="CH46" s="624" t="str">
        <f t="shared" si="35"/>
        <v/>
      </c>
      <c r="CI46" s="624" t="str">
        <f t="shared" si="36"/>
        <v/>
      </c>
      <c r="CJ46" s="624" t="str">
        <f t="shared" si="37"/>
        <v/>
      </c>
      <c r="CK46" s="624" t="str">
        <f t="shared" si="38"/>
        <v/>
      </c>
      <c r="CL46" s="624" t="str">
        <f t="shared" si="39"/>
        <v/>
      </c>
      <c r="CM46" s="624" t="str">
        <f t="shared" si="40"/>
        <v/>
      </c>
      <c r="CN46" s="624" t="str">
        <f t="shared" si="41"/>
        <v/>
      </c>
      <c r="CO46" s="624" t="str">
        <f t="shared" si="42"/>
        <v/>
      </c>
      <c r="CP46" s="624" t="str">
        <f t="shared" si="43"/>
        <v/>
      </c>
      <c r="CQ46" s="624" t="str">
        <f t="shared" si="44"/>
        <v/>
      </c>
      <c r="CR46" s="624" t="str">
        <f t="shared" si="45"/>
        <v/>
      </c>
      <c r="CS46" s="624" t="str">
        <f t="shared" si="46"/>
        <v/>
      </c>
      <c r="CT46" s="624" t="str">
        <f t="shared" si="47"/>
        <v/>
      </c>
      <c r="CU46" s="624" t="str">
        <f t="shared" si="48"/>
        <v/>
      </c>
      <c r="CV46" s="624" t="str">
        <f t="shared" si="49"/>
        <v/>
      </c>
      <c r="CW46" s="624" t="str">
        <f t="shared" si="50"/>
        <v/>
      </c>
      <c r="CX46" s="624" t="str">
        <f t="shared" si="51"/>
        <v/>
      </c>
      <c r="CY46" s="624" t="str">
        <f t="shared" si="52"/>
        <v/>
      </c>
      <c r="CZ46" s="624" t="str">
        <f t="shared" si="53"/>
        <v/>
      </c>
      <c r="DA46" s="624" t="str">
        <f t="shared" si="54"/>
        <v/>
      </c>
      <c r="DB46" s="624" t="str">
        <f t="shared" si="55"/>
        <v/>
      </c>
      <c r="DC46" s="624" t="str">
        <f t="shared" si="56"/>
        <v/>
      </c>
      <c r="DD46" s="624" t="str">
        <f t="shared" si="57"/>
        <v/>
      </c>
      <c r="DE46" s="624" t="str">
        <f t="shared" si="58"/>
        <v/>
      </c>
      <c r="DF46" s="624" t="str">
        <f t="shared" si="59"/>
        <v/>
      </c>
      <c r="DG46" s="624" t="str">
        <f t="shared" si="60"/>
        <v/>
      </c>
      <c r="DH46" s="624" t="str">
        <f t="shared" si="61"/>
        <v/>
      </c>
      <c r="DI46" s="624" t="str">
        <f t="shared" si="62"/>
        <v/>
      </c>
      <c r="DJ46" s="624" t="str">
        <f t="shared" si="63"/>
        <v/>
      </c>
      <c r="DK46" s="624" t="str">
        <f t="shared" si="64"/>
        <v/>
      </c>
      <c r="DL46" s="624" t="str">
        <f t="shared" si="65"/>
        <v/>
      </c>
      <c r="DM46" s="624" t="str">
        <f t="shared" si="66"/>
        <v/>
      </c>
      <c r="DN46" s="624" t="str">
        <f t="shared" si="67"/>
        <v/>
      </c>
      <c r="DO46" s="624" t="str">
        <f t="shared" si="68"/>
        <v/>
      </c>
      <c r="DP46" s="624" t="str">
        <f t="shared" si="69"/>
        <v/>
      </c>
      <c r="DQ46" s="624" t="str">
        <f t="shared" si="70"/>
        <v/>
      </c>
      <c r="DR46" s="624" t="str">
        <f t="shared" si="71"/>
        <v/>
      </c>
      <c r="DS46" s="624" t="str">
        <f t="shared" si="72"/>
        <v/>
      </c>
      <c r="DT46" s="624" t="str">
        <f t="shared" si="73"/>
        <v/>
      </c>
      <c r="DU46" s="624" t="str">
        <f t="shared" si="74"/>
        <v/>
      </c>
      <c r="DV46" s="624" t="str">
        <f t="shared" si="75"/>
        <v/>
      </c>
      <c r="DW46" s="624" t="str">
        <f t="shared" si="76"/>
        <v/>
      </c>
      <c r="DX46" s="624" t="str">
        <f t="shared" si="77"/>
        <v/>
      </c>
      <c r="DY46" s="624" t="str">
        <f t="shared" si="78"/>
        <v/>
      </c>
      <c r="DZ46" s="624" t="str">
        <f t="shared" si="79"/>
        <v/>
      </c>
      <c r="EA46" s="624" t="str">
        <f t="shared" si="80"/>
        <v/>
      </c>
      <c r="EB46" s="624" t="str">
        <f t="shared" si="81"/>
        <v/>
      </c>
      <c r="EC46" s="624" t="str">
        <f t="shared" si="82"/>
        <v/>
      </c>
      <c r="ED46" s="624" t="str">
        <f t="shared" si="83"/>
        <v/>
      </c>
      <c r="EE46" s="624" t="str">
        <f t="shared" si="84"/>
        <v/>
      </c>
      <c r="EF46" s="624" t="str">
        <f t="shared" si="85"/>
        <v/>
      </c>
      <c r="EG46" s="624" t="str">
        <f t="shared" si="86"/>
        <v/>
      </c>
      <c r="EH46" s="624" t="str">
        <f t="shared" si="87"/>
        <v/>
      </c>
      <c r="EI46" s="624" t="str">
        <f t="shared" si="88"/>
        <v/>
      </c>
      <c r="EJ46" s="624" t="str">
        <f t="shared" si="89"/>
        <v/>
      </c>
      <c r="EK46" s="624" t="str">
        <f t="shared" si="90"/>
        <v/>
      </c>
      <c r="EL46" s="624" t="str">
        <f t="shared" si="91"/>
        <v/>
      </c>
      <c r="EM46" s="624" t="str">
        <f t="shared" si="92"/>
        <v/>
      </c>
      <c r="EN46" s="624" t="str">
        <f t="shared" si="93"/>
        <v/>
      </c>
      <c r="EO46" s="624" t="str">
        <f t="shared" si="94"/>
        <v/>
      </c>
      <c r="EP46" s="624" t="str">
        <f t="shared" si="95"/>
        <v/>
      </c>
      <c r="EQ46" s="624" t="str">
        <f t="shared" si="96"/>
        <v/>
      </c>
      <c r="ER46" s="624" t="str">
        <f t="shared" si="97"/>
        <v/>
      </c>
      <c r="ES46" s="624" t="str">
        <f t="shared" si="98"/>
        <v/>
      </c>
      <c r="ET46" s="624" t="str">
        <f t="shared" si="99"/>
        <v/>
      </c>
      <c r="EU46" s="624" t="str">
        <f t="shared" si="100"/>
        <v/>
      </c>
      <c r="EV46" s="636" t="str">
        <f t="shared" si="101"/>
        <v/>
      </c>
      <c r="EW46" s="636" t="str">
        <f t="shared" si="102"/>
        <v/>
      </c>
      <c r="EX46" s="636" t="str">
        <f t="shared" si="103"/>
        <v/>
      </c>
      <c r="EY46" s="636" t="str">
        <f t="shared" si="104"/>
        <v/>
      </c>
      <c r="EZ46" s="636" t="str">
        <f t="shared" si="105"/>
        <v/>
      </c>
      <c r="FA46" s="636" t="str">
        <f t="shared" si="106"/>
        <v/>
      </c>
      <c r="FB46" s="636" t="str">
        <f t="shared" si="107"/>
        <v/>
      </c>
      <c r="FC46" s="636" t="str">
        <f t="shared" si="108"/>
        <v/>
      </c>
      <c r="FD46" s="636" t="str">
        <f t="shared" si="109"/>
        <v/>
      </c>
      <c r="FE46" s="636" t="str">
        <f t="shared" si="110"/>
        <v/>
      </c>
      <c r="FF46" s="636" t="str">
        <f t="shared" si="111"/>
        <v/>
      </c>
      <c r="FG46" s="636" t="str">
        <f t="shared" si="112"/>
        <v/>
      </c>
      <c r="FH46" s="636" t="str">
        <f t="shared" si="113"/>
        <v/>
      </c>
      <c r="FI46" s="636" t="str">
        <f t="shared" si="114"/>
        <v/>
      </c>
      <c r="FJ46" s="636" t="str">
        <f t="shared" si="115"/>
        <v/>
      </c>
      <c r="FK46" s="636" t="str">
        <f t="shared" si="116"/>
        <v/>
      </c>
      <c r="FL46" s="636" t="str">
        <f t="shared" si="117"/>
        <v/>
      </c>
      <c r="FM46" s="636" t="str">
        <f t="shared" si="118"/>
        <v/>
      </c>
      <c r="FN46" s="636" t="str">
        <f t="shared" si="119"/>
        <v/>
      </c>
      <c r="FO46" s="636" t="str">
        <f t="shared" si="120"/>
        <v/>
      </c>
      <c r="FP46" s="636" t="str">
        <f t="shared" si="121"/>
        <v/>
      </c>
      <c r="FQ46" s="636" t="str">
        <f t="shared" si="122"/>
        <v/>
      </c>
      <c r="FR46" s="636" t="str">
        <f t="shared" si="123"/>
        <v/>
      </c>
      <c r="FS46" s="636" t="str">
        <f t="shared" si="124"/>
        <v/>
      </c>
      <c r="FT46" s="636" t="str">
        <f t="shared" si="125"/>
        <v/>
      </c>
      <c r="FU46" s="636" t="str">
        <f t="shared" si="126"/>
        <v/>
      </c>
      <c r="FV46" s="636" t="str">
        <f t="shared" si="127"/>
        <v/>
      </c>
      <c r="FW46" s="636" t="str">
        <f t="shared" si="128"/>
        <v/>
      </c>
      <c r="FX46" s="636" t="str">
        <f t="shared" si="129"/>
        <v/>
      </c>
      <c r="FY46" s="636" t="str">
        <f t="shared" si="130"/>
        <v/>
      </c>
      <c r="FZ46" s="636" t="str">
        <f t="shared" si="131"/>
        <v/>
      </c>
      <c r="GA46" s="636" t="str">
        <f t="shared" si="132"/>
        <v/>
      </c>
      <c r="GB46" s="636" t="str">
        <f t="shared" si="133"/>
        <v/>
      </c>
      <c r="GC46" s="636" t="str">
        <f t="shared" si="134"/>
        <v/>
      </c>
      <c r="GD46" s="636" t="str">
        <f t="shared" si="135"/>
        <v/>
      </c>
      <c r="GE46" s="636" t="str">
        <f t="shared" si="136"/>
        <v/>
      </c>
      <c r="GF46" s="636" t="str">
        <f t="shared" si="137"/>
        <v/>
      </c>
      <c r="GG46" s="636" t="str">
        <f t="shared" si="138"/>
        <v/>
      </c>
      <c r="GH46" s="636" t="str">
        <f t="shared" si="139"/>
        <v/>
      </c>
      <c r="GI46" s="636" t="str">
        <f t="shared" si="140"/>
        <v/>
      </c>
      <c r="GJ46" s="636" t="str">
        <f t="shared" si="141"/>
        <v/>
      </c>
      <c r="GK46" s="636" t="str">
        <f t="shared" si="142"/>
        <v/>
      </c>
      <c r="GL46" s="636" t="str">
        <f t="shared" si="143"/>
        <v/>
      </c>
      <c r="GM46" s="636" t="str">
        <f t="shared" si="144"/>
        <v/>
      </c>
      <c r="GN46" s="636" t="str">
        <f t="shared" si="145"/>
        <v/>
      </c>
      <c r="GO46" s="637" t="str">
        <f t="shared" si="146"/>
        <v/>
      </c>
      <c r="GP46" s="637" t="str">
        <f t="shared" si="147"/>
        <v/>
      </c>
      <c r="GQ46" s="637" t="str">
        <f t="shared" si="148"/>
        <v/>
      </c>
      <c r="GR46" s="637" t="str">
        <f t="shared" si="149"/>
        <v/>
      </c>
      <c r="GS46" s="637" t="str">
        <f t="shared" si="150"/>
        <v/>
      </c>
      <c r="GT46" s="624" t="str">
        <f t="shared" si="151"/>
        <v/>
      </c>
      <c r="GU46" s="624" t="str">
        <f t="shared" si="152"/>
        <v/>
      </c>
      <c r="GV46" s="624" t="str">
        <f t="shared" si="153"/>
        <v/>
      </c>
      <c r="GW46" s="624" t="str">
        <f t="shared" si="154"/>
        <v/>
      </c>
      <c r="GX46" s="624" t="str">
        <f t="shared" si="155"/>
        <v/>
      </c>
      <c r="GY46" s="624" t="str">
        <f t="shared" si="156"/>
        <v/>
      </c>
      <c r="GZ46" s="624" t="str">
        <f t="shared" si="157"/>
        <v/>
      </c>
      <c r="HA46" s="624" t="str">
        <f t="shared" si="158"/>
        <v/>
      </c>
      <c r="HB46" s="624" t="str">
        <f t="shared" si="159"/>
        <v/>
      </c>
      <c r="HC46" s="624" t="str">
        <f t="shared" si="160"/>
        <v/>
      </c>
      <c r="HD46" s="624" t="str">
        <f t="shared" si="161"/>
        <v/>
      </c>
      <c r="HE46" s="624" t="str">
        <f t="shared" si="162"/>
        <v/>
      </c>
      <c r="HF46" s="624" t="str">
        <f t="shared" si="163"/>
        <v/>
      </c>
      <c r="HG46" s="624" t="str">
        <f t="shared" si="164"/>
        <v/>
      </c>
      <c r="HH46" s="624" t="str">
        <f t="shared" si="165"/>
        <v/>
      </c>
      <c r="HI46" s="624" t="str">
        <f t="shared" si="166"/>
        <v/>
      </c>
      <c r="HJ46" s="624" t="str">
        <f t="shared" si="167"/>
        <v/>
      </c>
      <c r="HK46" s="624" t="str">
        <f t="shared" si="168"/>
        <v/>
      </c>
      <c r="HL46" s="624" t="str">
        <f t="shared" si="169"/>
        <v/>
      </c>
      <c r="HM46" s="624" t="str">
        <f t="shared" si="170"/>
        <v/>
      </c>
    </row>
    <row r="47" spans="1:221" ht="13.15" customHeight="1">
      <c r="A47" s="130" t="str">
        <f t="shared" si="171"/>
        <v/>
      </c>
      <c r="B47" s="1559" t="s">
        <v>2466</v>
      </c>
      <c r="C47" s="1560"/>
      <c r="D47" s="1561"/>
      <c r="E47" s="1562"/>
      <c r="F47" s="1562"/>
      <c r="G47" s="1562"/>
      <c r="H47" s="1562"/>
      <c r="I47" s="1562"/>
      <c r="J47" s="1563"/>
      <c r="K47" s="206">
        <f t="shared" si="204"/>
        <v>0</v>
      </c>
      <c r="L47" s="206">
        <f t="shared" si="0"/>
        <v>0</v>
      </c>
      <c r="M47" s="1564"/>
      <c r="N47" s="1564"/>
      <c r="O47" s="1564"/>
      <c r="P47" s="559" t="str">
        <f t="shared" si="203"/>
        <v/>
      </c>
      <c r="Q47" s="560" t="str">
        <f>IF(H47="","",P47/($P$6*VLOOKUP(C47,'DCA Underwriting Assumptions'!$J$81:$K$86,2,FALSE)))</f>
        <v/>
      </c>
      <c r="R47" s="667"/>
      <c r="S47" s="560"/>
      <c r="T47" s="1500"/>
      <c r="U47" s="1501"/>
      <c r="V47" s="624" t="str">
        <f t="shared" si="1"/>
        <v/>
      </c>
      <c r="W47" s="624" t="str">
        <f t="shared" si="2"/>
        <v/>
      </c>
      <c r="X47" s="624" t="str">
        <f t="shared" si="3"/>
        <v/>
      </c>
      <c r="Y47" s="624" t="str">
        <f t="shared" si="4"/>
        <v/>
      </c>
      <c r="Z47" s="624" t="str">
        <f t="shared" si="5"/>
        <v/>
      </c>
      <c r="AA47" s="624" t="str">
        <f t="shared" si="6"/>
        <v/>
      </c>
      <c r="AB47" s="624" t="str">
        <f t="shared" si="7"/>
        <v/>
      </c>
      <c r="AC47" s="624" t="str">
        <f t="shared" si="8"/>
        <v/>
      </c>
      <c r="AD47" s="624" t="str">
        <f t="shared" si="9"/>
        <v/>
      </c>
      <c r="AE47" s="624" t="str">
        <f t="shared" si="10"/>
        <v/>
      </c>
      <c r="AF47" s="624" t="str">
        <f t="shared" si="11"/>
        <v/>
      </c>
      <c r="AG47" s="624" t="str">
        <f t="shared" si="12"/>
        <v/>
      </c>
      <c r="AH47" s="624" t="str">
        <f t="shared" si="13"/>
        <v/>
      </c>
      <c r="AI47" s="624" t="str">
        <f t="shared" si="14"/>
        <v/>
      </c>
      <c r="AJ47" s="624" t="str">
        <f t="shared" si="15"/>
        <v/>
      </c>
      <c r="AK47" s="624" t="str">
        <f t="shared" si="16"/>
        <v/>
      </c>
      <c r="AL47" s="624" t="str">
        <f t="shared" si="17"/>
        <v/>
      </c>
      <c r="AM47" s="624" t="str">
        <f t="shared" si="18"/>
        <v/>
      </c>
      <c r="AN47" s="624" t="str">
        <f t="shared" si="19"/>
        <v/>
      </c>
      <c r="AO47" s="624" t="str">
        <f t="shared" si="20"/>
        <v/>
      </c>
      <c r="AP47" s="624" t="str">
        <f t="shared" si="173"/>
        <v/>
      </c>
      <c r="AQ47" s="624" t="str">
        <f t="shared" si="174"/>
        <v/>
      </c>
      <c r="AR47" s="624" t="str">
        <f t="shared" si="175"/>
        <v/>
      </c>
      <c r="AS47" s="624" t="str">
        <f t="shared" si="176"/>
        <v/>
      </c>
      <c r="AT47" s="624" t="str">
        <f t="shared" si="177"/>
        <v/>
      </c>
      <c r="AU47" s="624" t="str">
        <f t="shared" si="178"/>
        <v/>
      </c>
      <c r="AV47" s="624" t="str">
        <f t="shared" si="179"/>
        <v/>
      </c>
      <c r="AW47" s="624" t="str">
        <f t="shared" si="180"/>
        <v/>
      </c>
      <c r="AX47" s="624" t="str">
        <f t="shared" si="181"/>
        <v/>
      </c>
      <c r="AY47" s="624" t="str">
        <f t="shared" si="182"/>
        <v/>
      </c>
      <c r="AZ47" s="624" t="str">
        <f t="shared" si="183"/>
        <v/>
      </c>
      <c r="BA47" s="624" t="str">
        <f t="shared" si="184"/>
        <v/>
      </c>
      <c r="BB47" s="624" t="str">
        <f t="shared" si="185"/>
        <v/>
      </c>
      <c r="BC47" s="624" t="str">
        <f t="shared" si="186"/>
        <v/>
      </c>
      <c r="BD47" s="624" t="str">
        <f t="shared" si="187"/>
        <v/>
      </c>
      <c r="BE47" s="624" t="str">
        <f t="shared" si="188"/>
        <v/>
      </c>
      <c r="BF47" s="624" t="str">
        <f t="shared" si="189"/>
        <v/>
      </c>
      <c r="BG47" s="624" t="str">
        <f t="shared" si="190"/>
        <v/>
      </c>
      <c r="BH47" s="624" t="str">
        <f t="shared" si="191"/>
        <v/>
      </c>
      <c r="BI47" s="624" t="str">
        <f t="shared" si="192"/>
        <v/>
      </c>
      <c r="BJ47" s="624" t="str">
        <f t="shared" si="193"/>
        <v/>
      </c>
      <c r="BK47" s="624" t="str">
        <f t="shared" si="194"/>
        <v/>
      </c>
      <c r="BL47" s="624" t="str">
        <f t="shared" si="195"/>
        <v/>
      </c>
      <c r="BM47" s="624" t="str">
        <f t="shared" si="196"/>
        <v/>
      </c>
      <c r="BN47" s="624" t="str">
        <f t="shared" si="197"/>
        <v/>
      </c>
      <c r="BO47" s="624" t="str">
        <f t="shared" si="198"/>
        <v/>
      </c>
      <c r="BP47" s="624" t="str">
        <f t="shared" si="199"/>
        <v/>
      </c>
      <c r="BQ47" s="624" t="str">
        <f t="shared" si="200"/>
        <v/>
      </c>
      <c r="BR47" s="624" t="str">
        <f t="shared" si="201"/>
        <v/>
      </c>
      <c r="BS47" s="624" t="str">
        <f t="shared" si="202"/>
        <v/>
      </c>
      <c r="BT47" s="624" t="str">
        <f t="shared" si="21"/>
        <v/>
      </c>
      <c r="BU47" s="624" t="str">
        <f t="shared" si="22"/>
        <v/>
      </c>
      <c r="BV47" s="624" t="str">
        <f t="shared" si="23"/>
        <v/>
      </c>
      <c r="BW47" s="624" t="str">
        <f t="shared" si="24"/>
        <v/>
      </c>
      <c r="BX47" s="624" t="str">
        <f t="shared" si="25"/>
        <v/>
      </c>
      <c r="BY47" s="624" t="str">
        <f t="shared" si="26"/>
        <v/>
      </c>
      <c r="BZ47" s="624" t="str">
        <f t="shared" si="27"/>
        <v/>
      </c>
      <c r="CA47" s="624" t="str">
        <f t="shared" si="28"/>
        <v/>
      </c>
      <c r="CB47" s="624" t="str">
        <f t="shared" si="29"/>
        <v/>
      </c>
      <c r="CC47" s="624" t="str">
        <f t="shared" si="30"/>
        <v/>
      </c>
      <c r="CD47" s="624" t="str">
        <f t="shared" si="31"/>
        <v/>
      </c>
      <c r="CE47" s="624" t="str">
        <f t="shared" si="32"/>
        <v/>
      </c>
      <c r="CF47" s="624" t="str">
        <f t="shared" si="33"/>
        <v/>
      </c>
      <c r="CG47" s="624" t="str">
        <f t="shared" si="34"/>
        <v/>
      </c>
      <c r="CH47" s="624" t="str">
        <f t="shared" si="35"/>
        <v/>
      </c>
      <c r="CI47" s="624" t="str">
        <f t="shared" si="36"/>
        <v/>
      </c>
      <c r="CJ47" s="624" t="str">
        <f t="shared" si="37"/>
        <v/>
      </c>
      <c r="CK47" s="624" t="str">
        <f t="shared" si="38"/>
        <v/>
      </c>
      <c r="CL47" s="624" t="str">
        <f t="shared" si="39"/>
        <v/>
      </c>
      <c r="CM47" s="624" t="str">
        <f t="shared" si="40"/>
        <v/>
      </c>
      <c r="CN47" s="624" t="str">
        <f t="shared" si="41"/>
        <v/>
      </c>
      <c r="CO47" s="624" t="str">
        <f t="shared" si="42"/>
        <v/>
      </c>
      <c r="CP47" s="624" t="str">
        <f t="shared" si="43"/>
        <v/>
      </c>
      <c r="CQ47" s="624" t="str">
        <f t="shared" si="44"/>
        <v/>
      </c>
      <c r="CR47" s="624" t="str">
        <f t="shared" si="45"/>
        <v/>
      </c>
      <c r="CS47" s="624" t="str">
        <f t="shared" si="46"/>
        <v/>
      </c>
      <c r="CT47" s="624" t="str">
        <f t="shared" si="47"/>
        <v/>
      </c>
      <c r="CU47" s="624" t="str">
        <f t="shared" si="48"/>
        <v/>
      </c>
      <c r="CV47" s="624" t="str">
        <f t="shared" si="49"/>
        <v/>
      </c>
      <c r="CW47" s="624" t="str">
        <f t="shared" si="50"/>
        <v/>
      </c>
      <c r="CX47" s="624" t="str">
        <f t="shared" si="51"/>
        <v/>
      </c>
      <c r="CY47" s="624" t="str">
        <f t="shared" si="52"/>
        <v/>
      </c>
      <c r="CZ47" s="624" t="str">
        <f t="shared" si="53"/>
        <v/>
      </c>
      <c r="DA47" s="624" t="str">
        <f t="shared" si="54"/>
        <v/>
      </c>
      <c r="DB47" s="624" t="str">
        <f t="shared" si="55"/>
        <v/>
      </c>
      <c r="DC47" s="624" t="str">
        <f t="shared" si="56"/>
        <v/>
      </c>
      <c r="DD47" s="624" t="str">
        <f t="shared" si="57"/>
        <v/>
      </c>
      <c r="DE47" s="624" t="str">
        <f t="shared" si="58"/>
        <v/>
      </c>
      <c r="DF47" s="624" t="str">
        <f t="shared" si="59"/>
        <v/>
      </c>
      <c r="DG47" s="624" t="str">
        <f t="shared" si="60"/>
        <v/>
      </c>
      <c r="DH47" s="624" t="str">
        <f t="shared" si="61"/>
        <v/>
      </c>
      <c r="DI47" s="624" t="str">
        <f t="shared" si="62"/>
        <v/>
      </c>
      <c r="DJ47" s="624" t="str">
        <f t="shared" si="63"/>
        <v/>
      </c>
      <c r="DK47" s="624" t="str">
        <f t="shared" si="64"/>
        <v/>
      </c>
      <c r="DL47" s="624" t="str">
        <f t="shared" si="65"/>
        <v/>
      </c>
      <c r="DM47" s="624" t="str">
        <f t="shared" si="66"/>
        <v/>
      </c>
      <c r="DN47" s="624" t="str">
        <f t="shared" si="67"/>
        <v/>
      </c>
      <c r="DO47" s="624" t="str">
        <f t="shared" si="68"/>
        <v/>
      </c>
      <c r="DP47" s="624" t="str">
        <f t="shared" si="69"/>
        <v/>
      </c>
      <c r="DQ47" s="624" t="str">
        <f t="shared" si="70"/>
        <v/>
      </c>
      <c r="DR47" s="624" t="str">
        <f t="shared" si="71"/>
        <v/>
      </c>
      <c r="DS47" s="624" t="str">
        <f t="shared" si="72"/>
        <v/>
      </c>
      <c r="DT47" s="624" t="str">
        <f t="shared" si="73"/>
        <v/>
      </c>
      <c r="DU47" s="624" t="str">
        <f t="shared" si="74"/>
        <v/>
      </c>
      <c r="DV47" s="624" t="str">
        <f t="shared" si="75"/>
        <v/>
      </c>
      <c r="DW47" s="624" t="str">
        <f t="shared" si="76"/>
        <v/>
      </c>
      <c r="DX47" s="624" t="str">
        <f t="shared" si="77"/>
        <v/>
      </c>
      <c r="DY47" s="624" t="str">
        <f t="shared" si="78"/>
        <v/>
      </c>
      <c r="DZ47" s="624" t="str">
        <f t="shared" si="79"/>
        <v/>
      </c>
      <c r="EA47" s="624" t="str">
        <f t="shared" si="80"/>
        <v/>
      </c>
      <c r="EB47" s="624" t="str">
        <f t="shared" si="81"/>
        <v/>
      </c>
      <c r="EC47" s="624" t="str">
        <f t="shared" si="82"/>
        <v/>
      </c>
      <c r="ED47" s="624" t="str">
        <f t="shared" si="83"/>
        <v/>
      </c>
      <c r="EE47" s="624" t="str">
        <f t="shared" si="84"/>
        <v/>
      </c>
      <c r="EF47" s="624" t="str">
        <f t="shared" si="85"/>
        <v/>
      </c>
      <c r="EG47" s="624" t="str">
        <f t="shared" si="86"/>
        <v/>
      </c>
      <c r="EH47" s="624" t="str">
        <f t="shared" si="87"/>
        <v/>
      </c>
      <c r="EI47" s="624" t="str">
        <f t="shared" si="88"/>
        <v/>
      </c>
      <c r="EJ47" s="624" t="str">
        <f t="shared" si="89"/>
        <v/>
      </c>
      <c r="EK47" s="624" t="str">
        <f t="shared" si="90"/>
        <v/>
      </c>
      <c r="EL47" s="624" t="str">
        <f t="shared" si="91"/>
        <v/>
      </c>
      <c r="EM47" s="624" t="str">
        <f t="shared" si="92"/>
        <v/>
      </c>
      <c r="EN47" s="624" t="str">
        <f t="shared" si="93"/>
        <v/>
      </c>
      <c r="EO47" s="624" t="str">
        <f t="shared" si="94"/>
        <v/>
      </c>
      <c r="EP47" s="624" t="str">
        <f t="shared" si="95"/>
        <v/>
      </c>
      <c r="EQ47" s="624" t="str">
        <f t="shared" si="96"/>
        <v/>
      </c>
      <c r="ER47" s="624" t="str">
        <f t="shared" si="97"/>
        <v/>
      </c>
      <c r="ES47" s="624" t="str">
        <f t="shared" si="98"/>
        <v/>
      </c>
      <c r="ET47" s="624" t="str">
        <f t="shared" si="99"/>
        <v/>
      </c>
      <c r="EU47" s="624" t="str">
        <f t="shared" si="100"/>
        <v/>
      </c>
      <c r="EV47" s="636" t="str">
        <f t="shared" si="101"/>
        <v/>
      </c>
      <c r="EW47" s="636" t="str">
        <f t="shared" si="102"/>
        <v/>
      </c>
      <c r="EX47" s="636" t="str">
        <f t="shared" si="103"/>
        <v/>
      </c>
      <c r="EY47" s="636" t="str">
        <f t="shared" si="104"/>
        <v/>
      </c>
      <c r="EZ47" s="636" t="str">
        <f t="shared" si="105"/>
        <v/>
      </c>
      <c r="FA47" s="636" t="str">
        <f t="shared" si="106"/>
        <v/>
      </c>
      <c r="FB47" s="636" t="str">
        <f t="shared" si="107"/>
        <v/>
      </c>
      <c r="FC47" s="636" t="str">
        <f t="shared" si="108"/>
        <v/>
      </c>
      <c r="FD47" s="636" t="str">
        <f t="shared" si="109"/>
        <v/>
      </c>
      <c r="FE47" s="636" t="str">
        <f t="shared" si="110"/>
        <v/>
      </c>
      <c r="FF47" s="636" t="str">
        <f t="shared" si="111"/>
        <v/>
      </c>
      <c r="FG47" s="636" t="str">
        <f t="shared" si="112"/>
        <v/>
      </c>
      <c r="FH47" s="636" t="str">
        <f t="shared" si="113"/>
        <v/>
      </c>
      <c r="FI47" s="636" t="str">
        <f t="shared" si="114"/>
        <v/>
      </c>
      <c r="FJ47" s="636" t="str">
        <f t="shared" si="115"/>
        <v/>
      </c>
      <c r="FK47" s="636" t="str">
        <f t="shared" si="116"/>
        <v/>
      </c>
      <c r="FL47" s="636" t="str">
        <f t="shared" si="117"/>
        <v/>
      </c>
      <c r="FM47" s="636" t="str">
        <f t="shared" si="118"/>
        <v/>
      </c>
      <c r="FN47" s="636" t="str">
        <f t="shared" si="119"/>
        <v/>
      </c>
      <c r="FO47" s="636" t="str">
        <f t="shared" si="120"/>
        <v/>
      </c>
      <c r="FP47" s="636" t="str">
        <f t="shared" si="121"/>
        <v/>
      </c>
      <c r="FQ47" s="636" t="str">
        <f t="shared" si="122"/>
        <v/>
      </c>
      <c r="FR47" s="636" t="str">
        <f t="shared" si="123"/>
        <v/>
      </c>
      <c r="FS47" s="636" t="str">
        <f t="shared" si="124"/>
        <v/>
      </c>
      <c r="FT47" s="636" t="str">
        <f t="shared" si="125"/>
        <v/>
      </c>
      <c r="FU47" s="636" t="str">
        <f t="shared" si="126"/>
        <v/>
      </c>
      <c r="FV47" s="636" t="str">
        <f t="shared" si="127"/>
        <v/>
      </c>
      <c r="FW47" s="636" t="str">
        <f t="shared" si="128"/>
        <v/>
      </c>
      <c r="FX47" s="636" t="str">
        <f t="shared" si="129"/>
        <v/>
      </c>
      <c r="FY47" s="636" t="str">
        <f t="shared" si="130"/>
        <v/>
      </c>
      <c r="FZ47" s="636" t="str">
        <f t="shared" si="131"/>
        <v/>
      </c>
      <c r="GA47" s="636" t="str">
        <f t="shared" si="132"/>
        <v/>
      </c>
      <c r="GB47" s="636" t="str">
        <f t="shared" si="133"/>
        <v/>
      </c>
      <c r="GC47" s="636" t="str">
        <f t="shared" si="134"/>
        <v/>
      </c>
      <c r="GD47" s="636" t="str">
        <f t="shared" si="135"/>
        <v/>
      </c>
      <c r="GE47" s="636" t="str">
        <f t="shared" si="136"/>
        <v/>
      </c>
      <c r="GF47" s="636" t="str">
        <f t="shared" si="137"/>
        <v/>
      </c>
      <c r="GG47" s="636" t="str">
        <f t="shared" si="138"/>
        <v/>
      </c>
      <c r="GH47" s="636" t="str">
        <f t="shared" si="139"/>
        <v/>
      </c>
      <c r="GI47" s="636" t="str">
        <f t="shared" si="140"/>
        <v/>
      </c>
      <c r="GJ47" s="636" t="str">
        <f t="shared" si="141"/>
        <v/>
      </c>
      <c r="GK47" s="636" t="str">
        <f t="shared" si="142"/>
        <v/>
      </c>
      <c r="GL47" s="636" t="str">
        <f t="shared" si="143"/>
        <v/>
      </c>
      <c r="GM47" s="636" t="str">
        <f t="shared" si="144"/>
        <v/>
      </c>
      <c r="GN47" s="636" t="str">
        <f t="shared" si="145"/>
        <v/>
      </c>
      <c r="GO47" s="637" t="str">
        <f t="shared" si="146"/>
        <v/>
      </c>
      <c r="GP47" s="637" t="str">
        <f t="shared" si="147"/>
        <v/>
      </c>
      <c r="GQ47" s="637" t="str">
        <f t="shared" si="148"/>
        <v/>
      </c>
      <c r="GR47" s="637" t="str">
        <f t="shared" si="149"/>
        <v/>
      </c>
      <c r="GS47" s="637" t="str">
        <f t="shared" si="150"/>
        <v/>
      </c>
      <c r="GT47" s="624" t="str">
        <f t="shared" si="151"/>
        <v/>
      </c>
      <c r="GU47" s="624" t="str">
        <f t="shared" si="152"/>
        <v/>
      </c>
      <c r="GV47" s="624" t="str">
        <f t="shared" si="153"/>
        <v/>
      </c>
      <c r="GW47" s="624" t="str">
        <f t="shared" si="154"/>
        <v/>
      </c>
      <c r="GX47" s="624" t="str">
        <f t="shared" si="155"/>
        <v/>
      </c>
      <c r="GY47" s="624" t="str">
        <f t="shared" si="156"/>
        <v/>
      </c>
      <c r="GZ47" s="624" t="str">
        <f t="shared" si="157"/>
        <v/>
      </c>
      <c r="HA47" s="624" t="str">
        <f t="shared" si="158"/>
        <v/>
      </c>
      <c r="HB47" s="624" t="str">
        <f t="shared" si="159"/>
        <v/>
      </c>
      <c r="HC47" s="624" t="str">
        <f t="shared" si="160"/>
        <v/>
      </c>
      <c r="HD47" s="624" t="str">
        <f t="shared" si="161"/>
        <v/>
      </c>
      <c r="HE47" s="624" t="str">
        <f t="shared" si="162"/>
        <v/>
      </c>
      <c r="HF47" s="624" t="str">
        <f t="shared" si="163"/>
        <v/>
      </c>
      <c r="HG47" s="624" t="str">
        <f t="shared" si="164"/>
        <v/>
      </c>
      <c r="HH47" s="624" t="str">
        <f t="shared" si="165"/>
        <v/>
      </c>
      <c r="HI47" s="624" t="str">
        <f t="shared" si="166"/>
        <v/>
      </c>
      <c r="HJ47" s="624" t="str">
        <f t="shared" si="167"/>
        <v/>
      </c>
      <c r="HK47" s="624" t="str">
        <f t="shared" si="168"/>
        <v/>
      </c>
      <c r="HL47" s="624" t="str">
        <f t="shared" si="169"/>
        <v/>
      </c>
      <c r="HM47" s="624" t="str">
        <f t="shared" si="170"/>
        <v/>
      </c>
    </row>
    <row r="48" spans="1:221" ht="14.45" customHeight="1">
      <c r="A48" s="207">
        <f>COUNT(A10,A11,A12,A13,A14,A15,A16,A17,A18,A19,A20,A21,A22,A23,A24,A25,A26,A27,A28,A29,A30,A31,A32,A33,A34,A35,A36,A37,A38,A39)</f>
        <v>6</v>
      </c>
      <c r="B48" s="93"/>
      <c r="C48" s="1"/>
      <c r="D48" s="17" t="s">
        <v>1420</v>
      </c>
      <c r="E48" s="153">
        <f>SUM(E10:E47)</f>
        <v>80</v>
      </c>
      <c r="F48" s="154">
        <f>(E10*F10+E11*F11+E12*F12+E13*F13+E14*F14+E15*F15+E16*F16+E17*F17+E18*F18+E19*F19+E20*F20+E21*F21+E22*F22+E23*F23+E24*F24+E25*F25+E26*F26+E27*F27+E28*F28+E29*F29+E30*F30+E31*F31+E32*F32+E33*F33+E34*F34+E35*F35+E36*F36+E37*F37+E38*F38+E39*F39+E40*F40+E41*F41+E42*F42+E43*F43+E44*F44+E45*F45+E46*F46+E47*F47)</f>
        <v>62800</v>
      </c>
      <c r="G48" s="145"/>
      <c r="H48" s="146"/>
      <c r="I48" s="146"/>
      <c r="J48" s="146"/>
      <c r="K48" s="15" t="s">
        <v>1736</v>
      </c>
      <c r="L48" s="152">
        <f>SUM(L10:L47)</f>
        <v>47092</v>
      </c>
      <c r="M48" s="1"/>
      <c r="N48" s="40"/>
      <c r="O48" s="1"/>
      <c r="P48" s="562"/>
      <c r="Q48" s="562"/>
      <c r="R48" s="562"/>
      <c r="S48" s="562"/>
      <c r="T48" s="561"/>
      <c r="U48" s="563"/>
      <c r="V48" s="638">
        <f t="shared" ref="V48:CK48" si="206">SUM(V10:V47)</f>
        <v>0</v>
      </c>
      <c r="W48" s="638">
        <f t="shared" si="206"/>
        <v>63</v>
      </c>
      <c r="X48" s="638">
        <f t="shared" si="206"/>
        <v>12</v>
      </c>
      <c r="Y48" s="638">
        <f t="shared" si="206"/>
        <v>0</v>
      </c>
      <c r="Z48" s="638">
        <f t="shared" si="206"/>
        <v>0</v>
      </c>
      <c r="AA48" s="638">
        <f t="shared" si="206"/>
        <v>0</v>
      </c>
      <c r="AB48" s="638">
        <f t="shared" si="206"/>
        <v>0</v>
      </c>
      <c r="AC48" s="638">
        <f t="shared" si="206"/>
        <v>0</v>
      </c>
      <c r="AD48" s="638">
        <f t="shared" si="206"/>
        <v>0</v>
      </c>
      <c r="AE48" s="638">
        <f t="shared" si="206"/>
        <v>0</v>
      </c>
      <c r="AF48" s="638">
        <f t="shared" si="206"/>
        <v>0</v>
      </c>
      <c r="AG48" s="638">
        <f t="shared" si="206"/>
        <v>0</v>
      </c>
      <c r="AH48" s="638">
        <f t="shared" si="206"/>
        <v>0</v>
      </c>
      <c r="AI48" s="638">
        <f t="shared" si="206"/>
        <v>0</v>
      </c>
      <c r="AJ48" s="638">
        <f t="shared" si="206"/>
        <v>0</v>
      </c>
      <c r="AK48" s="638">
        <f t="shared" si="206"/>
        <v>0</v>
      </c>
      <c r="AL48" s="638">
        <f t="shared" si="206"/>
        <v>3</v>
      </c>
      <c r="AM48" s="638">
        <f t="shared" si="206"/>
        <v>2</v>
      </c>
      <c r="AN48" s="638">
        <f t="shared" si="206"/>
        <v>0</v>
      </c>
      <c r="AO48" s="638">
        <f t="shared" si="206"/>
        <v>0</v>
      </c>
      <c r="AP48" s="638">
        <f t="shared" si="206"/>
        <v>0</v>
      </c>
      <c r="AQ48" s="638">
        <f t="shared" si="206"/>
        <v>0</v>
      </c>
      <c r="AR48" s="638">
        <f t="shared" si="206"/>
        <v>0</v>
      </c>
      <c r="AS48" s="638">
        <f t="shared" si="206"/>
        <v>0</v>
      </c>
      <c r="AT48" s="638">
        <f t="shared" si="206"/>
        <v>0</v>
      </c>
      <c r="AU48" s="638">
        <f t="shared" si="206"/>
        <v>0</v>
      </c>
      <c r="AV48" s="638">
        <f t="shared" si="206"/>
        <v>0</v>
      </c>
      <c r="AW48" s="638">
        <f t="shared" si="206"/>
        <v>0</v>
      </c>
      <c r="AX48" s="638">
        <f t="shared" si="206"/>
        <v>0</v>
      </c>
      <c r="AY48" s="638">
        <f t="shared" si="206"/>
        <v>0</v>
      </c>
      <c r="AZ48" s="638">
        <f t="shared" si="206"/>
        <v>0</v>
      </c>
      <c r="BA48" s="638">
        <f t="shared" si="206"/>
        <v>63</v>
      </c>
      <c r="BB48" s="638">
        <f t="shared" si="206"/>
        <v>12</v>
      </c>
      <c r="BC48" s="638">
        <f t="shared" si="206"/>
        <v>0</v>
      </c>
      <c r="BD48" s="638">
        <f t="shared" si="206"/>
        <v>0</v>
      </c>
      <c r="BE48" s="638">
        <f t="shared" ref="BE48:BS48" si="207">SUM(BE10:BE47)</f>
        <v>0</v>
      </c>
      <c r="BF48" s="638">
        <f t="shared" si="207"/>
        <v>0</v>
      </c>
      <c r="BG48" s="638">
        <f t="shared" si="207"/>
        <v>0</v>
      </c>
      <c r="BH48" s="638">
        <f t="shared" si="207"/>
        <v>0</v>
      </c>
      <c r="BI48" s="638">
        <f t="shared" si="207"/>
        <v>0</v>
      </c>
      <c r="BJ48" s="638">
        <f t="shared" si="207"/>
        <v>0</v>
      </c>
      <c r="BK48" s="638">
        <f t="shared" si="207"/>
        <v>0</v>
      </c>
      <c r="BL48" s="638">
        <f t="shared" si="207"/>
        <v>0</v>
      </c>
      <c r="BM48" s="638">
        <f t="shared" si="207"/>
        <v>0</v>
      </c>
      <c r="BN48" s="638">
        <f t="shared" si="207"/>
        <v>0</v>
      </c>
      <c r="BO48" s="638">
        <f t="shared" si="207"/>
        <v>0</v>
      </c>
      <c r="BP48" s="638">
        <f t="shared" si="207"/>
        <v>0</v>
      </c>
      <c r="BQ48" s="638">
        <f t="shared" si="207"/>
        <v>0</v>
      </c>
      <c r="BR48" s="638">
        <f t="shared" si="207"/>
        <v>0</v>
      </c>
      <c r="BS48" s="638">
        <f t="shared" si="207"/>
        <v>0</v>
      </c>
      <c r="BT48" s="638">
        <f t="shared" si="206"/>
        <v>0</v>
      </c>
      <c r="BU48" s="638">
        <f t="shared" si="206"/>
        <v>0</v>
      </c>
      <c r="BV48" s="638">
        <f t="shared" si="206"/>
        <v>0</v>
      </c>
      <c r="BW48" s="638">
        <f t="shared" si="206"/>
        <v>0</v>
      </c>
      <c r="BX48" s="638">
        <f t="shared" si="206"/>
        <v>0</v>
      </c>
      <c r="BY48" s="638">
        <f t="shared" si="206"/>
        <v>0</v>
      </c>
      <c r="BZ48" s="638">
        <f t="shared" si="206"/>
        <v>47250</v>
      </c>
      <c r="CA48" s="638">
        <f t="shared" si="206"/>
        <v>11400</v>
      </c>
      <c r="CB48" s="638">
        <f t="shared" si="206"/>
        <v>0</v>
      </c>
      <c r="CC48" s="638">
        <f t="shared" si="206"/>
        <v>0</v>
      </c>
      <c r="CD48" s="638">
        <f t="shared" si="206"/>
        <v>0</v>
      </c>
      <c r="CE48" s="638">
        <f t="shared" si="206"/>
        <v>0</v>
      </c>
      <c r="CF48" s="638">
        <f t="shared" si="206"/>
        <v>0</v>
      </c>
      <c r="CG48" s="638">
        <f t="shared" si="206"/>
        <v>0</v>
      </c>
      <c r="CH48" s="638">
        <f t="shared" si="206"/>
        <v>0</v>
      </c>
      <c r="CI48" s="638">
        <f t="shared" si="206"/>
        <v>0</v>
      </c>
      <c r="CJ48" s="638">
        <f t="shared" si="206"/>
        <v>0</v>
      </c>
      <c r="CK48" s="638">
        <f t="shared" si="206"/>
        <v>0</v>
      </c>
      <c r="CL48" s="638">
        <f t="shared" ref="CL48:EP48" si="208">SUM(CL10:CL47)</f>
        <v>0</v>
      </c>
      <c r="CM48" s="638">
        <f t="shared" si="208"/>
        <v>0</v>
      </c>
      <c r="CN48" s="638">
        <f t="shared" si="208"/>
        <v>0</v>
      </c>
      <c r="CO48" s="638">
        <f t="shared" si="208"/>
        <v>2250</v>
      </c>
      <c r="CP48" s="638">
        <f t="shared" si="208"/>
        <v>1900</v>
      </c>
      <c r="CQ48" s="638">
        <f t="shared" si="208"/>
        <v>0</v>
      </c>
      <c r="CR48" s="638">
        <f t="shared" si="208"/>
        <v>0</v>
      </c>
      <c r="CS48" s="638">
        <f t="shared" si="208"/>
        <v>0</v>
      </c>
      <c r="CT48" s="638">
        <f t="shared" si="208"/>
        <v>47250</v>
      </c>
      <c r="CU48" s="638">
        <f t="shared" si="208"/>
        <v>11400</v>
      </c>
      <c r="CV48" s="638">
        <f t="shared" si="208"/>
        <v>0</v>
      </c>
      <c r="CW48" s="638">
        <f t="shared" si="208"/>
        <v>0</v>
      </c>
      <c r="CX48" s="638">
        <f t="shared" si="208"/>
        <v>0</v>
      </c>
      <c r="CY48" s="638">
        <f t="shared" si="208"/>
        <v>0</v>
      </c>
      <c r="CZ48" s="638">
        <f t="shared" si="208"/>
        <v>0</v>
      </c>
      <c r="DA48" s="638">
        <f t="shared" si="208"/>
        <v>0</v>
      </c>
      <c r="DB48" s="638">
        <f t="shared" si="208"/>
        <v>0</v>
      </c>
      <c r="DC48" s="638">
        <f t="shared" si="208"/>
        <v>0</v>
      </c>
      <c r="DD48" s="638">
        <f t="shared" si="208"/>
        <v>63</v>
      </c>
      <c r="DE48" s="638">
        <f t="shared" si="208"/>
        <v>12</v>
      </c>
      <c r="DF48" s="638">
        <f t="shared" si="208"/>
        <v>0</v>
      </c>
      <c r="DG48" s="638">
        <f t="shared" si="208"/>
        <v>0</v>
      </c>
      <c r="DH48" s="638">
        <f t="shared" si="208"/>
        <v>0</v>
      </c>
      <c r="DI48" s="638">
        <f t="shared" si="208"/>
        <v>3</v>
      </c>
      <c r="DJ48" s="638">
        <f t="shared" si="208"/>
        <v>2</v>
      </c>
      <c r="DK48" s="638">
        <f t="shared" si="208"/>
        <v>0</v>
      </c>
      <c r="DL48" s="638">
        <f t="shared" si="208"/>
        <v>0</v>
      </c>
      <c r="DM48" s="638">
        <f>SUM(DM10:DM47)</f>
        <v>0</v>
      </c>
      <c r="DN48" s="638">
        <f>SUM(DN10:DN47)</f>
        <v>0</v>
      </c>
      <c r="DO48" s="638">
        <f>SUM(DO10:DO47)</f>
        <v>0</v>
      </c>
      <c r="DP48" s="638">
        <f>SUM(DP10:DP47)</f>
        <v>0</v>
      </c>
      <c r="DQ48" s="638">
        <f>SUM(DQ10:DQ47)</f>
        <v>0</v>
      </c>
      <c r="DR48" s="638">
        <f t="shared" si="208"/>
        <v>0</v>
      </c>
      <c r="DS48" s="638">
        <f t="shared" si="208"/>
        <v>0</v>
      </c>
      <c r="DT48" s="638">
        <f t="shared" si="208"/>
        <v>0</v>
      </c>
      <c r="DU48" s="638">
        <f t="shared" si="208"/>
        <v>0</v>
      </c>
      <c r="DV48" s="638">
        <f t="shared" si="208"/>
        <v>0</v>
      </c>
      <c r="DW48" s="638">
        <f t="shared" si="208"/>
        <v>0</v>
      </c>
      <c r="DX48" s="638">
        <f t="shared" si="208"/>
        <v>0</v>
      </c>
      <c r="DY48" s="638">
        <f t="shared" si="208"/>
        <v>0</v>
      </c>
      <c r="DZ48" s="638">
        <f t="shared" si="208"/>
        <v>0</v>
      </c>
      <c r="EA48" s="638">
        <f t="shared" si="208"/>
        <v>0</v>
      </c>
      <c r="EB48" s="638">
        <f>SUM(EB10:EB47)</f>
        <v>0</v>
      </c>
      <c r="EC48" s="638">
        <f>SUM(EC10:EC47)</f>
        <v>0</v>
      </c>
      <c r="ED48" s="638">
        <f>SUM(ED10:ED47)</f>
        <v>0</v>
      </c>
      <c r="EE48" s="638">
        <f>SUM(EE10:EE47)</f>
        <v>0</v>
      </c>
      <c r="EF48" s="638">
        <f>SUM(EF10:EF47)</f>
        <v>0</v>
      </c>
      <c r="EG48" s="638">
        <f t="shared" si="208"/>
        <v>0</v>
      </c>
      <c r="EH48" s="638">
        <f t="shared" si="208"/>
        <v>0</v>
      </c>
      <c r="EI48" s="638">
        <f t="shared" si="208"/>
        <v>0</v>
      </c>
      <c r="EJ48" s="638">
        <f t="shared" si="208"/>
        <v>0</v>
      </c>
      <c r="EK48" s="638">
        <f t="shared" si="208"/>
        <v>0</v>
      </c>
      <c r="EL48" s="638">
        <f t="shared" si="208"/>
        <v>0</v>
      </c>
      <c r="EM48" s="638">
        <f t="shared" si="208"/>
        <v>0</v>
      </c>
      <c r="EN48" s="638">
        <f t="shared" si="208"/>
        <v>0</v>
      </c>
      <c r="EO48" s="638">
        <f t="shared" si="208"/>
        <v>0</v>
      </c>
      <c r="EP48" s="638">
        <f t="shared" si="208"/>
        <v>0</v>
      </c>
      <c r="EQ48" s="638">
        <f>SUM(EQ10:EQ47)</f>
        <v>0</v>
      </c>
      <c r="ER48" s="638">
        <f>SUM(ER10:ER47)</f>
        <v>0</v>
      </c>
      <c r="ES48" s="638">
        <f>SUM(ES10:ES47)</f>
        <v>0</v>
      </c>
      <c r="ET48" s="638">
        <f>SUM(ET10:ET47)</f>
        <v>0</v>
      </c>
      <c r="EU48" s="638">
        <f>SUM(EU10:EU47)</f>
        <v>0</v>
      </c>
      <c r="EV48" s="638">
        <f t="shared" ref="EV48:GN48" si="209">SUM(EV10:EV47)</f>
        <v>0</v>
      </c>
      <c r="EW48" s="638">
        <f t="shared" si="209"/>
        <v>66</v>
      </c>
      <c r="EX48" s="638">
        <f t="shared" si="209"/>
        <v>14</v>
      </c>
      <c r="EY48" s="638">
        <f t="shared" si="209"/>
        <v>0</v>
      </c>
      <c r="EZ48" s="638">
        <f t="shared" si="209"/>
        <v>0</v>
      </c>
      <c r="FA48" s="638">
        <f t="shared" si="209"/>
        <v>0</v>
      </c>
      <c r="FB48" s="638">
        <f t="shared" si="209"/>
        <v>0</v>
      </c>
      <c r="FC48" s="638">
        <f t="shared" si="209"/>
        <v>0</v>
      </c>
      <c r="FD48" s="638">
        <f t="shared" si="209"/>
        <v>0</v>
      </c>
      <c r="FE48" s="638">
        <f t="shared" si="209"/>
        <v>0</v>
      </c>
      <c r="FF48" s="638">
        <f t="shared" si="209"/>
        <v>0</v>
      </c>
      <c r="FG48" s="638">
        <f t="shared" si="209"/>
        <v>0</v>
      </c>
      <c r="FH48" s="638">
        <f t="shared" si="209"/>
        <v>0</v>
      </c>
      <c r="FI48" s="638">
        <f t="shared" si="209"/>
        <v>0</v>
      </c>
      <c r="FJ48" s="638">
        <f t="shared" si="209"/>
        <v>0</v>
      </c>
      <c r="FK48" s="638">
        <f t="shared" si="209"/>
        <v>0</v>
      </c>
      <c r="FL48" s="638">
        <f t="shared" si="209"/>
        <v>0</v>
      </c>
      <c r="FM48" s="638">
        <f t="shared" si="209"/>
        <v>0</v>
      </c>
      <c r="FN48" s="638">
        <f t="shared" si="209"/>
        <v>0</v>
      </c>
      <c r="FO48" s="638">
        <f t="shared" si="209"/>
        <v>0</v>
      </c>
      <c r="FP48" s="638">
        <f t="shared" si="209"/>
        <v>0</v>
      </c>
      <c r="FQ48" s="638">
        <f t="shared" si="209"/>
        <v>0</v>
      </c>
      <c r="FR48" s="638">
        <f t="shared" si="209"/>
        <v>0</v>
      </c>
      <c r="FS48" s="638">
        <f t="shared" si="209"/>
        <v>0</v>
      </c>
      <c r="FT48" s="638">
        <f t="shared" si="209"/>
        <v>0</v>
      </c>
      <c r="FU48" s="638">
        <f t="shared" si="209"/>
        <v>0</v>
      </c>
      <c r="FV48" s="638">
        <f t="shared" si="209"/>
        <v>0</v>
      </c>
      <c r="FW48" s="638">
        <f t="shared" si="209"/>
        <v>0</v>
      </c>
      <c r="FX48" s="638">
        <f t="shared" si="209"/>
        <v>0</v>
      </c>
      <c r="FY48" s="638">
        <f t="shared" si="209"/>
        <v>0</v>
      </c>
      <c r="FZ48" s="638">
        <f t="shared" si="209"/>
        <v>0</v>
      </c>
      <c r="GA48" s="638">
        <f t="shared" si="209"/>
        <v>0</v>
      </c>
      <c r="GB48" s="638">
        <f t="shared" si="209"/>
        <v>0</v>
      </c>
      <c r="GC48" s="638">
        <f t="shared" si="209"/>
        <v>0</v>
      </c>
      <c r="GD48" s="638">
        <f t="shared" si="209"/>
        <v>0</v>
      </c>
      <c r="GE48" s="638">
        <f t="shared" si="209"/>
        <v>0</v>
      </c>
      <c r="GF48" s="638">
        <f t="shared" si="209"/>
        <v>0</v>
      </c>
      <c r="GG48" s="638">
        <f t="shared" si="209"/>
        <v>0</v>
      </c>
      <c r="GH48" s="638">
        <f t="shared" si="209"/>
        <v>0</v>
      </c>
      <c r="GI48" s="638">
        <f t="shared" si="209"/>
        <v>0</v>
      </c>
      <c r="GJ48" s="638">
        <f t="shared" si="209"/>
        <v>0</v>
      </c>
      <c r="GK48" s="638">
        <f t="shared" si="209"/>
        <v>66</v>
      </c>
      <c r="GL48" s="638">
        <f t="shared" si="209"/>
        <v>14</v>
      </c>
      <c r="GM48" s="638">
        <f t="shared" si="209"/>
        <v>0</v>
      </c>
      <c r="GN48" s="638">
        <f t="shared" si="209"/>
        <v>0</v>
      </c>
      <c r="GO48" s="638">
        <f t="shared" ref="GO48:HM48" si="210">SUM(GO10:GO47)</f>
        <v>0</v>
      </c>
      <c r="GP48" s="638">
        <f t="shared" si="210"/>
        <v>0</v>
      </c>
      <c r="GQ48" s="638">
        <f t="shared" si="210"/>
        <v>0</v>
      </c>
      <c r="GR48" s="638">
        <f t="shared" si="210"/>
        <v>0</v>
      </c>
      <c r="GS48" s="638">
        <f t="shared" si="210"/>
        <v>0</v>
      </c>
      <c r="GT48" s="638">
        <f t="shared" si="210"/>
        <v>0</v>
      </c>
      <c r="GU48" s="638">
        <f t="shared" si="210"/>
        <v>0</v>
      </c>
      <c r="GV48" s="638">
        <f t="shared" si="210"/>
        <v>0</v>
      </c>
      <c r="GW48" s="638">
        <f t="shared" si="210"/>
        <v>0</v>
      </c>
      <c r="GX48" s="638">
        <f t="shared" si="210"/>
        <v>0</v>
      </c>
      <c r="GY48" s="638">
        <f t="shared" si="210"/>
        <v>0</v>
      </c>
      <c r="GZ48" s="638">
        <f t="shared" si="210"/>
        <v>0</v>
      </c>
      <c r="HA48" s="638">
        <f t="shared" si="210"/>
        <v>0</v>
      </c>
      <c r="HB48" s="638">
        <f t="shared" si="210"/>
        <v>0</v>
      </c>
      <c r="HC48" s="638">
        <f t="shared" si="210"/>
        <v>0</v>
      </c>
      <c r="HD48" s="638">
        <f t="shared" si="210"/>
        <v>0</v>
      </c>
      <c r="HE48" s="638">
        <f t="shared" si="210"/>
        <v>0</v>
      </c>
      <c r="HF48" s="638">
        <f t="shared" si="210"/>
        <v>0</v>
      </c>
      <c r="HG48" s="638">
        <f t="shared" si="210"/>
        <v>0</v>
      </c>
      <c r="HH48" s="638">
        <f t="shared" si="210"/>
        <v>0</v>
      </c>
      <c r="HI48" s="638">
        <f t="shared" si="210"/>
        <v>0</v>
      </c>
      <c r="HJ48" s="638">
        <f t="shared" si="210"/>
        <v>0</v>
      </c>
      <c r="HK48" s="638">
        <f t="shared" si="210"/>
        <v>0</v>
      </c>
      <c r="HL48" s="638">
        <f t="shared" si="210"/>
        <v>0</v>
      </c>
      <c r="HM48" s="638">
        <f t="shared" si="210"/>
        <v>0</v>
      </c>
    </row>
    <row r="49" spans="1:221" ht="14.45" customHeight="1">
      <c r="A49" s="99"/>
      <c r="B49" s="6"/>
      <c r="D49" s="17"/>
      <c r="E49" s="202"/>
      <c r="F49" s="202"/>
      <c r="G49" s="146"/>
      <c r="H49" s="146"/>
      <c r="I49" s="146"/>
      <c r="J49" s="146"/>
      <c r="K49" s="17" t="s">
        <v>1207</v>
      </c>
      <c r="L49" s="152">
        <f>L48*12</f>
        <v>565104</v>
      </c>
      <c r="M49" s="1"/>
      <c r="N49" s="40"/>
      <c r="O49" s="108"/>
      <c r="P49" s="108"/>
      <c r="Q49" s="108"/>
      <c r="R49" s="108"/>
      <c r="S49" s="108"/>
      <c r="T49" s="108"/>
      <c r="U49" s="379"/>
      <c r="V49" s="638"/>
      <c r="W49" s="638"/>
      <c r="X49" s="638"/>
      <c r="Y49" s="638"/>
      <c r="Z49" s="638"/>
      <c r="AA49" s="638"/>
      <c r="AB49" s="638"/>
      <c r="AC49" s="638"/>
      <c r="AD49" s="638"/>
      <c r="AE49" s="638"/>
      <c r="AF49" s="638"/>
      <c r="AG49" s="638"/>
      <c r="AH49" s="638"/>
      <c r="AI49" s="638"/>
      <c r="AJ49" s="638"/>
      <c r="AK49" s="638"/>
      <c r="AL49" s="638"/>
      <c r="AM49" s="638"/>
      <c r="AN49" s="638"/>
      <c r="AO49" s="638"/>
      <c r="AP49" s="638"/>
      <c r="AQ49" s="638"/>
      <c r="AR49" s="638"/>
      <c r="AS49" s="638"/>
      <c r="AT49" s="638"/>
      <c r="AU49" s="638"/>
      <c r="AV49" s="638"/>
      <c r="AW49" s="638"/>
      <c r="AX49" s="638"/>
      <c r="AY49" s="638"/>
      <c r="AZ49" s="638"/>
      <c r="BA49" s="638"/>
      <c r="BB49" s="638"/>
      <c r="BC49" s="638"/>
      <c r="BD49" s="638"/>
      <c r="BE49" s="638"/>
      <c r="BF49" s="638"/>
      <c r="BG49" s="638"/>
      <c r="BH49" s="638"/>
      <c r="BI49" s="638"/>
      <c r="BJ49" s="638"/>
      <c r="BK49" s="638"/>
      <c r="BL49" s="638"/>
      <c r="BM49" s="638"/>
      <c r="BN49" s="638"/>
      <c r="BO49" s="638"/>
      <c r="BP49" s="638"/>
      <c r="BQ49" s="638"/>
      <c r="BR49" s="638"/>
      <c r="BS49" s="638"/>
      <c r="BT49" s="638"/>
      <c r="BU49" s="638"/>
      <c r="BV49" s="638"/>
      <c r="BW49" s="638"/>
      <c r="BX49" s="638"/>
      <c r="BY49" s="638"/>
      <c r="BZ49" s="638"/>
      <c r="CA49" s="638"/>
      <c r="CB49" s="638"/>
      <c r="CC49" s="638"/>
      <c r="CD49" s="638"/>
      <c r="CE49" s="638"/>
      <c r="CF49" s="638"/>
      <c r="CG49" s="638"/>
      <c r="CH49" s="638"/>
      <c r="CI49" s="638"/>
      <c r="CJ49" s="638"/>
      <c r="CK49" s="638"/>
      <c r="CL49" s="638"/>
      <c r="CM49" s="638"/>
      <c r="CN49" s="638"/>
      <c r="CO49" s="638"/>
      <c r="CP49" s="638"/>
      <c r="CQ49" s="638"/>
      <c r="CR49" s="638"/>
      <c r="CS49" s="638"/>
      <c r="CT49" s="638"/>
      <c r="CU49" s="638"/>
      <c r="CV49" s="638"/>
      <c r="CW49" s="638"/>
      <c r="CX49" s="638"/>
      <c r="CY49" s="638"/>
      <c r="CZ49" s="638"/>
      <c r="DA49" s="638"/>
      <c r="DB49" s="638"/>
      <c r="DC49" s="638"/>
      <c r="DD49" s="638"/>
      <c r="DE49" s="638"/>
      <c r="DF49" s="638"/>
      <c r="DG49" s="638"/>
      <c r="DH49" s="638"/>
      <c r="DI49" s="638"/>
      <c r="DJ49" s="638"/>
      <c r="DK49" s="638"/>
      <c r="DL49" s="638"/>
      <c r="DM49" s="638"/>
      <c r="DN49" s="638"/>
      <c r="DO49" s="638"/>
      <c r="DP49" s="638"/>
      <c r="DQ49" s="638"/>
      <c r="DR49" s="638"/>
      <c r="DS49" s="638"/>
      <c r="DT49" s="638"/>
      <c r="DU49" s="638"/>
      <c r="DV49" s="638"/>
      <c r="DW49" s="638"/>
      <c r="DX49" s="638"/>
      <c r="DY49" s="638"/>
      <c r="DZ49" s="638"/>
      <c r="EA49" s="638"/>
      <c r="EB49" s="638"/>
      <c r="EC49" s="638"/>
      <c r="ED49" s="638"/>
      <c r="EE49" s="638"/>
      <c r="EF49" s="638"/>
      <c r="EG49" s="638"/>
      <c r="EH49" s="638"/>
      <c r="EI49" s="638"/>
      <c r="EJ49" s="638"/>
      <c r="EK49" s="638"/>
      <c r="EL49" s="638"/>
      <c r="EM49" s="638"/>
      <c r="EN49" s="638"/>
      <c r="EO49" s="638"/>
      <c r="EP49" s="638"/>
      <c r="EQ49" s="638"/>
      <c r="ER49" s="638"/>
      <c r="ES49" s="638"/>
      <c r="ET49" s="638"/>
      <c r="EU49" s="638"/>
      <c r="EV49" s="638"/>
      <c r="EW49" s="638"/>
      <c r="EX49" s="638"/>
      <c r="EY49" s="638"/>
      <c r="EZ49" s="638"/>
      <c r="FA49" s="638"/>
      <c r="FB49" s="638"/>
      <c r="FC49" s="638"/>
      <c r="FD49" s="638"/>
      <c r="FE49" s="638"/>
      <c r="FF49" s="638"/>
      <c r="FG49" s="638"/>
      <c r="FH49" s="638"/>
      <c r="FI49" s="638"/>
      <c r="FJ49" s="638"/>
      <c r="FK49" s="638"/>
      <c r="FL49" s="638"/>
      <c r="FM49" s="638"/>
      <c r="FN49" s="638"/>
      <c r="FO49" s="638"/>
      <c r="FP49" s="638"/>
      <c r="FQ49" s="638"/>
      <c r="FR49" s="638"/>
      <c r="FS49" s="638"/>
      <c r="FT49" s="638"/>
      <c r="FU49" s="638"/>
      <c r="FV49" s="638"/>
      <c r="FW49" s="638"/>
      <c r="FX49" s="638"/>
      <c r="FY49" s="638"/>
      <c r="FZ49" s="638"/>
      <c r="GA49" s="638"/>
      <c r="GB49" s="638"/>
      <c r="GC49" s="638"/>
      <c r="GD49" s="638"/>
      <c r="GE49" s="638"/>
      <c r="GF49" s="638"/>
      <c r="GG49" s="638"/>
      <c r="GH49" s="638"/>
      <c r="GI49" s="638"/>
      <c r="GJ49" s="638"/>
      <c r="GK49" s="638"/>
      <c r="GL49" s="638"/>
      <c r="GM49" s="638"/>
      <c r="GN49" s="638"/>
      <c r="GO49" s="638"/>
      <c r="GP49" s="638"/>
      <c r="GQ49" s="638"/>
      <c r="GR49" s="638"/>
      <c r="GS49" s="638"/>
      <c r="GT49" s="638"/>
      <c r="GU49" s="638"/>
      <c r="GV49" s="638"/>
      <c r="GW49" s="638"/>
      <c r="GX49" s="638"/>
      <c r="GY49" s="638"/>
      <c r="GZ49" s="638"/>
      <c r="HA49" s="638"/>
      <c r="HB49" s="638"/>
      <c r="HC49" s="638"/>
      <c r="HD49" s="638"/>
      <c r="HE49" s="638"/>
      <c r="HF49" s="638"/>
      <c r="HG49" s="638"/>
      <c r="HH49" s="638"/>
      <c r="HI49" s="638"/>
      <c r="HJ49" s="638"/>
      <c r="HK49" s="638"/>
      <c r="HL49" s="638"/>
      <c r="HM49" s="638"/>
    </row>
    <row r="50" spans="1:221" ht="3" customHeight="1">
      <c r="A50" s="519"/>
      <c r="B50" s="6"/>
      <c r="D50" s="17"/>
      <c r="E50" s="202"/>
      <c r="F50" s="202"/>
      <c r="G50" s="146"/>
      <c r="H50" s="146"/>
      <c r="I50" s="146"/>
      <c r="J50" s="146"/>
      <c r="K50" s="17"/>
      <c r="L50" s="202"/>
      <c r="M50" s="1"/>
      <c r="N50" s="40"/>
      <c r="O50" s="108"/>
      <c r="P50" s="108"/>
      <c r="Q50" s="108"/>
      <c r="R50" s="108"/>
      <c r="S50" s="108"/>
      <c r="T50" s="108"/>
      <c r="U50" s="379"/>
      <c r="V50" s="638"/>
      <c r="W50" s="638"/>
      <c r="X50" s="638"/>
      <c r="Y50" s="638"/>
      <c r="Z50" s="638"/>
      <c r="AA50" s="638"/>
      <c r="AB50" s="638"/>
      <c r="AC50" s="638"/>
      <c r="AD50" s="638"/>
      <c r="AE50" s="638"/>
      <c r="AF50" s="638"/>
      <c r="AG50" s="638"/>
      <c r="AH50" s="638"/>
      <c r="AI50" s="638"/>
      <c r="AJ50" s="638"/>
      <c r="AK50" s="638"/>
      <c r="AL50" s="638"/>
      <c r="AM50" s="638"/>
      <c r="AN50" s="638"/>
      <c r="AO50" s="638"/>
      <c r="AP50" s="638"/>
      <c r="AQ50" s="638"/>
      <c r="AR50" s="638"/>
      <c r="AS50" s="638"/>
      <c r="AT50" s="638"/>
      <c r="AU50" s="638"/>
      <c r="AV50" s="638"/>
      <c r="AW50" s="638"/>
      <c r="AX50" s="638"/>
      <c r="AY50" s="638"/>
      <c r="AZ50" s="638"/>
      <c r="BA50" s="638"/>
      <c r="BB50" s="638"/>
      <c r="BC50" s="638"/>
      <c r="BD50" s="638"/>
      <c r="BE50" s="638"/>
      <c r="BF50" s="638"/>
      <c r="BG50" s="638"/>
      <c r="BH50" s="638"/>
      <c r="BI50" s="638"/>
      <c r="BJ50" s="638"/>
      <c r="BK50" s="638"/>
      <c r="BL50" s="638"/>
      <c r="BM50" s="638"/>
      <c r="BN50" s="638"/>
      <c r="BO50" s="638"/>
      <c r="BP50" s="638"/>
      <c r="BQ50" s="638"/>
      <c r="BR50" s="638"/>
      <c r="BS50" s="638"/>
      <c r="BT50" s="638"/>
      <c r="BU50" s="638"/>
      <c r="BV50" s="638"/>
      <c r="BW50" s="638"/>
      <c r="BX50" s="638"/>
      <c r="BY50" s="638"/>
      <c r="BZ50" s="638"/>
      <c r="CA50" s="638"/>
      <c r="CB50" s="638"/>
      <c r="CC50" s="638"/>
      <c r="CD50" s="638"/>
      <c r="CE50" s="638"/>
      <c r="CF50" s="638"/>
      <c r="CG50" s="638"/>
      <c r="CH50" s="638"/>
      <c r="CI50" s="638"/>
      <c r="CJ50" s="638"/>
      <c r="CK50" s="638"/>
      <c r="CL50" s="638"/>
      <c r="CM50" s="638"/>
      <c r="CN50" s="638"/>
      <c r="CO50" s="638"/>
      <c r="CP50" s="638"/>
      <c r="CQ50" s="638"/>
      <c r="CR50" s="638"/>
      <c r="CS50" s="638"/>
      <c r="CT50" s="638"/>
      <c r="CU50" s="638"/>
      <c r="CV50" s="638"/>
      <c r="CW50" s="638"/>
      <c r="CX50" s="638"/>
      <c r="CY50" s="638"/>
      <c r="CZ50" s="638"/>
      <c r="DA50" s="638"/>
      <c r="DB50" s="638"/>
      <c r="DC50" s="638"/>
      <c r="DD50" s="638"/>
      <c r="DE50" s="638"/>
      <c r="DF50" s="638"/>
      <c r="DG50" s="638"/>
      <c r="DH50" s="638"/>
      <c r="DI50" s="638"/>
      <c r="DJ50" s="638"/>
      <c r="DK50" s="638"/>
      <c r="DL50" s="638"/>
      <c r="DM50" s="638"/>
      <c r="DN50" s="638"/>
      <c r="DO50" s="638"/>
      <c r="DP50" s="638"/>
      <c r="DQ50" s="638"/>
      <c r="DR50" s="638"/>
      <c r="DS50" s="638"/>
      <c r="DT50" s="638"/>
      <c r="DU50" s="638"/>
      <c r="DV50" s="638"/>
      <c r="DW50" s="638"/>
      <c r="DX50" s="638"/>
      <c r="DY50" s="638"/>
      <c r="DZ50" s="638"/>
      <c r="EA50" s="638"/>
      <c r="EB50" s="638"/>
      <c r="EC50" s="638"/>
      <c r="ED50" s="638"/>
      <c r="EE50" s="638"/>
      <c r="EF50" s="638"/>
      <c r="EG50" s="638"/>
      <c r="EH50" s="638"/>
      <c r="EI50" s="638"/>
      <c r="EJ50" s="638"/>
      <c r="EK50" s="638"/>
      <c r="EL50" s="638"/>
      <c r="EM50" s="638"/>
      <c r="EN50" s="638"/>
      <c r="EO50" s="638"/>
      <c r="EP50" s="638"/>
      <c r="EQ50" s="638"/>
      <c r="ER50" s="638"/>
      <c r="ES50" s="638"/>
      <c r="ET50" s="638"/>
      <c r="EU50" s="638"/>
      <c r="EV50" s="638"/>
      <c r="EW50" s="638"/>
      <c r="EX50" s="638"/>
      <c r="EY50" s="638"/>
      <c r="EZ50" s="638"/>
      <c r="FA50" s="638"/>
      <c r="FB50" s="638"/>
      <c r="FC50" s="638"/>
      <c r="FD50" s="638"/>
      <c r="FE50" s="638"/>
      <c r="FF50" s="638"/>
      <c r="FG50" s="638"/>
      <c r="FH50" s="638"/>
      <c r="FI50" s="638"/>
      <c r="FJ50" s="638"/>
      <c r="FK50" s="638"/>
      <c r="FL50" s="638"/>
      <c r="FM50" s="638"/>
      <c r="FN50" s="638"/>
      <c r="FO50" s="638"/>
      <c r="FP50" s="638"/>
      <c r="FQ50" s="638"/>
      <c r="FR50" s="638"/>
      <c r="FS50" s="638"/>
      <c r="FT50" s="638"/>
      <c r="FU50" s="638"/>
      <c r="FV50" s="638"/>
      <c r="FW50" s="638"/>
      <c r="FX50" s="638"/>
      <c r="FY50" s="638"/>
      <c r="FZ50" s="638"/>
      <c r="GA50" s="638"/>
      <c r="GB50" s="638"/>
      <c r="GC50" s="638"/>
      <c r="GD50" s="638"/>
      <c r="GE50" s="638"/>
      <c r="GF50" s="638"/>
      <c r="GG50" s="638"/>
      <c r="GH50" s="638"/>
      <c r="GI50" s="638"/>
      <c r="GJ50" s="638"/>
      <c r="GK50" s="638"/>
      <c r="GL50" s="638"/>
      <c r="GM50" s="638"/>
      <c r="GN50" s="638"/>
      <c r="GO50" s="638"/>
      <c r="GP50" s="638"/>
      <c r="GQ50" s="638"/>
      <c r="GR50" s="638"/>
      <c r="GS50" s="638"/>
      <c r="GT50" s="638"/>
      <c r="GU50" s="638"/>
      <c r="GV50" s="638"/>
      <c r="GW50" s="638"/>
      <c r="GX50" s="638"/>
      <c r="GY50" s="638"/>
      <c r="GZ50" s="638"/>
      <c r="HA50" s="638"/>
      <c r="HB50" s="638"/>
      <c r="HC50" s="638"/>
      <c r="HD50" s="638"/>
      <c r="HE50" s="638"/>
      <c r="HF50" s="638"/>
      <c r="HG50" s="638"/>
      <c r="HH50" s="638"/>
      <c r="HI50" s="638"/>
      <c r="HJ50" s="638"/>
      <c r="HK50" s="638"/>
      <c r="HL50" s="638"/>
      <c r="HM50" s="638"/>
    </row>
    <row r="51" spans="1:221" ht="12" customHeight="1">
      <c r="A51" s="1022" t="s">
        <v>3420</v>
      </c>
      <c r="B51" s="1565"/>
      <c r="C51" s="1565"/>
      <c r="D51" s="1565"/>
      <c r="E51" s="1565"/>
      <c r="F51" s="1565"/>
      <c r="G51" s="1565"/>
      <c r="H51" s="1565"/>
      <c r="I51" s="1565"/>
      <c r="J51" s="1565"/>
      <c r="K51" s="1565"/>
      <c r="L51" s="1565"/>
      <c r="M51" s="1565"/>
      <c r="N51" s="1565"/>
      <c r="O51" s="1565"/>
      <c r="P51" s="1565"/>
      <c r="Q51" s="108"/>
      <c r="R51" s="108"/>
      <c r="S51" s="108"/>
      <c r="T51" s="108"/>
      <c r="U51" s="379"/>
      <c r="V51" s="638"/>
      <c r="W51" s="638"/>
      <c r="X51" s="638"/>
      <c r="Y51" s="638"/>
      <c r="Z51" s="638"/>
      <c r="AA51" s="638"/>
      <c r="AB51" s="638"/>
      <c r="AC51" s="638"/>
      <c r="AD51" s="638"/>
      <c r="AE51" s="638"/>
      <c r="AF51" s="638"/>
      <c r="AG51" s="638"/>
      <c r="AH51" s="638"/>
      <c r="AI51" s="638"/>
      <c r="AJ51" s="638"/>
      <c r="AK51" s="638"/>
      <c r="AL51" s="638"/>
      <c r="AM51" s="638"/>
      <c r="AN51" s="638"/>
      <c r="AO51" s="638"/>
      <c r="AP51" s="638"/>
      <c r="AQ51" s="638"/>
      <c r="AR51" s="638"/>
      <c r="AS51" s="638"/>
      <c r="AT51" s="638"/>
      <c r="AU51" s="638"/>
      <c r="AV51" s="638"/>
      <c r="AW51" s="638"/>
      <c r="AX51" s="638"/>
      <c r="AY51" s="638"/>
      <c r="AZ51" s="638"/>
      <c r="BA51" s="638"/>
      <c r="BB51" s="638"/>
      <c r="BC51" s="638"/>
      <c r="BD51" s="638"/>
      <c r="BE51" s="638"/>
      <c r="BF51" s="638"/>
      <c r="BG51" s="638"/>
      <c r="BH51" s="638"/>
      <c r="BI51" s="638"/>
      <c r="BJ51" s="638"/>
      <c r="BK51" s="638"/>
      <c r="BL51" s="638"/>
      <c r="BM51" s="638"/>
      <c r="BN51" s="638"/>
      <c r="BO51" s="638"/>
      <c r="BP51" s="638"/>
      <c r="BQ51" s="638"/>
      <c r="BR51" s="638"/>
      <c r="BS51" s="638"/>
      <c r="BT51" s="638"/>
      <c r="BU51" s="638"/>
      <c r="BV51" s="638"/>
      <c r="BW51" s="638"/>
      <c r="BX51" s="638"/>
      <c r="BY51" s="638"/>
      <c r="BZ51" s="638"/>
      <c r="CA51" s="638"/>
      <c r="CB51" s="638"/>
      <c r="CC51" s="638"/>
      <c r="CD51" s="638"/>
      <c r="CE51" s="638"/>
      <c r="CF51" s="638"/>
      <c r="CG51" s="638"/>
      <c r="CH51" s="638"/>
      <c r="CI51" s="638"/>
      <c r="CJ51" s="638"/>
      <c r="CK51" s="638"/>
      <c r="CL51" s="638"/>
      <c r="CM51" s="638"/>
      <c r="CN51" s="638"/>
      <c r="CO51" s="638"/>
      <c r="CP51" s="638"/>
      <c r="CQ51" s="638"/>
      <c r="CR51" s="638"/>
      <c r="CS51" s="638"/>
      <c r="CT51" s="638"/>
      <c r="CU51" s="638"/>
      <c r="CV51" s="638"/>
      <c r="CW51" s="638"/>
      <c r="CX51" s="638"/>
      <c r="CY51" s="638"/>
      <c r="CZ51" s="638"/>
      <c r="DA51" s="638"/>
      <c r="DB51" s="638"/>
      <c r="DC51" s="638"/>
      <c r="DD51" s="638"/>
      <c r="DE51" s="638"/>
      <c r="DF51" s="638"/>
      <c r="DG51" s="638"/>
      <c r="DH51" s="638"/>
      <c r="DI51" s="638"/>
      <c r="DJ51" s="638"/>
      <c r="DK51" s="638"/>
      <c r="DL51" s="638"/>
      <c r="DM51" s="638"/>
      <c r="DN51" s="638"/>
      <c r="DO51" s="638"/>
      <c r="DP51" s="638"/>
      <c r="DQ51" s="638"/>
      <c r="DR51" s="638"/>
      <c r="DS51" s="638"/>
      <c r="DT51" s="638"/>
      <c r="DU51" s="638"/>
      <c r="DV51" s="638"/>
      <c r="DW51" s="638"/>
      <c r="DX51" s="638"/>
      <c r="DY51" s="638"/>
      <c r="DZ51" s="638"/>
      <c r="EA51" s="638"/>
      <c r="EB51" s="638"/>
      <c r="EC51" s="638"/>
      <c r="ED51" s="638"/>
      <c r="EE51" s="638"/>
      <c r="EF51" s="638"/>
      <c r="EG51" s="638"/>
      <c r="EH51" s="638"/>
      <c r="EI51" s="638"/>
      <c r="EJ51" s="638"/>
      <c r="EK51" s="638"/>
      <c r="EL51" s="638"/>
      <c r="EM51" s="638"/>
      <c r="EN51" s="638"/>
      <c r="EO51" s="638"/>
      <c r="EP51" s="638"/>
      <c r="EQ51" s="638"/>
      <c r="ER51" s="638"/>
      <c r="ES51" s="638"/>
      <c r="ET51" s="638"/>
      <c r="EU51" s="638"/>
      <c r="EV51" s="638"/>
      <c r="EW51" s="638"/>
      <c r="EX51" s="638"/>
      <c r="EY51" s="638"/>
      <c r="EZ51" s="638"/>
      <c r="FA51" s="638"/>
      <c r="FB51" s="638"/>
      <c r="FC51" s="638"/>
      <c r="FD51" s="638"/>
      <c r="FE51" s="638"/>
      <c r="FF51" s="638"/>
      <c r="FG51" s="638"/>
      <c r="FH51" s="638"/>
      <c r="FI51" s="638"/>
      <c r="FJ51" s="638"/>
      <c r="FK51" s="638"/>
      <c r="FL51" s="638"/>
      <c r="FM51" s="638"/>
      <c r="FN51" s="638"/>
      <c r="FO51" s="638"/>
      <c r="FP51" s="638"/>
      <c r="FQ51" s="638"/>
      <c r="FR51" s="638"/>
      <c r="FS51" s="638"/>
      <c r="FT51" s="638"/>
      <c r="FU51" s="638"/>
      <c r="FV51" s="638"/>
      <c r="FW51" s="638"/>
      <c r="FX51" s="638"/>
      <c r="FY51" s="638"/>
      <c r="FZ51" s="638"/>
      <c r="GA51" s="638"/>
      <c r="GB51" s="638"/>
      <c r="GC51" s="638"/>
      <c r="GD51" s="638"/>
      <c r="GE51" s="638"/>
      <c r="GF51" s="638"/>
      <c r="GG51" s="638"/>
      <c r="GH51" s="638"/>
      <c r="GI51" s="638"/>
      <c r="GJ51" s="638"/>
      <c r="GK51" s="638"/>
      <c r="GL51" s="638"/>
      <c r="GM51" s="638"/>
      <c r="GN51" s="638"/>
      <c r="GO51" s="638"/>
      <c r="GP51" s="638"/>
      <c r="GQ51" s="638"/>
      <c r="GR51" s="638"/>
      <c r="GS51" s="638"/>
      <c r="GT51" s="638"/>
      <c r="GU51" s="638"/>
      <c r="GV51" s="638"/>
      <c r="GW51" s="638"/>
      <c r="GX51" s="638"/>
      <c r="GY51" s="638"/>
      <c r="GZ51" s="638"/>
      <c r="HA51" s="638"/>
      <c r="HB51" s="638"/>
      <c r="HC51" s="638"/>
      <c r="HD51" s="638"/>
      <c r="HE51" s="638"/>
      <c r="HF51" s="638"/>
      <c r="HG51" s="638"/>
      <c r="HH51" s="638"/>
      <c r="HI51" s="638"/>
      <c r="HJ51" s="638"/>
      <c r="HK51" s="638"/>
      <c r="HL51" s="638"/>
      <c r="HM51" s="638"/>
    </row>
    <row r="52" spans="1:221" ht="12" customHeight="1">
      <c r="A52" s="1565"/>
      <c r="B52" s="1565"/>
      <c r="C52" s="1565"/>
      <c r="D52" s="1565"/>
      <c r="E52" s="1565"/>
      <c r="F52" s="1565"/>
      <c r="G52" s="1565"/>
      <c r="H52" s="1565"/>
      <c r="I52" s="1565"/>
      <c r="J52" s="1565"/>
      <c r="K52" s="1565"/>
      <c r="L52" s="1565"/>
      <c r="M52" s="1565"/>
      <c r="N52" s="1565"/>
      <c r="O52" s="1565"/>
      <c r="P52" s="1565"/>
      <c r="Q52" s="108"/>
      <c r="R52" s="108"/>
      <c r="S52" s="108"/>
      <c r="T52" s="108"/>
      <c r="U52" s="379"/>
      <c r="V52" s="638"/>
      <c r="W52" s="638"/>
      <c r="X52" s="638"/>
      <c r="Y52" s="638"/>
      <c r="Z52" s="638"/>
      <c r="AA52" s="638"/>
      <c r="AB52" s="638"/>
      <c r="AC52" s="638"/>
      <c r="AD52" s="638"/>
      <c r="AE52" s="638"/>
      <c r="AF52" s="638"/>
      <c r="AG52" s="638"/>
      <c r="AH52" s="638"/>
      <c r="AI52" s="638"/>
      <c r="AJ52" s="638"/>
      <c r="AK52" s="638"/>
      <c r="AL52" s="638"/>
      <c r="AM52" s="638"/>
      <c r="AN52" s="638"/>
      <c r="AO52" s="638"/>
      <c r="AP52" s="638"/>
      <c r="AQ52" s="638"/>
      <c r="AR52" s="638"/>
      <c r="AS52" s="638"/>
      <c r="AT52" s="638"/>
      <c r="AU52" s="638"/>
      <c r="AV52" s="638"/>
      <c r="AW52" s="638"/>
      <c r="AX52" s="638"/>
      <c r="AY52" s="638"/>
      <c r="AZ52" s="638"/>
      <c r="BA52" s="638"/>
      <c r="BB52" s="638"/>
      <c r="BC52" s="638"/>
      <c r="BD52" s="638"/>
      <c r="BE52" s="638"/>
      <c r="BF52" s="638"/>
      <c r="BG52" s="638"/>
      <c r="BH52" s="638"/>
      <c r="BI52" s="638"/>
      <c r="BJ52" s="638"/>
      <c r="BK52" s="638"/>
      <c r="BL52" s="638"/>
      <c r="BM52" s="638"/>
      <c r="BN52" s="638"/>
      <c r="BO52" s="638"/>
      <c r="BP52" s="638"/>
      <c r="BQ52" s="638"/>
      <c r="BR52" s="638"/>
      <c r="BS52" s="638"/>
      <c r="BT52" s="638"/>
      <c r="BU52" s="638"/>
      <c r="BV52" s="638"/>
      <c r="BW52" s="638"/>
      <c r="BX52" s="638"/>
      <c r="BY52" s="638"/>
      <c r="BZ52" s="638"/>
      <c r="CA52" s="638"/>
      <c r="CB52" s="638"/>
      <c r="CC52" s="638"/>
      <c r="CD52" s="638"/>
      <c r="CE52" s="638"/>
      <c r="CF52" s="638"/>
      <c r="CG52" s="638"/>
      <c r="CH52" s="638"/>
      <c r="CI52" s="638"/>
      <c r="CJ52" s="638"/>
      <c r="CK52" s="638"/>
      <c r="CL52" s="638"/>
      <c r="CM52" s="638"/>
      <c r="CN52" s="638"/>
      <c r="CO52" s="638"/>
      <c r="CP52" s="638"/>
      <c r="CQ52" s="638"/>
      <c r="CR52" s="638"/>
      <c r="CS52" s="638"/>
      <c r="CT52" s="638"/>
      <c r="CU52" s="638"/>
      <c r="CV52" s="638"/>
      <c r="CW52" s="638"/>
      <c r="CX52" s="638"/>
      <c r="CY52" s="638"/>
      <c r="CZ52" s="638"/>
      <c r="DA52" s="638"/>
      <c r="DB52" s="638"/>
      <c r="DC52" s="638"/>
      <c r="DD52" s="638"/>
      <c r="DE52" s="638"/>
      <c r="DF52" s="638"/>
      <c r="DG52" s="638"/>
      <c r="DH52" s="638"/>
      <c r="DI52" s="638"/>
      <c r="DJ52" s="638"/>
      <c r="DK52" s="638"/>
      <c r="DL52" s="638"/>
      <c r="DM52" s="638"/>
      <c r="DN52" s="638"/>
      <c r="DO52" s="638"/>
      <c r="DP52" s="638"/>
      <c r="DQ52" s="638"/>
      <c r="DR52" s="638"/>
      <c r="DS52" s="638"/>
      <c r="DT52" s="638"/>
      <c r="DU52" s="638"/>
      <c r="DV52" s="638"/>
      <c r="DW52" s="638"/>
      <c r="DX52" s="638"/>
      <c r="DY52" s="638"/>
      <c r="DZ52" s="638"/>
      <c r="EA52" s="638"/>
      <c r="EB52" s="638"/>
      <c r="EC52" s="638"/>
      <c r="ED52" s="638"/>
      <c r="EE52" s="638"/>
      <c r="EF52" s="638"/>
      <c r="EG52" s="638"/>
      <c r="EH52" s="638"/>
      <c r="EI52" s="638"/>
      <c r="EJ52" s="638"/>
      <c r="EK52" s="638"/>
      <c r="EL52" s="638"/>
      <c r="EM52" s="638"/>
      <c r="EN52" s="638"/>
      <c r="EO52" s="638"/>
      <c r="EP52" s="638"/>
      <c r="EQ52" s="638"/>
      <c r="ER52" s="638"/>
      <c r="ES52" s="638"/>
      <c r="ET52" s="638"/>
      <c r="EU52" s="638"/>
      <c r="EV52" s="638"/>
      <c r="EW52" s="638"/>
      <c r="EX52" s="638"/>
      <c r="EY52" s="638"/>
      <c r="EZ52" s="638"/>
      <c r="FA52" s="638"/>
      <c r="FB52" s="638"/>
      <c r="FC52" s="638"/>
      <c r="FD52" s="638"/>
      <c r="FE52" s="638"/>
      <c r="FF52" s="638"/>
      <c r="FG52" s="638"/>
      <c r="FH52" s="638"/>
      <c r="FI52" s="638"/>
      <c r="FJ52" s="638"/>
      <c r="FK52" s="638"/>
      <c r="FL52" s="638"/>
      <c r="FM52" s="638"/>
      <c r="FN52" s="638"/>
      <c r="FO52" s="638"/>
      <c r="FP52" s="638"/>
      <c r="FQ52" s="638"/>
      <c r="FR52" s="638"/>
      <c r="FS52" s="638"/>
      <c r="FT52" s="638"/>
      <c r="FU52" s="638"/>
      <c r="FV52" s="638"/>
      <c r="FW52" s="638"/>
      <c r="FX52" s="638"/>
      <c r="FY52" s="638"/>
      <c r="FZ52" s="638"/>
      <c r="GA52" s="638"/>
      <c r="GB52" s="638"/>
      <c r="GC52" s="638"/>
      <c r="GD52" s="638"/>
      <c r="GE52" s="638"/>
      <c r="GF52" s="638"/>
      <c r="GG52" s="638"/>
      <c r="GH52" s="638"/>
      <c r="GI52" s="638"/>
      <c r="GJ52" s="638"/>
      <c r="GK52" s="638"/>
      <c r="GL52" s="638"/>
      <c r="GM52" s="638"/>
      <c r="GN52" s="638"/>
      <c r="GO52" s="638"/>
      <c r="GP52" s="638"/>
      <c r="GQ52" s="638"/>
      <c r="GR52" s="638"/>
      <c r="GS52" s="638"/>
      <c r="GT52" s="638"/>
      <c r="GU52" s="638"/>
      <c r="GV52" s="638"/>
      <c r="GW52" s="638"/>
      <c r="GX52" s="638"/>
      <c r="GY52" s="638"/>
      <c r="GZ52" s="638"/>
      <c r="HA52" s="638"/>
      <c r="HB52" s="638"/>
      <c r="HC52" s="638"/>
      <c r="HD52" s="638"/>
      <c r="HE52" s="638"/>
      <c r="HF52" s="638"/>
      <c r="HG52" s="638"/>
      <c r="HH52" s="638"/>
      <c r="HI52" s="638"/>
      <c r="HJ52" s="638"/>
      <c r="HK52" s="638"/>
      <c r="HL52" s="638"/>
      <c r="HM52" s="638"/>
    </row>
    <row r="53" spans="1:221" ht="14.45" customHeight="1">
      <c r="A53" s="16" t="s">
        <v>1045</v>
      </c>
      <c r="B53" s="16" t="s">
        <v>701</v>
      </c>
      <c r="O53" s="99"/>
      <c r="Q53" s="1024" t="str">
        <f>IF(SUM(Q56:Q100)&gt;0,"ERROR Between Rent Schedule &amp; Unit Summary:", "")</f>
        <v>ERROR Between Rent Schedule &amp; Unit Summary:</v>
      </c>
      <c r="R53" s="805"/>
      <c r="S53" s="805"/>
      <c r="T53" s="5" t="str">
        <f>B53</f>
        <v>UNIT SUMMARY</v>
      </c>
      <c r="U53" s="537" t="s">
        <v>701</v>
      </c>
      <c r="V53" s="639"/>
      <c r="W53" s="639"/>
      <c r="X53" s="639"/>
      <c r="Y53" s="639"/>
      <c r="Z53" s="639"/>
      <c r="AA53" s="639"/>
      <c r="AB53" s="639"/>
      <c r="AC53" s="639"/>
      <c r="AD53" s="639"/>
      <c r="AE53" s="639"/>
      <c r="AF53" s="639"/>
      <c r="AG53" s="639"/>
      <c r="AH53" s="628"/>
      <c r="GW53" s="640"/>
      <c r="HL53" s="624"/>
    </row>
    <row r="54" spans="1:221" ht="3" customHeight="1">
      <c r="A54" s="16"/>
      <c r="B54" s="16"/>
      <c r="O54" s="99"/>
      <c r="Q54" s="1025"/>
      <c r="R54" s="806"/>
      <c r="S54" s="806"/>
      <c r="T54" s="155"/>
      <c r="U54" s="537"/>
      <c r="V54" s="639"/>
      <c r="W54" s="639"/>
      <c r="X54" s="639"/>
      <c r="Y54" s="639"/>
      <c r="Z54" s="639"/>
      <c r="AA54" s="639"/>
      <c r="AB54" s="639"/>
      <c r="AC54" s="639"/>
      <c r="AD54" s="639"/>
      <c r="AE54" s="639"/>
      <c r="AF54" s="639"/>
      <c r="AG54" s="639"/>
      <c r="AH54" s="628"/>
      <c r="GW54" s="640"/>
      <c r="HL54" s="624"/>
    </row>
    <row r="55" spans="1:221" ht="14.45" customHeight="1">
      <c r="A55" s="16"/>
      <c r="B55" s="16" t="s">
        <v>1548</v>
      </c>
      <c r="H55" s="147" t="s">
        <v>736</v>
      </c>
      <c r="I55" s="147" t="s">
        <v>702</v>
      </c>
      <c r="J55" s="147" t="s">
        <v>703</v>
      </c>
      <c r="K55" s="147" t="s">
        <v>704</v>
      </c>
      <c r="L55" s="147" t="s">
        <v>705</v>
      </c>
      <c r="M55" s="147" t="s">
        <v>706</v>
      </c>
      <c r="O55" s="99"/>
      <c r="Q55" s="1025"/>
      <c r="R55" s="806"/>
      <c r="S55" s="806"/>
      <c r="T55" s="906" t="s">
        <v>2549</v>
      </c>
      <c r="U55" s="906"/>
      <c r="V55" s="639"/>
      <c r="W55" s="639"/>
      <c r="X55" s="639"/>
      <c r="Y55" s="639"/>
      <c r="Z55" s="639"/>
      <c r="AA55" s="641"/>
      <c r="AB55" s="641"/>
      <c r="AC55" s="641"/>
      <c r="AD55" s="641"/>
      <c r="AE55" s="641"/>
      <c r="AF55" s="641"/>
      <c r="AG55" s="639"/>
      <c r="AH55" s="628"/>
      <c r="GW55" s="640"/>
      <c r="HL55" s="624"/>
    </row>
    <row r="56" spans="1:221" ht="12" customHeight="1">
      <c r="C56" s="1" t="s">
        <v>1550</v>
      </c>
      <c r="D56" s="1"/>
      <c r="E56" s="1"/>
      <c r="F56" s="1"/>
      <c r="G56" s="44" t="s">
        <v>1562</v>
      </c>
      <c r="H56" s="343">
        <f>V48</f>
        <v>0</v>
      </c>
      <c r="I56" s="343">
        <f>W48</f>
        <v>63</v>
      </c>
      <c r="J56" s="343">
        <f>X48</f>
        <v>12</v>
      </c>
      <c r="K56" s="343">
        <f>Y48</f>
        <v>0</v>
      </c>
      <c r="L56" s="343">
        <f>Z48</f>
        <v>0</v>
      </c>
      <c r="M56" s="343">
        <f t="shared" ref="M56:M62" si="211">SUM(H56:L56)</f>
        <v>75</v>
      </c>
      <c r="N56" s="1026" t="s">
        <v>1286</v>
      </c>
      <c r="O56" s="1027"/>
      <c r="P56" s="807"/>
      <c r="Q56" s="538">
        <f t="shared" ref="Q56:Q62" si="212">ABS(M56-AF56)</f>
        <v>75</v>
      </c>
      <c r="R56" s="538"/>
      <c r="S56" s="538"/>
      <c r="T56" s="1495"/>
      <c r="U56" s="1496"/>
      <c r="V56" s="642"/>
      <c r="W56" s="642"/>
      <c r="X56" s="642"/>
      <c r="Y56" s="642"/>
      <c r="Z56" s="643"/>
      <c r="AA56" s="644"/>
      <c r="AB56" s="644"/>
      <c r="AC56" s="644"/>
      <c r="AD56" s="644"/>
      <c r="AE56" s="644"/>
      <c r="AF56" s="644"/>
      <c r="AG56" s="643"/>
      <c r="AH56" s="628"/>
      <c r="GW56" s="640"/>
      <c r="HL56" s="624"/>
    </row>
    <row r="57" spans="1:221" ht="12" customHeight="1">
      <c r="A57" s="1023" t="s">
        <v>567</v>
      </c>
      <c r="B57" s="1023"/>
      <c r="C57" s="5"/>
      <c r="D57" s="1"/>
      <c r="E57" s="1"/>
      <c r="F57" s="1"/>
      <c r="G57" s="44" t="s">
        <v>124</v>
      </c>
      <c r="H57" s="344">
        <f>AA48</f>
        <v>0</v>
      </c>
      <c r="I57" s="344">
        <f>AB48</f>
        <v>0</v>
      </c>
      <c r="J57" s="344">
        <f>AC48</f>
        <v>0</v>
      </c>
      <c r="K57" s="344">
        <f>AD48</f>
        <v>0</v>
      </c>
      <c r="L57" s="344">
        <f>AE48</f>
        <v>0</v>
      </c>
      <c r="M57" s="344">
        <f t="shared" si="211"/>
        <v>0</v>
      </c>
      <c r="N57" s="1026"/>
      <c r="O57" s="1027"/>
      <c r="P57" s="807"/>
      <c r="Q57" s="538">
        <f t="shared" si="212"/>
        <v>0</v>
      </c>
      <c r="R57" s="538"/>
      <c r="S57" s="538"/>
      <c r="T57" s="1497"/>
      <c r="U57" s="1498"/>
      <c r="V57" s="645"/>
      <c r="W57" s="642"/>
      <c r="X57" s="642"/>
      <c r="Y57" s="642"/>
      <c r="Z57" s="643"/>
      <c r="AA57" s="644"/>
      <c r="AB57" s="644"/>
      <c r="AC57" s="644"/>
      <c r="AD57" s="644"/>
      <c r="AE57" s="644"/>
      <c r="AF57" s="644"/>
      <c r="AG57" s="643"/>
      <c r="AH57" s="628"/>
      <c r="GW57" s="640"/>
      <c r="HL57" s="624"/>
    </row>
    <row r="58" spans="1:221" ht="12" customHeight="1">
      <c r="A58" s="1023"/>
      <c r="B58" s="1023"/>
      <c r="C58" s="5"/>
      <c r="D58" s="1"/>
      <c r="E58" s="1"/>
      <c r="F58" s="1"/>
      <c r="G58" s="44" t="s">
        <v>706</v>
      </c>
      <c r="H58" s="345">
        <f>SUM(H56:H57)</f>
        <v>0</v>
      </c>
      <c r="I58" s="345">
        <f>SUM(I56:I57)</f>
        <v>63</v>
      </c>
      <c r="J58" s="345">
        <f>SUM(J56:J57)</f>
        <v>12</v>
      </c>
      <c r="K58" s="345">
        <f>SUM(K56:K57)</f>
        <v>0</v>
      </c>
      <c r="L58" s="345">
        <f>SUM(L56:L57)</f>
        <v>0</v>
      </c>
      <c r="M58" s="345">
        <f t="shared" si="211"/>
        <v>75</v>
      </c>
      <c r="N58" s="348"/>
      <c r="O58" s="99"/>
      <c r="Q58" s="538">
        <f t="shared" si="212"/>
        <v>75</v>
      </c>
      <c r="R58" s="538"/>
      <c r="S58" s="538"/>
      <c r="T58" s="1497"/>
      <c r="U58" s="1498"/>
      <c r="V58" s="645"/>
      <c r="W58" s="642"/>
      <c r="X58" s="642"/>
      <c r="Y58" s="642"/>
      <c r="Z58" s="643"/>
      <c r="AA58" s="644"/>
      <c r="AB58" s="644"/>
      <c r="AC58" s="644"/>
      <c r="AD58" s="644"/>
      <c r="AE58" s="644"/>
      <c r="AF58" s="644"/>
      <c r="AG58" s="643"/>
      <c r="AH58" s="628"/>
      <c r="GW58" s="640"/>
      <c r="HL58" s="624"/>
    </row>
    <row r="59" spans="1:221" ht="12" customHeight="1">
      <c r="A59" s="1023"/>
      <c r="B59" s="1023"/>
      <c r="C59" s="1" t="s">
        <v>333</v>
      </c>
      <c r="D59" s="1"/>
      <c r="E59" s="1"/>
      <c r="F59" s="1"/>
      <c r="G59" s="44"/>
      <c r="H59" s="345">
        <f>AK48</f>
        <v>0</v>
      </c>
      <c r="I59" s="345">
        <f>AL48</f>
        <v>3</v>
      </c>
      <c r="J59" s="345">
        <f>AM48</f>
        <v>2</v>
      </c>
      <c r="K59" s="345">
        <f>AN48</f>
        <v>0</v>
      </c>
      <c r="L59" s="345">
        <f>AO48</f>
        <v>0</v>
      </c>
      <c r="M59" s="345">
        <f t="shared" si="211"/>
        <v>5</v>
      </c>
      <c r="N59" s="64"/>
      <c r="O59" s="99"/>
      <c r="Q59" s="538">
        <f t="shared" si="212"/>
        <v>5</v>
      </c>
      <c r="R59" s="538"/>
      <c r="S59" s="538"/>
      <c r="T59" s="1497"/>
      <c r="U59" s="1498"/>
      <c r="V59" s="628"/>
      <c r="W59" s="642"/>
      <c r="X59" s="642"/>
      <c r="Y59" s="642"/>
      <c r="Z59" s="643"/>
      <c r="AA59" s="644"/>
      <c r="AB59" s="644"/>
      <c r="AC59" s="644"/>
      <c r="AD59" s="644"/>
      <c r="AE59" s="644"/>
      <c r="AF59" s="644"/>
      <c r="AG59" s="623"/>
      <c r="AH59" s="628"/>
      <c r="GW59" s="640"/>
      <c r="HL59" s="624"/>
    </row>
    <row r="60" spans="1:221" ht="12" customHeight="1">
      <c r="A60" s="1023"/>
      <c r="B60" s="1023"/>
      <c r="C60" s="1" t="s">
        <v>1551</v>
      </c>
      <c r="D60" s="1"/>
      <c r="E60" s="1"/>
      <c r="F60" s="1"/>
      <c r="G60" s="44"/>
      <c r="H60" s="345">
        <f>SUM(H58:H59)</f>
        <v>0</v>
      </c>
      <c r="I60" s="345">
        <f>SUM(I58:I59)</f>
        <v>66</v>
      </c>
      <c r="J60" s="345">
        <f>SUM(J58:J59)</f>
        <v>14</v>
      </c>
      <c r="K60" s="345">
        <f>SUM(K58:K59)</f>
        <v>0</v>
      </c>
      <c r="L60" s="345">
        <f>SUM(L58:L59)</f>
        <v>0</v>
      </c>
      <c r="M60" s="345">
        <f t="shared" si="211"/>
        <v>80</v>
      </c>
      <c r="N60" s="64"/>
      <c r="O60" s="99"/>
      <c r="Q60" s="538">
        <f t="shared" si="212"/>
        <v>80</v>
      </c>
      <c r="R60" s="538"/>
      <c r="S60" s="538"/>
      <c r="T60" s="1497"/>
      <c r="U60" s="1498"/>
      <c r="V60" s="642"/>
      <c r="W60" s="642"/>
      <c r="X60" s="642"/>
      <c r="Y60" s="642"/>
      <c r="Z60" s="643"/>
      <c r="AA60" s="644"/>
      <c r="AB60" s="644"/>
      <c r="AC60" s="644"/>
      <c r="AD60" s="644"/>
      <c r="AE60" s="644"/>
      <c r="AF60" s="644"/>
      <c r="AG60" s="623"/>
      <c r="AH60" s="628"/>
      <c r="GW60" s="640"/>
      <c r="HL60" s="624"/>
    </row>
    <row r="61" spans="1:221" ht="12" customHeight="1">
      <c r="A61" s="1023"/>
      <c r="B61" s="1023"/>
      <c r="C61" s="1" t="s">
        <v>3297</v>
      </c>
      <c r="D61" s="1"/>
      <c r="E61" s="1"/>
      <c r="F61" s="1"/>
      <c r="G61" s="44"/>
      <c r="H61" s="345">
        <f>BT48</f>
        <v>0</v>
      </c>
      <c r="I61" s="345">
        <f>BU48</f>
        <v>0</v>
      </c>
      <c r="J61" s="345">
        <f>BV48</f>
        <v>0</v>
      </c>
      <c r="K61" s="345">
        <f>BW48</f>
        <v>0</v>
      </c>
      <c r="L61" s="345">
        <f>BX48</f>
        <v>0</v>
      </c>
      <c r="M61" s="345">
        <f t="shared" si="211"/>
        <v>0</v>
      </c>
      <c r="N61" s="61" t="s">
        <v>2934</v>
      </c>
      <c r="O61" s="99"/>
      <c r="Q61" s="538">
        <f t="shared" si="212"/>
        <v>0</v>
      </c>
      <c r="R61" s="538"/>
      <c r="S61" s="538"/>
      <c r="T61" s="1497"/>
      <c r="U61" s="1498"/>
      <c r="V61" s="642"/>
      <c r="W61" s="642"/>
      <c r="X61" s="642"/>
      <c r="Y61" s="642"/>
      <c r="Z61" s="643"/>
      <c r="AA61" s="644"/>
      <c r="AB61" s="644"/>
      <c r="AC61" s="644"/>
      <c r="AD61" s="644"/>
      <c r="AE61" s="644"/>
      <c r="AF61" s="644"/>
      <c r="AG61" s="643"/>
      <c r="AH61" s="628"/>
      <c r="GW61" s="640"/>
      <c r="HL61" s="624"/>
    </row>
    <row r="62" spans="1:221" ht="12" customHeight="1">
      <c r="A62" s="1023"/>
      <c r="B62" s="1023"/>
      <c r="C62" s="1" t="s">
        <v>706</v>
      </c>
      <c r="D62" s="1"/>
      <c r="E62" s="1"/>
      <c r="F62" s="1"/>
      <c r="G62" s="44"/>
      <c r="H62" s="345">
        <f>SUM(H60:H61)</f>
        <v>0</v>
      </c>
      <c r="I62" s="345">
        <f>SUM(I60:I61)</f>
        <v>66</v>
      </c>
      <c r="J62" s="345">
        <f>SUM(J60:J61)</f>
        <v>14</v>
      </c>
      <c r="K62" s="345">
        <f>SUM(K60:K61)</f>
        <v>0</v>
      </c>
      <c r="L62" s="345">
        <f>SUM(L60:L61)</f>
        <v>0</v>
      </c>
      <c r="M62" s="345">
        <f t="shared" si="211"/>
        <v>80</v>
      </c>
      <c r="O62" s="99"/>
      <c r="Q62" s="538">
        <f t="shared" si="212"/>
        <v>80</v>
      </c>
      <c r="R62" s="538"/>
      <c r="S62" s="538"/>
      <c r="T62" s="1500"/>
      <c r="U62" s="1501"/>
      <c r="V62" s="642"/>
      <c r="W62" s="642"/>
      <c r="X62" s="642"/>
      <c r="Y62" s="642"/>
      <c r="Z62" s="643"/>
      <c r="AA62" s="644"/>
      <c r="AB62" s="644"/>
      <c r="AC62" s="644"/>
      <c r="AD62" s="644"/>
      <c r="AE62" s="644"/>
      <c r="AF62" s="644"/>
      <c r="AG62" s="639"/>
      <c r="AH62" s="628"/>
      <c r="GW62" s="640"/>
      <c r="HL62" s="624"/>
    </row>
    <row r="63" spans="1:221" ht="12" customHeight="1">
      <c r="A63" s="1023"/>
      <c r="B63" s="1023"/>
      <c r="C63" s="1"/>
      <c r="D63" s="1"/>
      <c r="E63" s="1"/>
      <c r="F63" s="1"/>
      <c r="G63" s="44"/>
      <c r="H63" s="15"/>
      <c r="I63" s="15"/>
      <c r="J63" s="15"/>
      <c r="K63" s="15"/>
      <c r="L63" s="15"/>
      <c r="M63" s="15"/>
      <c r="O63" s="99"/>
      <c r="Q63" s="538"/>
      <c r="R63" s="538"/>
      <c r="S63" s="538"/>
      <c r="T63" s="406" t="str">
        <f>C64</f>
        <v>PBRA-Assisted</v>
      </c>
      <c r="U63" s="188"/>
      <c r="V63" s="642"/>
      <c r="W63" s="642"/>
      <c r="X63" s="642"/>
      <c r="Y63" s="642"/>
      <c r="Z63" s="643"/>
      <c r="AA63" s="642"/>
      <c r="AB63" s="642"/>
      <c r="AC63" s="642"/>
      <c r="AD63" s="642"/>
      <c r="AE63" s="642"/>
      <c r="AF63" s="642"/>
      <c r="AG63" s="639"/>
      <c r="AH63" s="628"/>
      <c r="GW63" s="640"/>
      <c r="HL63" s="624"/>
    </row>
    <row r="64" spans="1:221" ht="12" customHeight="1">
      <c r="A64" s="1023"/>
      <c r="B64" s="1023"/>
      <c r="C64" s="1" t="s">
        <v>1330</v>
      </c>
      <c r="D64" s="1"/>
      <c r="E64" s="131"/>
      <c r="F64" s="1"/>
      <c r="G64" s="44" t="s">
        <v>1562</v>
      </c>
      <c r="H64" s="343">
        <f>AZ48</f>
        <v>0</v>
      </c>
      <c r="I64" s="343">
        <f>BA48</f>
        <v>63</v>
      </c>
      <c r="J64" s="343">
        <f>BB48</f>
        <v>12</v>
      </c>
      <c r="K64" s="343">
        <f>BC48</f>
        <v>0</v>
      </c>
      <c r="L64" s="343">
        <f>BD48</f>
        <v>0</v>
      </c>
      <c r="M64" s="343">
        <f>SUM(H64:L64)</f>
        <v>75</v>
      </c>
      <c r="N64" s="61"/>
      <c r="O64" s="99"/>
      <c r="Q64" s="538">
        <f>ABS(M64-AF64)</f>
        <v>75</v>
      </c>
      <c r="R64" s="538"/>
      <c r="S64" s="538"/>
      <c r="T64" s="1495"/>
      <c r="U64" s="1496"/>
      <c r="V64" s="642"/>
      <c r="W64" s="642"/>
      <c r="X64" s="646"/>
      <c r="Y64" s="642"/>
      <c r="Z64" s="643"/>
      <c r="AA64" s="644"/>
      <c r="AB64" s="644"/>
      <c r="AC64" s="644"/>
      <c r="AD64" s="644"/>
      <c r="AE64" s="644"/>
      <c r="AF64" s="644"/>
      <c r="AG64" s="643"/>
      <c r="AH64" s="628"/>
      <c r="GW64" s="640"/>
      <c r="HL64" s="624"/>
    </row>
    <row r="65" spans="1:220" ht="12" customHeight="1">
      <c r="A65" s="1023"/>
      <c r="B65" s="1023"/>
      <c r="C65" s="44" t="s">
        <v>3298</v>
      </c>
      <c r="D65" s="1"/>
      <c r="E65" s="131"/>
      <c r="F65" s="1"/>
      <c r="G65" s="44" t="s">
        <v>124</v>
      </c>
      <c r="H65" s="344">
        <f>AU48</f>
        <v>0</v>
      </c>
      <c r="I65" s="344">
        <f>AV48</f>
        <v>0</v>
      </c>
      <c r="J65" s="344">
        <f>AW48</f>
        <v>0</v>
      </c>
      <c r="K65" s="344">
        <f>AX48</f>
        <v>0</v>
      </c>
      <c r="L65" s="344">
        <f>AY48</f>
        <v>0</v>
      </c>
      <c r="M65" s="346">
        <f>SUM(H65:L65)</f>
        <v>0</v>
      </c>
      <c r="N65" s="61"/>
      <c r="O65" s="99"/>
      <c r="Q65" s="538">
        <f>ABS(M65-AF65)</f>
        <v>0</v>
      </c>
      <c r="R65" s="538"/>
      <c r="S65" s="538"/>
      <c r="T65" s="1497"/>
      <c r="U65" s="1498"/>
      <c r="V65" s="643"/>
      <c r="W65" s="642"/>
      <c r="X65" s="646"/>
      <c r="Y65" s="642"/>
      <c r="Z65" s="643"/>
      <c r="AA65" s="644"/>
      <c r="AB65" s="644"/>
      <c r="AC65" s="644"/>
      <c r="AD65" s="644"/>
      <c r="AE65" s="644"/>
      <c r="AF65" s="644"/>
      <c r="AG65" s="643"/>
      <c r="AH65" s="628"/>
      <c r="GW65" s="640"/>
      <c r="HL65" s="624"/>
    </row>
    <row r="66" spans="1:220" ht="12" customHeight="1">
      <c r="A66" s="1023"/>
      <c r="B66" s="1023"/>
      <c r="C66" s="5"/>
      <c r="D66" s="1"/>
      <c r="E66" s="131"/>
      <c r="F66" s="1"/>
      <c r="G66" s="44" t="s">
        <v>706</v>
      </c>
      <c r="H66" s="345">
        <f>SUM(H64:H65)</f>
        <v>0</v>
      </c>
      <c r="I66" s="345">
        <f>SUM(I64:I65)</f>
        <v>63</v>
      </c>
      <c r="J66" s="345">
        <f>SUM(J64:J65)</f>
        <v>12</v>
      </c>
      <c r="K66" s="345">
        <f>SUM(K64:K65)</f>
        <v>0</v>
      </c>
      <c r="L66" s="345">
        <f>SUM(L64:L65)</f>
        <v>0</v>
      </c>
      <c r="M66" s="345">
        <f>SUM(H66:L66)</f>
        <v>75</v>
      </c>
      <c r="N66" s="61"/>
      <c r="O66" s="99"/>
      <c r="Q66" s="538">
        <f>ABS(M66-AF66)</f>
        <v>75</v>
      </c>
      <c r="R66" s="538"/>
      <c r="S66" s="538"/>
      <c r="T66" s="1500"/>
      <c r="U66" s="1501"/>
      <c r="V66" s="645"/>
      <c r="W66" s="642"/>
      <c r="X66" s="646"/>
      <c r="Y66" s="642"/>
      <c r="Z66" s="643"/>
      <c r="AA66" s="644"/>
      <c r="AB66" s="644"/>
      <c r="AC66" s="644"/>
      <c r="AD66" s="644"/>
      <c r="AE66" s="644"/>
      <c r="AF66" s="644"/>
      <c r="AG66" s="643"/>
      <c r="AH66" s="628"/>
      <c r="GW66" s="640"/>
      <c r="HL66" s="624"/>
    </row>
    <row r="67" spans="1:220" ht="12" customHeight="1">
      <c r="A67" s="1023"/>
      <c r="B67" s="1023"/>
      <c r="C67" s="1"/>
      <c r="D67" s="1"/>
      <c r="E67" s="1"/>
      <c r="F67" s="1"/>
      <c r="G67" s="44"/>
      <c r="H67" s="15"/>
      <c r="I67" s="15"/>
      <c r="J67" s="15"/>
      <c r="K67" s="15"/>
      <c r="L67" s="15"/>
      <c r="M67" s="15"/>
      <c r="O67" s="99"/>
      <c r="Q67" s="538"/>
      <c r="R67" s="538"/>
      <c r="S67" s="538"/>
      <c r="T67" s="406" t="str">
        <f>C68</f>
        <v>PHA Operating Subsidy-Assisted</v>
      </c>
      <c r="U67" s="188"/>
      <c r="V67" s="642"/>
      <c r="W67" s="642"/>
      <c r="X67" s="642"/>
      <c r="Y67" s="642"/>
      <c r="Z67" s="643"/>
      <c r="AA67" s="642"/>
      <c r="AB67" s="642"/>
      <c r="AC67" s="642"/>
      <c r="AD67" s="642"/>
      <c r="AE67" s="642"/>
      <c r="AF67" s="642"/>
      <c r="AG67" s="639"/>
      <c r="AH67" s="628"/>
      <c r="GW67" s="640"/>
      <c r="HL67" s="624"/>
    </row>
    <row r="68" spans="1:220" ht="12" customHeight="1">
      <c r="A68" s="1023"/>
      <c r="B68" s="1023"/>
      <c r="C68" s="1" t="s">
        <v>1285</v>
      </c>
      <c r="D68" s="1"/>
      <c r="E68" s="131"/>
      <c r="F68" s="1"/>
      <c r="G68" s="44" t="s">
        <v>1562</v>
      </c>
      <c r="H68" s="343">
        <f>BO48</f>
        <v>0</v>
      </c>
      <c r="I68" s="343">
        <f>BP48</f>
        <v>0</v>
      </c>
      <c r="J68" s="343">
        <f>BQ48</f>
        <v>0</v>
      </c>
      <c r="K68" s="343">
        <f>BR48</f>
        <v>0</v>
      </c>
      <c r="L68" s="343">
        <f>BS48</f>
        <v>0</v>
      </c>
      <c r="M68" s="343">
        <f>SUM(H68:L68)</f>
        <v>0</v>
      </c>
      <c r="N68" s="61"/>
      <c r="O68" s="99"/>
      <c r="Q68" s="538">
        <f>ABS(M68-AF68)</f>
        <v>0</v>
      </c>
      <c r="R68" s="538"/>
      <c r="S68" s="538"/>
      <c r="T68" s="1495"/>
      <c r="U68" s="1496"/>
      <c r="V68" s="628"/>
      <c r="W68" s="642"/>
      <c r="X68" s="646"/>
      <c r="Y68" s="642"/>
      <c r="Z68" s="643"/>
      <c r="AA68" s="644"/>
      <c r="AB68" s="644"/>
      <c r="AC68" s="644"/>
      <c r="AD68" s="644"/>
      <c r="AE68" s="644"/>
      <c r="AF68" s="644"/>
      <c r="AG68" s="643"/>
      <c r="AH68" s="628"/>
      <c r="GW68" s="640"/>
      <c r="HL68" s="624"/>
    </row>
    <row r="69" spans="1:220" ht="12" customHeight="1">
      <c r="A69" s="1023"/>
      <c r="B69" s="1023"/>
      <c r="C69" s="44" t="s">
        <v>3298</v>
      </c>
      <c r="D69" s="1"/>
      <c r="E69" s="131"/>
      <c r="F69" s="1"/>
      <c r="G69" s="44" t="s">
        <v>124</v>
      </c>
      <c r="H69" s="344">
        <f>BJ48</f>
        <v>0</v>
      </c>
      <c r="I69" s="344">
        <f>BK48</f>
        <v>0</v>
      </c>
      <c r="J69" s="344">
        <f>BL48</f>
        <v>0</v>
      </c>
      <c r="K69" s="344">
        <f>BM48</f>
        <v>0</v>
      </c>
      <c r="L69" s="344">
        <f>BN48</f>
        <v>0</v>
      </c>
      <c r="M69" s="346">
        <f>SUM(H69:L69)</f>
        <v>0</v>
      </c>
      <c r="N69" s="61"/>
      <c r="O69" s="99"/>
      <c r="Q69" s="538">
        <f>ABS(M69-AF69)</f>
        <v>0</v>
      </c>
      <c r="R69" s="538"/>
      <c r="S69" s="538"/>
      <c r="T69" s="1497"/>
      <c r="U69" s="1498"/>
      <c r="V69" s="647"/>
      <c r="W69" s="642"/>
      <c r="X69" s="646"/>
      <c r="Y69" s="642"/>
      <c r="Z69" s="643"/>
      <c r="AA69" s="644"/>
      <c r="AB69" s="644"/>
      <c r="AC69" s="644"/>
      <c r="AD69" s="644"/>
      <c r="AE69" s="644"/>
      <c r="AF69" s="644"/>
      <c r="AG69" s="643"/>
      <c r="AH69" s="628"/>
      <c r="GW69" s="640"/>
      <c r="HL69" s="624"/>
    </row>
    <row r="70" spans="1:220" ht="12" customHeight="1">
      <c r="A70" s="1023"/>
      <c r="B70" s="1023"/>
      <c r="C70" s="5"/>
      <c r="D70" s="1"/>
      <c r="E70" s="131"/>
      <c r="F70" s="1"/>
      <c r="G70" s="44" t="s">
        <v>706</v>
      </c>
      <c r="H70" s="345">
        <f>SUM(H68:H69)</f>
        <v>0</v>
      </c>
      <c r="I70" s="345">
        <f>SUM(I68:I69)</f>
        <v>0</v>
      </c>
      <c r="J70" s="345">
        <f>SUM(J68:J69)</f>
        <v>0</v>
      </c>
      <c r="K70" s="345">
        <f>SUM(K68:K69)</f>
        <v>0</v>
      </c>
      <c r="L70" s="345">
        <f>SUM(L68:L69)</f>
        <v>0</v>
      </c>
      <c r="M70" s="345">
        <f>SUM(H70:L70)</f>
        <v>0</v>
      </c>
      <c r="N70" s="61"/>
      <c r="O70" s="99"/>
      <c r="Q70" s="538">
        <f>ABS(M70-AF70)</f>
        <v>0</v>
      </c>
      <c r="R70" s="538"/>
      <c r="S70" s="538"/>
      <c r="T70" s="1500"/>
      <c r="U70" s="1501"/>
      <c r="V70" s="645"/>
      <c r="W70" s="642"/>
      <c r="X70" s="646"/>
      <c r="Y70" s="642"/>
      <c r="Z70" s="643"/>
      <c r="AA70" s="644"/>
      <c r="AB70" s="644"/>
      <c r="AC70" s="644"/>
      <c r="AD70" s="644"/>
      <c r="AE70" s="644"/>
      <c r="AF70" s="644"/>
      <c r="AG70" s="643"/>
      <c r="AH70" s="628"/>
      <c r="GW70" s="640"/>
      <c r="HL70" s="624"/>
    </row>
    <row r="71" spans="1:220" ht="12" customHeight="1">
      <c r="A71" s="1023"/>
      <c r="B71" s="1023"/>
      <c r="C71" s="1" t="s">
        <v>41</v>
      </c>
      <c r="D71" s="1"/>
      <c r="E71" s="131"/>
      <c r="F71" s="1"/>
      <c r="G71" s="44"/>
      <c r="H71" s="15"/>
      <c r="I71" s="15"/>
      <c r="J71" s="15"/>
      <c r="K71" s="15"/>
      <c r="L71" s="15"/>
      <c r="M71" s="15"/>
      <c r="O71" s="99"/>
      <c r="Q71" s="538"/>
      <c r="R71" s="538"/>
      <c r="S71" s="538"/>
      <c r="T71" s="406" t="str">
        <f>C71</f>
        <v>Type of Construction Activity</v>
      </c>
      <c r="U71" s="188"/>
      <c r="V71" s="642"/>
      <c r="W71" s="642"/>
      <c r="X71" s="646"/>
      <c r="Y71" s="642"/>
      <c r="Z71" s="643"/>
      <c r="AA71" s="642"/>
      <c r="AB71" s="642"/>
      <c r="AC71" s="642"/>
      <c r="AD71" s="642"/>
      <c r="AE71" s="642"/>
      <c r="AF71" s="642"/>
      <c r="AG71" s="639"/>
      <c r="AH71" s="628"/>
      <c r="GW71" s="640"/>
      <c r="HL71" s="624"/>
    </row>
    <row r="72" spans="1:220" ht="12" customHeight="1">
      <c r="A72" s="1023"/>
      <c r="B72" s="1023"/>
      <c r="C72" s="1"/>
      <c r="D72" s="1"/>
      <c r="E72" s="124" t="s">
        <v>3023</v>
      </c>
      <c r="F72" s="1"/>
      <c r="G72" s="44" t="s">
        <v>1875</v>
      </c>
      <c r="H72" s="343">
        <f>DC48</f>
        <v>0</v>
      </c>
      <c r="I72" s="343">
        <f>DD48</f>
        <v>63</v>
      </c>
      <c r="J72" s="343">
        <f>DE48</f>
        <v>12</v>
      </c>
      <c r="K72" s="343">
        <f>DF48</f>
        <v>0</v>
      </c>
      <c r="L72" s="343">
        <f>DG48</f>
        <v>0</v>
      </c>
      <c r="M72" s="343">
        <f t="shared" ref="M72:M82" si="213">SUM(H72:L72)</f>
        <v>75</v>
      </c>
      <c r="N72" s="31"/>
      <c r="O72" s="99"/>
      <c r="Q72" s="538">
        <f t="shared" ref="Q72:Q80" si="214">ABS(M72-AF72)</f>
        <v>75</v>
      </c>
      <c r="R72" s="538"/>
      <c r="S72" s="538"/>
      <c r="T72" s="1495"/>
      <c r="U72" s="1496"/>
      <c r="V72" s="642"/>
      <c r="W72" s="642"/>
      <c r="X72" s="646"/>
      <c r="Y72" s="642"/>
      <c r="Z72" s="643"/>
      <c r="AA72" s="644"/>
      <c r="AB72" s="644"/>
      <c r="AC72" s="644"/>
      <c r="AD72" s="644"/>
      <c r="AE72" s="644"/>
      <c r="AF72" s="644"/>
      <c r="AG72" s="639"/>
      <c r="FY72" s="624"/>
      <c r="FZ72" s="624"/>
      <c r="GA72" s="624"/>
      <c r="GB72" s="624"/>
      <c r="GC72" s="624"/>
      <c r="GD72" s="624"/>
      <c r="GE72" s="624"/>
      <c r="GF72" s="624"/>
      <c r="GG72" s="624"/>
      <c r="GH72" s="624"/>
      <c r="GI72" s="624"/>
      <c r="GJ72" s="624"/>
      <c r="GK72" s="624"/>
      <c r="GL72" s="624"/>
      <c r="GM72" s="624"/>
      <c r="GN72" s="624"/>
      <c r="GO72" s="624"/>
      <c r="GW72" s="640"/>
      <c r="HL72" s="624"/>
    </row>
    <row r="73" spans="1:220" ht="12" customHeight="1">
      <c r="A73" s="1023"/>
      <c r="B73" s="1023"/>
      <c r="C73" s="1"/>
      <c r="D73" s="1"/>
      <c r="E73" s="131"/>
      <c r="F73" s="1"/>
      <c r="G73" s="44" t="s">
        <v>333</v>
      </c>
      <c r="H73" s="347">
        <f>DH48</f>
        <v>0</v>
      </c>
      <c r="I73" s="347">
        <f>DI48</f>
        <v>3</v>
      </c>
      <c r="J73" s="347">
        <f>DJ48</f>
        <v>2</v>
      </c>
      <c r="K73" s="347">
        <f>DK48</f>
        <v>0</v>
      </c>
      <c r="L73" s="347">
        <f>DL48</f>
        <v>0</v>
      </c>
      <c r="M73" s="347">
        <f t="shared" si="213"/>
        <v>5</v>
      </c>
      <c r="N73" s="64"/>
      <c r="O73" s="99"/>
      <c r="Q73" s="538">
        <f t="shared" si="214"/>
        <v>5</v>
      </c>
      <c r="R73" s="538"/>
      <c r="S73" s="538"/>
      <c r="T73" s="1497"/>
      <c r="U73" s="1498"/>
      <c r="V73" s="642"/>
      <c r="W73" s="642"/>
      <c r="X73" s="646"/>
      <c r="Y73" s="642"/>
      <c r="Z73" s="643"/>
      <c r="AA73" s="644"/>
      <c r="AB73" s="644"/>
      <c r="AC73" s="644"/>
      <c r="AD73" s="644"/>
      <c r="AE73" s="644"/>
      <c r="AF73" s="644"/>
      <c r="AG73" s="623"/>
      <c r="AH73" s="628"/>
      <c r="GW73" s="640"/>
      <c r="HL73" s="624"/>
    </row>
    <row r="74" spans="1:220" ht="12" customHeight="1">
      <c r="A74" s="1023"/>
      <c r="B74" s="1023"/>
      <c r="C74" s="5"/>
      <c r="D74" s="1"/>
      <c r="E74" s="131"/>
      <c r="F74" s="1"/>
      <c r="G74" s="44" t="s">
        <v>33</v>
      </c>
      <c r="H74" s="345">
        <f>SUM(H72:H73)+DM48</f>
        <v>0</v>
      </c>
      <c r="I74" s="345">
        <f>SUM(I72:I73)+DN48</f>
        <v>66</v>
      </c>
      <c r="J74" s="345">
        <f>SUM(J72:J73)+DO48</f>
        <v>14</v>
      </c>
      <c r="K74" s="345">
        <f>SUM(K72:K73)+DP48</f>
        <v>0</v>
      </c>
      <c r="L74" s="345">
        <f>SUM(L72:L73)+DQ48</f>
        <v>0</v>
      </c>
      <c r="M74" s="345">
        <f t="shared" si="213"/>
        <v>80</v>
      </c>
      <c r="N74" s="61"/>
      <c r="O74" s="99"/>
      <c r="Q74" s="538">
        <f t="shared" si="214"/>
        <v>80</v>
      </c>
      <c r="R74" s="538"/>
      <c r="S74" s="538"/>
      <c r="T74" s="1497"/>
      <c r="U74" s="1498"/>
      <c r="V74" s="645"/>
      <c r="W74" s="642"/>
      <c r="X74" s="646"/>
      <c r="Y74" s="642"/>
      <c r="Z74" s="647"/>
      <c r="AA74" s="644"/>
      <c r="AB74" s="644"/>
      <c r="AC74" s="644"/>
      <c r="AD74" s="644"/>
      <c r="AE74" s="644"/>
      <c r="AF74" s="644"/>
      <c r="AG74" s="643"/>
      <c r="AH74" s="628"/>
      <c r="GW74" s="640"/>
      <c r="HL74" s="624"/>
    </row>
    <row r="75" spans="1:220" ht="12" customHeight="1">
      <c r="A75" s="1023"/>
      <c r="B75" s="1023"/>
      <c r="C75" s="1"/>
      <c r="D75" s="1"/>
      <c r="E75" s="124" t="s">
        <v>2852</v>
      </c>
      <c r="F75" s="1"/>
      <c r="G75" s="44" t="s">
        <v>1875</v>
      </c>
      <c r="H75" s="343">
        <f>DR48</f>
        <v>0</v>
      </c>
      <c r="I75" s="343">
        <f>DS48</f>
        <v>0</v>
      </c>
      <c r="J75" s="343">
        <f>DT48</f>
        <v>0</v>
      </c>
      <c r="K75" s="343">
        <f>DU48</f>
        <v>0</v>
      </c>
      <c r="L75" s="343">
        <f>DV48</f>
        <v>0</v>
      </c>
      <c r="M75" s="343">
        <f t="shared" si="213"/>
        <v>0</v>
      </c>
      <c r="N75" s="31"/>
      <c r="O75" s="99"/>
      <c r="Q75" s="538">
        <f t="shared" si="214"/>
        <v>0</v>
      </c>
      <c r="R75" s="538"/>
      <c r="S75" s="538"/>
      <c r="T75" s="1497"/>
      <c r="U75" s="1498"/>
      <c r="V75" s="642"/>
      <c r="W75" s="642"/>
      <c r="X75" s="646"/>
      <c r="Y75" s="642"/>
      <c r="Z75" s="643"/>
      <c r="AA75" s="644"/>
      <c r="AB75" s="644"/>
      <c r="AC75" s="644"/>
      <c r="AD75" s="644"/>
      <c r="AE75" s="644"/>
      <c r="AF75" s="644"/>
      <c r="AG75" s="639"/>
      <c r="FY75" s="624"/>
      <c r="FZ75" s="624"/>
      <c r="GA75" s="624"/>
      <c r="GB75" s="624"/>
      <c r="GC75" s="624"/>
      <c r="GD75" s="624"/>
      <c r="GE75" s="624"/>
      <c r="GF75" s="624"/>
      <c r="GG75" s="624"/>
      <c r="GH75" s="624"/>
      <c r="GI75" s="624"/>
      <c r="GJ75" s="624"/>
      <c r="GK75" s="624"/>
      <c r="GL75" s="624"/>
      <c r="GM75" s="624"/>
      <c r="GN75" s="624"/>
      <c r="GO75" s="624"/>
      <c r="GW75" s="640"/>
      <c r="HL75" s="624"/>
    </row>
    <row r="76" spans="1:220" ht="12" customHeight="1">
      <c r="C76" s="1"/>
      <c r="D76" s="1"/>
      <c r="E76" s="131"/>
      <c r="F76" s="1"/>
      <c r="G76" s="44" t="s">
        <v>333</v>
      </c>
      <c r="H76" s="347">
        <f>DW48</f>
        <v>0</v>
      </c>
      <c r="I76" s="347">
        <f>DX48</f>
        <v>0</v>
      </c>
      <c r="J76" s="347">
        <f>DY48</f>
        <v>0</v>
      </c>
      <c r="K76" s="347">
        <f>DZ48</f>
        <v>0</v>
      </c>
      <c r="L76" s="347">
        <f>EA48</f>
        <v>0</v>
      </c>
      <c r="M76" s="347">
        <f t="shared" si="213"/>
        <v>0</v>
      </c>
      <c r="N76" s="64"/>
      <c r="O76" s="99"/>
      <c r="Q76" s="538">
        <f t="shared" si="214"/>
        <v>0</v>
      </c>
      <c r="R76" s="538"/>
      <c r="S76" s="538"/>
      <c r="T76" s="1497"/>
      <c r="U76" s="1498"/>
      <c r="V76" s="642"/>
      <c r="W76" s="642"/>
      <c r="X76" s="646"/>
      <c r="Y76" s="642"/>
      <c r="Z76" s="643"/>
      <c r="AA76" s="644"/>
      <c r="AB76" s="644"/>
      <c r="AC76" s="644"/>
      <c r="AD76" s="644"/>
      <c r="AE76" s="644"/>
      <c r="AF76" s="644"/>
      <c r="AG76" s="623"/>
      <c r="AH76" s="628"/>
      <c r="GW76" s="640"/>
      <c r="HL76" s="624"/>
    </row>
    <row r="77" spans="1:220" ht="12" customHeight="1">
      <c r="C77" s="5"/>
      <c r="D77" s="1"/>
      <c r="E77" s="131"/>
      <c r="F77" s="1"/>
      <c r="G77" s="44" t="s">
        <v>33</v>
      </c>
      <c r="H77" s="345">
        <f>SUM(H75:H76)+EB48</f>
        <v>0</v>
      </c>
      <c r="I77" s="345">
        <f>SUM(I75:I76)+EC48</f>
        <v>0</v>
      </c>
      <c r="J77" s="345">
        <f>SUM(J75:J76)+ED48</f>
        <v>0</v>
      </c>
      <c r="K77" s="345">
        <f>SUM(K75:K76)+EE48</f>
        <v>0</v>
      </c>
      <c r="L77" s="345">
        <f>SUM(L75:L76)+EF48</f>
        <v>0</v>
      </c>
      <c r="M77" s="345">
        <f t="shared" si="213"/>
        <v>0</v>
      </c>
      <c r="N77" s="61"/>
      <c r="O77" s="99"/>
      <c r="Q77" s="538">
        <f t="shared" si="214"/>
        <v>0</v>
      </c>
      <c r="R77" s="538"/>
      <c r="S77" s="538"/>
      <c r="T77" s="1497"/>
      <c r="U77" s="1498"/>
      <c r="V77" s="645"/>
      <c r="W77" s="642"/>
      <c r="X77" s="646"/>
      <c r="Y77" s="642"/>
      <c r="Z77" s="647"/>
      <c r="AA77" s="644"/>
      <c r="AB77" s="644"/>
      <c r="AC77" s="644"/>
      <c r="AD77" s="644"/>
      <c r="AE77" s="644"/>
      <c r="AF77" s="644"/>
      <c r="AG77" s="643"/>
      <c r="AH77" s="628"/>
      <c r="GW77" s="640"/>
      <c r="HL77" s="624"/>
    </row>
    <row r="78" spans="1:220" ht="12" customHeight="1">
      <c r="C78" s="1"/>
      <c r="D78" s="1"/>
      <c r="E78" s="1021" t="s">
        <v>1860</v>
      </c>
      <c r="F78" s="1021"/>
      <c r="G78" s="44" t="s">
        <v>1875</v>
      </c>
      <c r="H78" s="343">
        <f>EG48</f>
        <v>0</v>
      </c>
      <c r="I78" s="343">
        <f>EH48</f>
        <v>0</v>
      </c>
      <c r="J78" s="343">
        <f>EI48</f>
        <v>0</v>
      </c>
      <c r="K78" s="343">
        <f>EJ48</f>
        <v>0</v>
      </c>
      <c r="L78" s="343">
        <f>EK48</f>
        <v>0</v>
      </c>
      <c r="M78" s="343">
        <f t="shared" si="213"/>
        <v>0</v>
      </c>
      <c r="N78" s="31"/>
      <c r="O78" s="99"/>
      <c r="Q78" s="538">
        <f t="shared" si="214"/>
        <v>0</v>
      </c>
      <c r="R78" s="538"/>
      <c r="S78" s="538"/>
      <c r="T78" s="1497"/>
      <c r="U78" s="1498"/>
      <c r="V78" s="642"/>
      <c r="W78" s="642"/>
      <c r="X78" s="646"/>
      <c r="Y78" s="642"/>
      <c r="Z78" s="643"/>
      <c r="AA78" s="644"/>
      <c r="AB78" s="644"/>
      <c r="AC78" s="644"/>
      <c r="AD78" s="644"/>
      <c r="AE78" s="644"/>
      <c r="AF78" s="644"/>
      <c r="AG78" s="639"/>
      <c r="FY78" s="624"/>
      <c r="FZ78" s="624"/>
      <c r="GA78" s="624"/>
      <c r="GB78" s="624"/>
      <c r="GC78" s="624"/>
      <c r="GD78" s="624"/>
      <c r="GE78" s="624"/>
      <c r="GF78" s="624"/>
      <c r="GG78" s="624"/>
      <c r="GH78" s="624"/>
      <c r="GI78" s="624"/>
      <c r="GJ78" s="624"/>
      <c r="GK78" s="624"/>
      <c r="GL78" s="624"/>
      <c r="GM78" s="624"/>
      <c r="GN78" s="624"/>
      <c r="GO78" s="624"/>
      <c r="GW78" s="640"/>
      <c r="HL78" s="624"/>
    </row>
    <row r="79" spans="1:220" ht="12" customHeight="1">
      <c r="C79" s="1"/>
      <c r="D79" s="1"/>
      <c r="E79" s="1021"/>
      <c r="F79" s="1021"/>
      <c r="G79" s="44" t="s">
        <v>333</v>
      </c>
      <c r="H79" s="347">
        <f>EL48</f>
        <v>0</v>
      </c>
      <c r="I79" s="347">
        <f>EM48</f>
        <v>0</v>
      </c>
      <c r="J79" s="347">
        <f>EN48</f>
        <v>0</v>
      </c>
      <c r="K79" s="347">
        <f>EO48</f>
        <v>0</v>
      </c>
      <c r="L79" s="347">
        <f>EP48</f>
        <v>0</v>
      </c>
      <c r="M79" s="347">
        <f t="shared" si="213"/>
        <v>0</v>
      </c>
      <c r="N79" s="64"/>
      <c r="O79" s="99"/>
      <c r="Q79" s="538">
        <f t="shared" si="214"/>
        <v>0</v>
      </c>
      <c r="R79" s="538"/>
      <c r="S79" s="538"/>
      <c r="T79" s="1497"/>
      <c r="U79" s="1498"/>
      <c r="V79" s="642"/>
      <c r="W79" s="642"/>
      <c r="X79" s="642"/>
      <c r="Y79" s="642"/>
      <c r="Z79" s="643"/>
      <c r="AA79" s="644"/>
      <c r="AB79" s="644"/>
      <c r="AC79" s="644"/>
      <c r="AD79" s="644"/>
      <c r="AE79" s="644"/>
      <c r="AF79" s="644"/>
      <c r="AG79" s="623"/>
      <c r="AH79" s="628"/>
      <c r="GW79" s="640"/>
      <c r="HL79" s="624"/>
    </row>
    <row r="80" spans="1:220" ht="12" customHeight="1">
      <c r="C80" s="5"/>
      <c r="D80" s="1"/>
      <c r="E80" s="131"/>
      <c r="F80" s="1"/>
      <c r="G80" s="44" t="s">
        <v>33</v>
      </c>
      <c r="H80" s="345">
        <f>SUM(H78:H79)+EQ48</f>
        <v>0</v>
      </c>
      <c r="I80" s="345">
        <f>SUM(I78:I79)+ER48</f>
        <v>0</v>
      </c>
      <c r="J80" s="345">
        <f>SUM(J78:J79)+ES48</f>
        <v>0</v>
      </c>
      <c r="K80" s="345">
        <f>SUM(K78:K79)+ET48</f>
        <v>0</v>
      </c>
      <c r="L80" s="345">
        <f>SUM(L78:L79)+EU48</f>
        <v>0</v>
      </c>
      <c r="M80" s="345">
        <f t="shared" si="213"/>
        <v>0</v>
      </c>
      <c r="N80" s="61"/>
      <c r="O80" s="99"/>
      <c r="Q80" s="538">
        <f t="shared" si="214"/>
        <v>0</v>
      </c>
      <c r="R80" s="538"/>
      <c r="S80" s="538"/>
      <c r="T80" s="1497"/>
      <c r="U80" s="1498"/>
      <c r="V80" s="645"/>
      <c r="W80" s="642"/>
      <c r="X80" s="646"/>
      <c r="Y80" s="642"/>
      <c r="Z80" s="647"/>
      <c r="AA80" s="644"/>
      <c r="AB80" s="644"/>
      <c r="AC80" s="644"/>
      <c r="AD80" s="644"/>
      <c r="AE80" s="644"/>
      <c r="AF80" s="644"/>
      <c r="AG80" s="643"/>
      <c r="AH80" s="628"/>
      <c r="GW80" s="640"/>
      <c r="HL80" s="624"/>
    </row>
    <row r="81" spans="1:220" ht="12" customHeight="1">
      <c r="C81" s="1"/>
      <c r="D81" s="1"/>
      <c r="E81" s="131" t="s">
        <v>399</v>
      </c>
      <c r="F81" s="1"/>
      <c r="G81" s="44"/>
      <c r="H81" s="1566"/>
      <c r="I81" s="1566"/>
      <c r="J81" s="1566"/>
      <c r="K81" s="1566"/>
      <c r="L81" s="1566"/>
      <c r="M81" s="343">
        <f t="shared" si="213"/>
        <v>0</v>
      </c>
      <c r="N81" s="31"/>
      <c r="O81" s="99"/>
      <c r="T81" s="1497"/>
      <c r="U81" s="1498"/>
      <c r="V81" s="642"/>
      <c r="W81" s="642"/>
      <c r="X81" s="642"/>
      <c r="Y81" s="642"/>
      <c r="Z81" s="643"/>
      <c r="AA81" s="644"/>
      <c r="AB81" s="644"/>
      <c r="AC81" s="644"/>
      <c r="AD81" s="644"/>
      <c r="AE81" s="644"/>
      <c r="AF81" s="644"/>
      <c r="AG81" s="623"/>
      <c r="AH81" s="628"/>
      <c r="GW81" s="640"/>
      <c r="HL81" s="624"/>
    </row>
    <row r="82" spans="1:220" ht="12" customHeight="1">
      <c r="A82" s="1033" t="str">
        <f>IF(AND('Part IV-Uses of Funds'!$T$162="Yes",'Part IX A-Scoring Criteria'!$O$240&gt;0,M82&lt;1),"SHOW HISTORIC UNITS HERE &gt;&gt;&gt;&gt;","")</f>
        <v/>
      </c>
      <c r="B82" s="1033"/>
      <c r="C82" s="1033"/>
      <c r="D82" s="1033"/>
      <c r="E82" s="752" t="s">
        <v>400</v>
      </c>
      <c r="F82" s="1"/>
      <c r="G82" s="44"/>
      <c r="H82" s="1567"/>
      <c r="I82" s="1567"/>
      <c r="J82" s="1567"/>
      <c r="K82" s="1567"/>
      <c r="L82" s="1567"/>
      <c r="M82" s="347">
        <f t="shared" si="213"/>
        <v>0</v>
      </c>
      <c r="N82" s="64"/>
      <c r="O82" s="99"/>
      <c r="T82" s="1500"/>
      <c r="U82" s="1501"/>
      <c r="V82" s="642"/>
      <c r="W82" s="642"/>
      <c r="X82" s="642"/>
      <c r="Y82" s="642"/>
      <c r="Z82" s="643"/>
      <c r="AA82" s="644"/>
      <c r="AB82" s="644"/>
      <c r="AC82" s="644"/>
      <c r="AD82" s="644"/>
      <c r="AE82" s="644"/>
      <c r="AF82" s="644"/>
      <c r="AG82" s="623"/>
      <c r="AH82" s="628"/>
      <c r="GW82" s="640"/>
      <c r="HL82" s="624"/>
    </row>
    <row r="83" spans="1:220" ht="12" customHeight="1">
      <c r="C83" s="1" t="s">
        <v>42</v>
      </c>
      <c r="D83" s="1"/>
      <c r="E83" s="131"/>
      <c r="F83" s="1"/>
      <c r="G83" s="44"/>
      <c r="H83" s="15"/>
      <c r="I83" s="15"/>
      <c r="J83" s="15"/>
      <c r="K83" s="15"/>
      <c r="L83" s="15"/>
      <c r="M83" s="15"/>
      <c r="O83" s="99"/>
      <c r="Q83" s="538"/>
      <c r="R83" s="538"/>
      <c r="S83" s="538"/>
      <c r="T83" s="406" t="str">
        <f>C83</f>
        <v>Building Type:</v>
      </c>
      <c r="U83" s="188"/>
      <c r="V83" s="628"/>
      <c r="W83" s="628"/>
      <c r="X83" s="633"/>
      <c r="Y83" s="628"/>
      <c r="Z83" s="643"/>
      <c r="AA83" s="642"/>
      <c r="AB83" s="642"/>
      <c r="AC83" s="642"/>
      <c r="AD83" s="642"/>
      <c r="AE83" s="642"/>
      <c r="AF83" s="642"/>
      <c r="AG83" s="639"/>
      <c r="AH83" s="628"/>
      <c r="GW83" s="640"/>
      <c r="HL83" s="624"/>
    </row>
    <row r="84" spans="1:220" ht="12" customHeight="1">
      <c r="C84" s="1"/>
      <c r="D84" s="1"/>
      <c r="E84" s="124" t="s">
        <v>43</v>
      </c>
      <c r="F84" s="1"/>
      <c r="G84" s="44"/>
      <c r="H84" s="343">
        <f>SUM(H85:H88)</f>
        <v>0</v>
      </c>
      <c r="I84" s="343">
        <f>SUM(I85:I88)</f>
        <v>66</v>
      </c>
      <c r="J84" s="343">
        <f>SUM(J85:J88)</f>
        <v>14</v>
      </c>
      <c r="K84" s="343">
        <f>SUM(K85:K88)</f>
        <v>0</v>
      </c>
      <c r="L84" s="343">
        <f>SUM(L85:L88)</f>
        <v>0</v>
      </c>
      <c r="M84" s="343">
        <f t="shared" ref="M84:M92" si="215">SUM(H84:L84)</f>
        <v>80</v>
      </c>
      <c r="N84" s="31"/>
      <c r="O84" s="99"/>
      <c r="Q84" s="538">
        <f>ABS(M84-AF84)</f>
        <v>80</v>
      </c>
      <c r="R84" s="538"/>
      <c r="S84" s="538"/>
      <c r="T84" s="1495"/>
      <c r="U84" s="1496"/>
      <c r="V84" s="628"/>
      <c r="W84" s="628"/>
      <c r="X84" s="646"/>
      <c r="Y84" s="628"/>
      <c r="Z84" s="643"/>
      <c r="AA84" s="644"/>
      <c r="AB84" s="644"/>
      <c r="AC84" s="644"/>
      <c r="AD84" s="644"/>
      <c r="AE84" s="644"/>
      <c r="AF84" s="644"/>
      <c r="AG84" s="639"/>
      <c r="FY84" s="624"/>
      <c r="FZ84" s="624"/>
      <c r="GA84" s="624"/>
      <c r="GB84" s="624"/>
      <c r="GC84" s="624"/>
      <c r="GD84" s="624"/>
      <c r="GE84" s="624"/>
      <c r="GF84" s="624"/>
      <c r="GG84" s="624"/>
      <c r="GH84" s="624"/>
      <c r="GI84" s="624"/>
      <c r="GJ84" s="624"/>
      <c r="GK84" s="624"/>
      <c r="GL84" s="624"/>
      <c r="GM84" s="624"/>
      <c r="GN84" s="624"/>
      <c r="GO84" s="624"/>
      <c r="GW84" s="640"/>
      <c r="HL84" s="624"/>
    </row>
    <row r="85" spans="1:220" ht="12" customHeight="1">
      <c r="C85" s="1"/>
      <c r="D85" s="1"/>
      <c r="E85" s="124"/>
      <c r="F85" s="1"/>
      <c r="G85" s="44" t="s">
        <v>3402</v>
      </c>
      <c r="H85" s="346">
        <f>FU48</f>
        <v>0</v>
      </c>
      <c r="I85" s="346">
        <f>FV48</f>
        <v>0</v>
      </c>
      <c r="J85" s="346">
        <f>FW48</f>
        <v>0</v>
      </c>
      <c r="K85" s="346">
        <f>FX48</f>
        <v>0</v>
      </c>
      <c r="L85" s="346">
        <f>FY48</f>
        <v>0</v>
      </c>
      <c r="M85" s="344">
        <f t="shared" si="215"/>
        <v>0</v>
      </c>
      <c r="N85" s="31"/>
      <c r="O85" s="99"/>
      <c r="Q85" s="538"/>
      <c r="R85" s="538"/>
      <c r="S85" s="538"/>
      <c r="T85" s="1497"/>
      <c r="U85" s="1498"/>
      <c r="V85" s="628"/>
      <c r="W85" s="628"/>
      <c r="X85" s="646"/>
      <c r="Y85" s="628"/>
      <c r="Z85" s="643"/>
      <c r="AA85" s="644"/>
      <c r="AB85" s="644"/>
      <c r="AC85" s="644"/>
      <c r="AD85" s="644"/>
      <c r="AE85" s="644"/>
      <c r="AF85" s="644"/>
      <c r="AG85" s="639"/>
      <c r="FY85" s="624"/>
      <c r="FZ85" s="624"/>
      <c r="GA85" s="624"/>
      <c r="GB85" s="624"/>
      <c r="GC85" s="624"/>
      <c r="GD85" s="624"/>
      <c r="GE85" s="624"/>
      <c r="GF85" s="624"/>
      <c r="GG85" s="624"/>
      <c r="GH85" s="624"/>
      <c r="GI85" s="624"/>
      <c r="GJ85" s="624"/>
      <c r="GK85" s="624"/>
      <c r="GL85" s="624"/>
      <c r="GM85" s="624"/>
      <c r="GN85" s="624"/>
      <c r="GO85" s="624"/>
      <c r="GW85" s="640"/>
      <c r="HL85" s="624"/>
    </row>
    <row r="86" spans="1:220" ht="12" customHeight="1">
      <c r="C86" s="1"/>
      <c r="D86" s="1"/>
      <c r="E86" s="124"/>
      <c r="F86" s="1"/>
      <c r="G86" s="44" t="s">
        <v>3403</v>
      </c>
      <c r="H86" s="346">
        <f>FZ48</f>
        <v>0</v>
      </c>
      <c r="I86" s="346">
        <f>GA48</f>
        <v>0</v>
      </c>
      <c r="J86" s="346">
        <f>GB48</f>
        <v>0</v>
      </c>
      <c r="K86" s="346">
        <f>GC48</f>
        <v>0</v>
      </c>
      <c r="L86" s="346">
        <f>GD48</f>
        <v>0</v>
      </c>
      <c r="M86" s="344">
        <f t="shared" si="215"/>
        <v>0</v>
      </c>
      <c r="N86" s="31"/>
      <c r="O86" s="99"/>
      <c r="Q86" s="538"/>
      <c r="R86" s="538"/>
      <c r="S86" s="538"/>
      <c r="T86" s="1497"/>
      <c r="U86" s="1498"/>
      <c r="V86" s="628"/>
      <c r="W86" s="628"/>
      <c r="X86" s="646"/>
      <c r="Y86" s="628"/>
      <c r="Z86" s="643"/>
      <c r="AA86" s="644"/>
      <c r="AB86" s="644"/>
      <c r="AC86" s="644"/>
      <c r="AD86" s="644"/>
      <c r="AE86" s="644"/>
      <c r="AF86" s="644"/>
      <c r="AG86" s="639"/>
      <c r="FY86" s="624"/>
      <c r="FZ86" s="624"/>
      <c r="GA86" s="624"/>
      <c r="GB86" s="624"/>
      <c r="GC86" s="624"/>
      <c r="GD86" s="624"/>
      <c r="GE86" s="624"/>
      <c r="GF86" s="624"/>
      <c r="GG86" s="624"/>
      <c r="GH86" s="624"/>
      <c r="GI86" s="624"/>
      <c r="GJ86" s="624"/>
      <c r="GK86" s="624"/>
      <c r="GL86" s="624"/>
      <c r="GM86" s="624"/>
      <c r="GN86" s="624"/>
      <c r="GO86" s="624"/>
      <c r="GW86" s="640"/>
      <c r="HL86" s="624"/>
    </row>
    <row r="87" spans="1:220" ht="12" customHeight="1">
      <c r="C87" s="1"/>
      <c r="D87" s="1"/>
      <c r="E87" s="124"/>
      <c r="F87" s="1"/>
      <c r="G87" s="44" t="s">
        <v>3405</v>
      </c>
      <c r="H87" s="346">
        <f>GE48</f>
        <v>0</v>
      </c>
      <c r="I87" s="346">
        <f>GF48</f>
        <v>0</v>
      </c>
      <c r="J87" s="346">
        <f>GG48</f>
        <v>0</v>
      </c>
      <c r="K87" s="346">
        <f>GH48</f>
        <v>0</v>
      </c>
      <c r="L87" s="346">
        <f>GI48</f>
        <v>0</v>
      </c>
      <c r="M87" s="344">
        <f t="shared" si="215"/>
        <v>0</v>
      </c>
      <c r="N87" s="31"/>
      <c r="O87" s="99"/>
      <c r="Q87" s="538"/>
      <c r="R87" s="538"/>
      <c r="S87" s="538"/>
      <c r="T87" s="1497"/>
      <c r="U87" s="1498"/>
      <c r="V87" s="628"/>
      <c r="W87" s="628"/>
      <c r="X87" s="646"/>
      <c r="Y87" s="628"/>
      <c r="Z87" s="643"/>
      <c r="AA87" s="644"/>
      <c r="AB87" s="644"/>
      <c r="AC87" s="644"/>
      <c r="AD87" s="644"/>
      <c r="AE87" s="644"/>
      <c r="AF87" s="644"/>
      <c r="AG87" s="639"/>
      <c r="FY87" s="624"/>
      <c r="FZ87" s="624"/>
      <c r="GA87" s="624"/>
      <c r="GB87" s="624"/>
      <c r="GC87" s="624"/>
      <c r="GD87" s="624"/>
      <c r="GE87" s="624"/>
      <c r="GF87" s="624"/>
      <c r="GG87" s="624"/>
      <c r="GH87" s="624"/>
      <c r="GI87" s="624"/>
      <c r="GJ87" s="624"/>
      <c r="GK87" s="624"/>
      <c r="GL87" s="624"/>
      <c r="GM87" s="624"/>
      <c r="GN87" s="624"/>
      <c r="GO87" s="624"/>
      <c r="GW87" s="640"/>
      <c r="HL87" s="624"/>
    </row>
    <row r="88" spans="1:220" ht="12" customHeight="1">
      <c r="C88" s="1"/>
      <c r="D88" s="1"/>
      <c r="E88" s="124"/>
      <c r="F88" s="1"/>
      <c r="G88" s="44" t="s">
        <v>3404</v>
      </c>
      <c r="H88" s="346">
        <f>GJ48</f>
        <v>0</v>
      </c>
      <c r="I88" s="346">
        <f>GK48</f>
        <v>66</v>
      </c>
      <c r="J88" s="346">
        <f>GL48</f>
        <v>14</v>
      </c>
      <c r="K88" s="346">
        <f>GM48</f>
        <v>0</v>
      </c>
      <c r="L88" s="346">
        <f>GN48</f>
        <v>0</v>
      </c>
      <c r="M88" s="346">
        <f t="shared" si="215"/>
        <v>80</v>
      </c>
      <c r="N88" s="31"/>
      <c r="O88" s="99"/>
      <c r="Q88" s="538"/>
      <c r="R88" s="538"/>
      <c r="S88" s="538"/>
      <c r="T88" s="1497"/>
      <c r="U88" s="1498"/>
      <c r="V88" s="628"/>
      <c r="W88" s="628"/>
      <c r="X88" s="646"/>
      <c r="Y88" s="628"/>
      <c r="Z88" s="643"/>
      <c r="AA88" s="644"/>
      <c r="AB88" s="644"/>
      <c r="AC88" s="644"/>
      <c r="AD88" s="644"/>
      <c r="AE88" s="644"/>
      <c r="AF88" s="644"/>
      <c r="AG88" s="639"/>
      <c r="FY88" s="624"/>
      <c r="FZ88" s="624"/>
      <c r="GA88" s="624"/>
      <c r="GB88" s="624"/>
      <c r="GC88" s="624"/>
      <c r="GD88" s="624"/>
      <c r="GE88" s="624"/>
      <c r="GF88" s="624"/>
      <c r="GG88" s="624"/>
      <c r="GH88" s="624"/>
      <c r="GI88" s="624"/>
      <c r="GJ88" s="624"/>
      <c r="GK88" s="624"/>
      <c r="GL88" s="624"/>
      <c r="GM88" s="624"/>
      <c r="GN88" s="624"/>
      <c r="GO88" s="624"/>
      <c r="GW88" s="640"/>
      <c r="HL88" s="624"/>
    </row>
    <row r="89" spans="1:220" ht="12" customHeight="1">
      <c r="C89" s="1"/>
      <c r="D89" s="1"/>
      <c r="E89" s="124" t="s">
        <v>44</v>
      </c>
      <c r="F89" s="1"/>
      <c r="G89" s="44"/>
      <c r="H89" s="344">
        <f>FA48</f>
        <v>0</v>
      </c>
      <c r="I89" s="344">
        <f>FB48</f>
        <v>0</v>
      </c>
      <c r="J89" s="344">
        <f>FC48</f>
        <v>0</v>
      </c>
      <c r="K89" s="344">
        <f>FD48</f>
        <v>0</v>
      </c>
      <c r="L89" s="344">
        <f>FE48</f>
        <v>0</v>
      </c>
      <c r="M89" s="344">
        <f t="shared" si="215"/>
        <v>0</v>
      </c>
      <c r="N89" s="64"/>
      <c r="O89" s="99"/>
      <c r="Q89" s="538">
        <f>ABS(M89-AF89)</f>
        <v>0</v>
      </c>
      <c r="R89" s="538"/>
      <c r="S89" s="538"/>
      <c r="T89" s="1497"/>
      <c r="U89" s="1498"/>
      <c r="V89" s="628"/>
      <c r="W89" s="628"/>
      <c r="X89" s="646"/>
      <c r="Y89" s="628"/>
      <c r="Z89" s="643"/>
      <c r="AA89" s="644"/>
      <c r="AB89" s="644"/>
      <c r="AC89" s="644"/>
      <c r="AD89" s="644"/>
      <c r="AE89" s="644"/>
      <c r="AF89" s="644"/>
      <c r="AG89" s="623"/>
      <c r="AH89" s="628"/>
      <c r="GW89" s="640"/>
      <c r="HL89" s="624"/>
    </row>
    <row r="90" spans="1:220" ht="12" customHeight="1">
      <c r="C90" s="1"/>
      <c r="D90" s="1"/>
      <c r="E90" s="124" t="s">
        <v>45</v>
      </c>
      <c r="F90" s="1"/>
      <c r="G90" s="44"/>
      <c r="H90" s="344">
        <f>FP48</f>
        <v>0</v>
      </c>
      <c r="I90" s="344">
        <f>FQ48</f>
        <v>0</v>
      </c>
      <c r="J90" s="344">
        <f>FR48</f>
        <v>0</v>
      </c>
      <c r="K90" s="344">
        <f>FS48</f>
        <v>0</v>
      </c>
      <c r="L90" s="344">
        <f>FT48</f>
        <v>0</v>
      </c>
      <c r="M90" s="344">
        <f t="shared" si="215"/>
        <v>0</v>
      </c>
      <c r="N90" s="31"/>
      <c r="O90" s="99"/>
      <c r="Q90" s="538">
        <f>ABS(M90-AF90)</f>
        <v>0</v>
      </c>
      <c r="R90" s="538"/>
      <c r="S90" s="538"/>
      <c r="T90" s="1497"/>
      <c r="U90" s="1498"/>
      <c r="V90" s="628"/>
      <c r="W90" s="628"/>
      <c r="X90" s="646"/>
      <c r="Y90" s="628"/>
      <c r="Z90" s="643"/>
      <c r="AA90" s="644"/>
      <c r="AB90" s="644"/>
      <c r="AC90" s="644"/>
      <c r="AD90" s="644"/>
      <c r="AE90" s="644"/>
      <c r="AF90" s="644"/>
      <c r="AG90" s="639"/>
      <c r="FY90" s="624"/>
      <c r="FZ90" s="624"/>
      <c r="GA90" s="624"/>
      <c r="GB90" s="624"/>
      <c r="GC90" s="624"/>
      <c r="GD90" s="624"/>
      <c r="GE90" s="624"/>
      <c r="GF90" s="624"/>
      <c r="GG90" s="624"/>
      <c r="GH90" s="624"/>
      <c r="GI90" s="624"/>
      <c r="GJ90" s="624"/>
      <c r="GK90" s="624"/>
      <c r="GL90" s="624"/>
      <c r="GM90" s="624"/>
      <c r="GN90" s="624"/>
      <c r="GO90" s="624"/>
      <c r="GW90" s="640"/>
      <c r="HL90" s="624"/>
    </row>
    <row r="91" spans="1:220" ht="12" customHeight="1">
      <c r="C91" s="1"/>
      <c r="D91" s="1"/>
      <c r="E91" s="131" t="s">
        <v>733</v>
      </c>
      <c r="F91" s="1"/>
      <c r="G91" s="44"/>
      <c r="H91" s="344">
        <f>FK48</f>
        <v>0</v>
      </c>
      <c r="I91" s="344">
        <f>FL48</f>
        <v>0</v>
      </c>
      <c r="J91" s="344">
        <f>FM48</f>
        <v>0</v>
      </c>
      <c r="K91" s="344">
        <f>FN48</f>
        <v>0</v>
      </c>
      <c r="L91" s="344">
        <f>FO48</f>
        <v>0</v>
      </c>
      <c r="M91" s="344">
        <f t="shared" si="215"/>
        <v>0</v>
      </c>
      <c r="N91" s="64"/>
      <c r="O91" s="99"/>
      <c r="Q91" s="538">
        <f>ABS(M91-AF91)</f>
        <v>0</v>
      </c>
      <c r="R91" s="538"/>
      <c r="S91" s="538"/>
      <c r="T91" s="1497"/>
      <c r="U91" s="1498"/>
      <c r="V91" s="628"/>
      <c r="W91" s="628"/>
      <c r="X91" s="633"/>
      <c r="Y91" s="628"/>
      <c r="Z91" s="643"/>
      <c r="AA91" s="644"/>
      <c r="AB91" s="644"/>
      <c r="AC91" s="644"/>
      <c r="AD91" s="644"/>
      <c r="AE91" s="644"/>
      <c r="AF91" s="644"/>
      <c r="AG91" s="623"/>
      <c r="AH91" s="628"/>
      <c r="GW91" s="640"/>
      <c r="HL91" s="624"/>
    </row>
    <row r="92" spans="1:220" ht="12" customHeight="1">
      <c r="C92" s="1"/>
      <c r="D92" s="1"/>
      <c r="E92" s="107" t="s">
        <v>734</v>
      </c>
      <c r="F92" s="1"/>
      <c r="G92" s="44"/>
      <c r="H92" s="347">
        <f>FF48</f>
        <v>0</v>
      </c>
      <c r="I92" s="347">
        <f>FG48</f>
        <v>0</v>
      </c>
      <c r="J92" s="347">
        <f>FH48</f>
        <v>0</v>
      </c>
      <c r="K92" s="347">
        <f>FI48</f>
        <v>0</v>
      </c>
      <c r="L92" s="347">
        <f>FJ48</f>
        <v>0</v>
      </c>
      <c r="M92" s="347">
        <f t="shared" si="215"/>
        <v>0</v>
      </c>
      <c r="N92" s="31"/>
      <c r="O92" s="99"/>
      <c r="Q92" s="538">
        <f>ABS(M92-AF92)</f>
        <v>0</v>
      </c>
      <c r="R92" s="538"/>
      <c r="S92" s="538"/>
      <c r="T92" s="1500"/>
      <c r="U92" s="1501"/>
      <c r="V92" s="628"/>
      <c r="W92" s="628"/>
      <c r="X92" s="631"/>
      <c r="Y92" s="628"/>
      <c r="Z92" s="643"/>
      <c r="AA92" s="644"/>
      <c r="AB92" s="644"/>
      <c r="AC92" s="644"/>
      <c r="AD92" s="644"/>
      <c r="AE92" s="644"/>
      <c r="AF92" s="644"/>
      <c r="AG92" s="639"/>
      <c r="FY92" s="624"/>
      <c r="FZ92" s="624"/>
      <c r="GA92" s="624"/>
      <c r="GB92" s="624"/>
      <c r="GC92" s="624"/>
      <c r="GD92" s="624"/>
      <c r="GE92" s="624"/>
      <c r="GF92" s="624"/>
      <c r="GG92" s="624"/>
      <c r="GH92" s="624"/>
      <c r="GI92" s="624"/>
      <c r="GJ92" s="624"/>
      <c r="GK92" s="624"/>
      <c r="GL92" s="624"/>
      <c r="GM92" s="624"/>
      <c r="GN92" s="624"/>
      <c r="GO92" s="624"/>
      <c r="GW92" s="640"/>
      <c r="HL92" s="624"/>
    </row>
    <row r="93" spans="1:220" ht="12" customHeight="1">
      <c r="A93" s="16"/>
      <c r="B93" s="16" t="s">
        <v>2882</v>
      </c>
      <c r="C93" s="1"/>
      <c r="D93" s="1"/>
      <c r="E93" s="1"/>
      <c r="F93" s="1"/>
      <c r="G93" s="44"/>
      <c r="H93" s="1"/>
      <c r="I93" s="1"/>
      <c r="J93" s="1"/>
      <c r="K93" s="1"/>
      <c r="L93" s="1"/>
      <c r="M93" s="1"/>
      <c r="O93" s="99"/>
      <c r="Q93" s="538"/>
      <c r="R93" s="538"/>
      <c r="S93" s="538"/>
      <c r="T93" s="406" t="str">
        <f>B93</f>
        <v>Unit Square Footage:</v>
      </c>
      <c r="U93" s="537" t="s">
        <v>1549</v>
      </c>
      <c r="V93" s="642"/>
      <c r="W93" s="642"/>
      <c r="X93" s="642"/>
      <c r="Y93" s="642"/>
      <c r="Z93" s="643"/>
      <c r="AA93" s="642"/>
      <c r="AB93" s="642"/>
      <c r="AC93" s="642"/>
      <c r="AD93" s="642"/>
      <c r="AE93" s="642"/>
      <c r="AF93" s="642"/>
      <c r="AG93" s="639"/>
      <c r="AH93" s="628"/>
      <c r="GW93" s="640"/>
      <c r="HL93" s="624"/>
    </row>
    <row r="94" spans="1:220" ht="12" customHeight="1">
      <c r="C94" s="6" t="s">
        <v>2851</v>
      </c>
      <c r="D94" s="1"/>
      <c r="E94" s="1"/>
      <c r="F94" s="1"/>
      <c r="G94" s="44" t="s">
        <v>1562</v>
      </c>
      <c r="H94" s="201">
        <f>BY48</f>
        <v>0</v>
      </c>
      <c r="I94" s="201">
        <f>BZ48</f>
        <v>47250</v>
      </c>
      <c r="J94" s="201">
        <f>CA48</f>
        <v>11400</v>
      </c>
      <c r="K94" s="201">
        <f>CB48</f>
        <v>0</v>
      </c>
      <c r="L94" s="201">
        <f>CC48</f>
        <v>0</v>
      </c>
      <c r="M94" s="201">
        <f t="shared" ref="M94:M100" si="216">SUM(H94:L94)</f>
        <v>58650</v>
      </c>
      <c r="O94" s="99"/>
      <c r="Q94" s="538">
        <f t="shared" ref="Q94:Q100" si="217">ABS(M94-AF94)</f>
        <v>58650</v>
      </c>
      <c r="R94" s="538"/>
      <c r="S94" s="538"/>
      <c r="T94" s="1495"/>
      <c r="U94" s="1496"/>
      <c r="V94" s="642"/>
      <c r="W94" s="642"/>
      <c r="X94" s="642"/>
      <c r="Y94" s="642"/>
      <c r="Z94" s="643"/>
      <c r="AA94" s="644"/>
      <c r="AB94" s="644"/>
      <c r="AC94" s="644"/>
      <c r="AD94" s="644"/>
      <c r="AE94" s="644"/>
      <c r="AF94" s="644"/>
      <c r="AG94" s="639"/>
      <c r="AH94" s="628"/>
      <c r="GW94" s="640"/>
      <c r="HL94" s="624"/>
    </row>
    <row r="95" spans="1:220" ht="12" customHeight="1">
      <c r="C95" s="5"/>
      <c r="D95" s="1"/>
      <c r="E95" s="1"/>
      <c r="F95" s="1"/>
      <c r="G95" s="44" t="s">
        <v>124</v>
      </c>
      <c r="H95" s="203">
        <f>CD48</f>
        <v>0</v>
      </c>
      <c r="I95" s="203">
        <f>CE48</f>
        <v>0</v>
      </c>
      <c r="J95" s="203">
        <f>CF48</f>
        <v>0</v>
      </c>
      <c r="K95" s="203">
        <f>CG48</f>
        <v>0</v>
      </c>
      <c r="L95" s="203">
        <f>CH48</f>
        <v>0</v>
      </c>
      <c r="M95" s="203">
        <f t="shared" si="216"/>
        <v>0</v>
      </c>
      <c r="N95" s="6"/>
      <c r="O95" s="99"/>
      <c r="Q95" s="538">
        <f t="shared" si="217"/>
        <v>0</v>
      </c>
      <c r="R95" s="538"/>
      <c r="S95" s="538"/>
      <c r="T95" s="1497"/>
      <c r="U95" s="1498"/>
      <c r="V95" s="645"/>
      <c r="W95" s="642"/>
      <c r="X95" s="642"/>
      <c r="Y95" s="642"/>
      <c r="Z95" s="643"/>
      <c r="AA95" s="644"/>
      <c r="AB95" s="644"/>
      <c r="AC95" s="644"/>
      <c r="AD95" s="644"/>
      <c r="AE95" s="644"/>
      <c r="AF95" s="644"/>
      <c r="AG95" s="642"/>
      <c r="AH95" s="628"/>
      <c r="GW95" s="640"/>
      <c r="HL95" s="624"/>
    </row>
    <row r="96" spans="1:220" ht="12" customHeight="1">
      <c r="C96" s="5"/>
      <c r="D96" s="1"/>
      <c r="E96" s="1"/>
      <c r="F96" s="1"/>
      <c r="G96" s="44" t="s">
        <v>706</v>
      </c>
      <c r="H96" s="200">
        <f>SUM(H94:H95)</f>
        <v>0</v>
      </c>
      <c r="I96" s="200">
        <f>SUM(I94:I95)</f>
        <v>47250</v>
      </c>
      <c r="J96" s="200">
        <f>SUM(J94:J95)</f>
        <v>11400</v>
      </c>
      <c r="K96" s="200">
        <f>SUM(K94:K95)</f>
        <v>0</v>
      </c>
      <c r="L96" s="200">
        <f>SUM(L94:L95)</f>
        <v>0</v>
      </c>
      <c r="M96" s="200">
        <f t="shared" si="216"/>
        <v>58650</v>
      </c>
      <c r="N96" s="6"/>
      <c r="O96" s="99"/>
      <c r="Q96" s="538">
        <f t="shared" si="217"/>
        <v>58650</v>
      </c>
      <c r="R96" s="538"/>
      <c r="S96" s="538"/>
      <c r="T96" s="1497"/>
      <c r="U96" s="1498"/>
      <c r="V96" s="645"/>
      <c r="W96" s="642"/>
      <c r="X96" s="642"/>
      <c r="Y96" s="642"/>
      <c r="Z96" s="643"/>
      <c r="AA96" s="644"/>
      <c r="AB96" s="644"/>
      <c r="AC96" s="644"/>
      <c r="AD96" s="644"/>
      <c r="AE96" s="644"/>
      <c r="AF96" s="644"/>
      <c r="AG96" s="642"/>
      <c r="AH96" s="628"/>
      <c r="GW96" s="640"/>
      <c r="HL96" s="624"/>
    </row>
    <row r="97" spans="1:222" ht="12" customHeight="1">
      <c r="C97" s="1" t="s">
        <v>333</v>
      </c>
      <c r="D97" s="1"/>
      <c r="E97" s="1"/>
      <c r="F97" s="1"/>
      <c r="G97" s="1"/>
      <c r="H97" s="200">
        <f>CN48</f>
        <v>0</v>
      </c>
      <c r="I97" s="200">
        <f>CO48</f>
        <v>2250</v>
      </c>
      <c r="J97" s="200">
        <f>CP48</f>
        <v>1900</v>
      </c>
      <c r="K97" s="200">
        <f>CQ48</f>
        <v>0</v>
      </c>
      <c r="L97" s="200">
        <f>CR48</f>
        <v>0</v>
      </c>
      <c r="M97" s="200">
        <f t="shared" si="216"/>
        <v>4150</v>
      </c>
      <c r="O97" s="99"/>
      <c r="Q97" s="538">
        <f t="shared" si="217"/>
        <v>4150</v>
      </c>
      <c r="R97" s="538"/>
      <c r="S97" s="538"/>
      <c r="T97" s="1497"/>
      <c r="U97" s="1498"/>
      <c r="V97" s="628"/>
      <c r="W97" s="642"/>
      <c r="X97" s="642"/>
      <c r="Y97" s="642"/>
      <c r="Z97" s="642"/>
      <c r="AA97" s="644"/>
      <c r="AB97" s="644"/>
      <c r="AC97" s="644"/>
      <c r="AD97" s="644"/>
      <c r="AE97" s="644"/>
      <c r="AF97" s="644"/>
      <c r="AG97" s="639"/>
      <c r="AH97" s="628"/>
      <c r="GW97" s="640"/>
      <c r="HL97" s="624"/>
    </row>
    <row r="98" spans="1:222" ht="12" customHeight="1">
      <c r="C98" s="6" t="s">
        <v>1551</v>
      </c>
      <c r="D98" s="1"/>
      <c r="E98" s="1"/>
      <c r="F98" s="1"/>
      <c r="G98" s="1"/>
      <c r="H98" s="200">
        <f>SUM(H96:H97)</f>
        <v>0</v>
      </c>
      <c r="I98" s="200">
        <f>SUM(I96:I97)</f>
        <v>49500</v>
      </c>
      <c r="J98" s="200">
        <f>SUM(J96:J97)</f>
        <v>13300</v>
      </c>
      <c r="K98" s="200">
        <f>SUM(K96:K97)</f>
        <v>0</v>
      </c>
      <c r="L98" s="200">
        <f>SUM(L96:L97)</f>
        <v>0</v>
      </c>
      <c r="M98" s="200">
        <f t="shared" si="216"/>
        <v>62800</v>
      </c>
      <c r="O98" s="99"/>
      <c r="Q98" s="538">
        <f t="shared" si="217"/>
        <v>62800</v>
      </c>
      <c r="R98" s="538"/>
      <c r="S98" s="538"/>
      <c r="T98" s="1497"/>
      <c r="U98" s="1498"/>
      <c r="V98" s="642"/>
      <c r="W98" s="642"/>
      <c r="X98" s="642"/>
      <c r="Y98" s="642"/>
      <c r="Z98" s="642"/>
      <c r="AA98" s="644"/>
      <c r="AB98" s="644"/>
      <c r="AC98" s="644"/>
      <c r="AD98" s="644"/>
      <c r="AE98" s="644"/>
      <c r="AF98" s="644"/>
      <c r="AG98" s="639"/>
      <c r="AH98" s="628"/>
      <c r="GW98" s="640"/>
      <c r="HL98" s="624"/>
    </row>
    <row r="99" spans="1:222" ht="12" customHeight="1">
      <c r="C99" s="6" t="s">
        <v>3297</v>
      </c>
      <c r="D99" s="1"/>
      <c r="E99" s="1"/>
      <c r="F99" s="1"/>
      <c r="G99" s="1"/>
      <c r="H99" s="200">
        <f>CX48</f>
        <v>0</v>
      </c>
      <c r="I99" s="200">
        <f>CY48</f>
        <v>0</v>
      </c>
      <c r="J99" s="200">
        <f>CZ48</f>
        <v>0</v>
      </c>
      <c r="K99" s="200">
        <f>DA48</f>
        <v>0</v>
      </c>
      <c r="L99" s="200">
        <f>DB48</f>
        <v>0</v>
      </c>
      <c r="M99" s="200">
        <f t="shared" si="216"/>
        <v>0</v>
      </c>
      <c r="O99" s="99"/>
      <c r="Q99" s="538">
        <f t="shared" si="217"/>
        <v>0</v>
      </c>
      <c r="R99" s="538"/>
      <c r="S99" s="538"/>
      <c r="T99" s="1497"/>
      <c r="U99" s="1498"/>
      <c r="V99" s="642"/>
      <c r="W99" s="642"/>
      <c r="X99" s="642"/>
      <c r="Y99" s="642"/>
      <c r="Z99" s="642"/>
      <c r="AA99" s="644"/>
      <c r="AB99" s="644"/>
      <c r="AC99" s="644"/>
      <c r="AD99" s="644"/>
      <c r="AE99" s="644"/>
      <c r="AF99" s="644"/>
      <c r="AG99" s="639"/>
      <c r="AH99" s="628"/>
      <c r="GW99" s="640"/>
      <c r="HL99" s="624"/>
    </row>
    <row r="100" spans="1:222" ht="12" customHeight="1">
      <c r="C100" s="6" t="s">
        <v>706</v>
      </c>
      <c r="D100" s="1"/>
      <c r="E100" s="1"/>
      <c r="F100" s="1"/>
      <c r="G100" s="1"/>
      <c r="H100" s="200">
        <f>SUM(H98:H99)</f>
        <v>0</v>
      </c>
      <c r="I100" s="200">
        <f>SUM(I98:I99)</f>
        <v>49500</v>
      </c>
      <c r="J100" s="200">
        <f>SUM(J98:J99)</f>
        <v>13300</v>
      </c>
      <c r="K100" s="200">
        <f>SUM(K98:K99)</f>
        <v>0</v>
      </c>
      <c r="L100" s="200">
        <f>SUM(L98:L99)</f>
        <v>0</v>
      </c>
      <c r="M100" s="200">
        <f t="shared" si="216"/>
        <v>62800</v>
      </c>
      <c r="O100" s="99"/>
      <c r="Q100" s="538">
        <f t="shared" si="217"/>
        <v>62800</v>
      </c>
      <c r="R100" s="538"/>
      <c r="S100" s="538"/>
      <c r="T100" s="1500"/>
      <c r="U100" s="1501"/>
      <c r="V100" s="642"/>
      <c r="W100" s="642"/>
      <c r="X100" s="642"/>
      <c r="Y100" s="642"/>
      <c r="Z100" s="642"/>
      <c r="AA100" s="644"/>
      <c r="AB100" s="644"/>
      <c r="AC100" s="644"/>
      <c r="AD100" s="644"/>
      <c r="AE100" s="644"/>
      <c r="AF100" s="644"/>
      <c r="AG100" s="639"/>
      <c r="AH100" s="628"/>
      <c r="GW100" s="640"/>
      <c r="HL100" s="624"/>
    </row>
    <row r="101" spans="1:222" ht="4.9000000000000004" customHeight="1">
      <c r="B101" s="16"/>
      <c r="O101" s="95"/>
      <c r="P101" s="95"/>
      <c r="Q101" s="109"/>
      <c r="R101" s="109"/>
      <c r="S101" s="109"/>
      <c r="U101" s="188"/>
      <c r="V101" s="639"/>
      <c r="W101" s="639"/>
      <c r="X101" s="639"/>
      <c r="Y101" s="639"/>
      <c r="Z101" s="639"/>
      <c r="AA101" s="639"/>
      <c r="AB101" s="639"/>
      <c r="AC101" s="639"/>
      <c r="AD101" s="639"/>
      <c r="AE101" s="639"/>
      <c r="AF101" s="639"/>
      <c r="AG101" s="639"/>
      <c r="GW101" s="640"/>
      <c r="HL101" s="624"/>
    </row>
    <row r="102" spans="1:222" ht="13.9" customHeight="1">
      <c r="A102" s="16" t="s">
        <v>1047</v>
      </c>
      <c r="B102" s="16" t="s">
        <v>246</v>
      </c>
      <c r="P102" s="9"/>
      <c r="Q102" s="539"/>
      <c r="R102" s="539"/>
      <c r="S102" s="539"/>
      <c r="T102" s="16" t="s">
        <v>2549</v>
      </c>
      <c r="FY102" s="624"/>
      <c r="GP102" s="635"/>
      <c r="GV102" s="624"/>
      <c r="GW102" s="640"/>
      <c r="HL102" s="624"/>
      <c r="HN102" s="640"/>
    </row>
    <row r="103" spans="1:222" ht="9" customHeight="1">
      <c r="P103" s="539"/>
    </row>
    <row r="104" spans="1:222" ht="12.6" customHeight="1">
      <c r="B104" s="16" t="s">
        <v>1418</v>
      </c>
      <c r="D104" s="131"/>
      <c r="H104" s="1034">
        <f>'Part VII-Pro Forma'!B9*L49</f>
        <v>11302.08</v>
      </c>
      <c r="I104" s="1035"/>
      <c r="K104" s="747" t="s">
        <v>3758</v>
      </c>
      <c r="O104" s="662">
        <f>H104/L49</f>
        <v>0.02</v>
      </c>
      <c r="P104" s="491"/>
      <c r="T104" s="5" t="str">
        <f>B104</f>
        <v>Ancillary Income</v>
      </c>
    </row>
    <row r="105" spans="1:222" ht="15" customHeight="1">
      <c r="B105" s="16"/>
      <c r="D105" s="131"/>
      <c r="E105" s="167"/>
      <c r="I105" s="129"/>
      <c r="P105" s="491"/>
    </row>
    <row r="106" spans="1:222" ht="13.9" customHeight="1">
      <c r="B106" s="16" t="s">
        <v>1890</v>
      </c>
      <c r="I106" s="16"/>
      <c r="K106" s="41"/>
      <c r="T106" s="5" t="str">
        <f>B106</f>
        <v>Other Income (OI) by Year:</v>
      </c>
    </row>
    <row r="107" spans="1:222" ht="15" customHeight="1">
      <c r="B107" s="16"/>
      <c r="I107" s="16"/>
      <c r="K107" s="41"/>
    </row>
    <row r="108" spans="1:222" ht="13.9" customHeight="1">
      <c r="B108" s="486" t="s">
        <v>3013</v>
      </c>
      <c r="G108" s="488">
        <v>1</v>
      </c>
      <c r="H108" s="488">
        <v>2</v>
      </c>
      <c r="I108" s="488">
        <v>3</v>
      </c>
      <c r="J108" s="488">
        <v>4</v>
      </c>
      <c r="K108" s="489">
        <v>5</v>
      </c>
      <c r="L108" s="488">
        <v>6</v>
      </c>
      <c r="M108" s="488">
        <v>7</v>
      </c>
      <c r="N108" s="488">
        <v>8</v>
      </c>
      <c r="O108" s="488">
        <v>9</v>
      </c>
      <c r="P108" s="488">
        <v>10</v>
      </c>
      <c r="T108" s="115" t="str">
        <f>B108</f>
        <v>Included in Mgt Fee:</v>
      </c>
    </row>
    <row r="109" spans="1:222" ht="15" customHeight="1">
      <c r="B109" s="9" t="s">
        <v>1419</v>
      </c>
      <c r="G109" s="1568"/>
      <c r="H109" s="1568"/>
      <c r="I109" s="1568"/>
      <c r="J109" s="1568"/>
      <c r="K109" s="1569"/>
      <c r="L109" s="1568"/>
      <c r="M109" s="1568"/>
      <c r="N109" s="1568"/>
      <c r="O109" s="1568"/>
      <c r="P109" s="1568"/>
      <c r="T109" s="1495"/>
      <c r="U109" s="1496"/>
    </row>
    <row r="110" spans="1:222" ht="15" customHeight="1">
      <c r="B110" s="9" t="s">
        <v>1046</v>
      </c>
      <c r="C110" s="1570"/>
      <c r="D110" s="1571"/>
      <c r="E110" s="1571"/>
      <c r="F110" s="1572"/>
      <c r="G110" s="1573"/>
      <c r="H110" s="1573"/>
      <c r="I110" s="1573"/>
      <c r="J110" s="1573"/>
      <c r="K110" s="1574"/>
      <c r="L110" s="1573"/>
      <c r="M110" s="1573"/>
      <c r="N110" s="1573"/>
      <c r="O110" s="1573"/>
      <c r="P110" s="1573"/>
      <c r="T110" s="1497"/>
      <c r="U110" s="1498"/>
    </row>
    <row r="111" spans="1:222" ht="15" customHeight="1">
      <c r="C111" s="107" t="s">
        <v>1324</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500"/>
      <c r="U111" s="1501"/>
    </row>
    <row r="112" spans="1:222" ht="6.6" customHeight="1">
      <c r="C112" s="107"/>
      <c r="G112" s="25"/>
      <c r="H112" s="25"/>
      <c r="I112" s="25"/>
      <c r="J112" s="25"/>
      <c r="K112" s="25"/>
      <c r="L112" s="25"/>
      <c r="M112" s="25"/>
      <c r="N112" s="25"/>
      <c r="O112" s="25"/>
      <c r="P112" s="25"/>
    </row>
    <row r="113" spans="2:21" ht="15.6" customHeight="1">
      <c r="B113" s="487" t="s">
        <v>823</v>
      </c>
      <c r="G113" s="42"/>
      <c r="P113" s="9"/>
      <c r="T113" s="115" t="str">
        <f>B113</f>
        <v>NOT Included in Mgt Fee:</v>
      </c>
    </row>
    <row r="114" spans="2:21" ht="15" customHeight="1">
      <c r="B114" s="9" t="s">
        <v>700</v>
      </c>
      <c r="G114" s="1568"/>
      <c r="H114" s="1568"/>
      <c r="I114" s="1568"/>
      <c r="J114" s="1568"/>
      <c r="K114" s="1569"/>
      <c r="L114" s="1568"/>
      <c r="M114" s="1568"/>
      <c r="N114" s="1568"/>
      <c r="O114" s="1568"/>
      <c r="P114" s="1568"/>
      <c r="T114" s="1497"/>
      <c r="U114" s="1498"/>
    </row>
    <row r="115" spans="2:21" ht="15" customHeight="1">
      <c r="B115" s="9" t="s">
        <v>1046</v>
      </c>
      <c r="C115" s="1570"/>
      <c r="D115" s="1571"/>
      <c r="E115" s="1571"/>
      <c r="F115" s="1572"/>
      <c r="G115" s="1573"/>
      <c r="H115" s="1573"/>
      <c r="I115" s="1573"/>
      <c r="J115" s="1573"/>
      <c r="K115" s="1574"/>
      <c r="L115" s="1573"/>
      <c r="M115" s="1573"/>
      <c r="N115" s="1573"/>
      <c r="O115" s="1573"/>
      <c r="P115" s="1573"/>
      <c r="T115" s="1497"/>
      <c r="U115" s="1498"/>
    </row>
    <row r="116" spans="2:21" ht="15" customHeight="1">
      <c r="C116" s="107" t="s">
        <v>210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500"/>
      <c r="U116" s="1501"/>
    </row>
    <row r="117" spans="2:21" ht="42.6" customHeight="1">
      <c r="B117" s="16"/>
      <c r="G117" s="42"/>
      <c r="P117" s="9"/>
      <c r="T117" s="213" t="s">
        <v>3421</v>
      </c>
    </row>
    <row r="118" spans="2:21" ht="13.9" customHeight="1">
      <c r="B118" s="486" t="s">
        <v>3013</v>
      </c>
      <c r="G118" s="488">
        <v>11</v>
      </c>
      <c r="H118" s="488">
        <v>12</v>
      </c>
      <c r="I118" s="488">
        <v>13</v>
      </c>
      <c r="J118" s="488">
        <v>14</v>
      </c>
      <c r="K118" s="488">
        <v>15</v>
      </c>
      <c r="L118" s="488">
        <v>16</v>
      </c>
      <c r="M118" s="488">
        <v>17</v>
      </c>
      <c r="N118" s="488">
        <v>18</v>
      </c>
      <c r="O118" s="488">
        <v>19</v>
      </c>
      <c r="P118" s="488">
        <v>20</v>
      </c>
      <c r="T118" s="115" t="str">
        <f>B118</f>
        <v>Included in Mgt Fee:</v>
      </c>
    </row>
    <row r="119" spans="2:21" ht="15" customHeight="1">
      <c r="B119" s="9" t="s">
        <v>1419</v>
      </c>
      <c r="G119" s="1568"/>
      <c r="H119" s="1568"/>
      <c r="I119" s="1568"/>
      <c r="J119" s="1568"/>
      <c r="K119" s="1569"/>
      <c r="L119" s="1568"/>
      <c r="M119" s="1568"/>
      <c r="N119" s="1568"/>
      <c r="O119" s="1568"/>
      <c r="P119" s="1568"/>
      <c r="T119" s="1495"/>
      <c r="U119" s="1496"/>
    </row>
    <row r="120" spans="2:21" ht="15" customHeight="1">
      <c r="B120" s="9" t="s">
        <v>1046</v>
      </c>
      <c r="C120" s="1570"/>
      <c r="D120" s="1571"/>
      <c r="E120" s="1571"/>
      <c r="F120" s="1572"/>
      <c r="G120" s="1573"/>
      <c r="H120" s="1573"/>
      <c r="I120" s="1573"/>
      <c r="J120" s="1573"/>
      <c r="K120" s="1574"/>
      <c r="L120" s="1573"/>
      <c r="M120" s="1573"/>
      <c r="N120" s="1573"/>
      <c r="O120" s="1573"/>
      <c r="P120" s="1573"/>
      <c r="T120" s="1497"/>
      <c r="U120" s="1498"/>
    </row>
    <row r="121" spans="2:21" ht="15" customHeight="1">
      <c r="C121" s="107" t="s">
        <v>1324</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500"/>
      <c r="U121" s="1501"/>
    </row>
    <row r="122" spans="2:21" ht="6.6" customHeight="1">
      <c r="C122" s="107"/>
      <c r="G122" s="25"/>
      <c r="H122" s="25"/>
      <c r="I122" s="25"/>
      <c r="J122" s="25"/>
      <c r="K122" s="25"/>
      <c r="L122" s="25"/>
      <c r="M122" s="25"/>
      <c r="N122" s="25"/>
      <c r="O122" s="25"/>
      <c r="P122" s="25"/>
    </row>
    <row r="123" spans="2:21" ht="15.6" customHeight="1">
      <c r="B123" s="487" t="s">
        <v>823</v>
      </c>
      <c r="G123" s="42"/>
      <c r="P123" s="9"/>
      <c r="T123" s="115" t="str">
        <f>B123</f>
        <v>NOT Included in Mgt Fee:</v>
      </c>
    </row>
    <row r="124" spans="2:21" ht="15" customHeight="1">
      <c r="B124" s="9" t="s">
        <v>700</v>
      </c>
      <c r="G124" s="1568"/>
      <c r="H124" s="1568"/>
      <c r="I124" s="1568"/>
      <c r="J124" s="1568"/>
      <c r="K124" s="1569"/>
      <c r="L124" s="1568"/>
      <c r="M124" s="1568"/>
      <c r="N124" s="1568"/>
      <c r="O124" s="1568"/>
      <c r="P124" s="1568"/>
      <c r="T124" s="1497"/>
      <c r="U124" s="1498"/>
    </row>
    <row r="125" spans="2:21" ht="15" customHeight="1">
      <c r="B125" s="9" t="s">
        <v>1046</v>
      </c>
      <c r="C125" s="1570"/>
      <c r="D125" s="1571"/>
      <c r="E125" s="1571"/>
      <c r="F125" s="1572"/>
      <c r="G125" s="1573"/>
      <c r="H125" s="1573"/>
      <c r="I125" s="1573"/>
      <c r="J125" s="1573"/>
      <c r="K125" s="1574"/>
      <c r="L125" s="1573"/>
      <c r="M125" s="1573"/>
      <c r="N125" s="1573"/>
      <c r="O125" s="1573"/>
      <c r="P125" s="1573"/>
      <c r="T125" s="1497"/>
      <c r="U125" s="1498"/>
    </row>
    <row r="126" spans="2:21" ht="15" customHeight="1">
      <c r="C126" s="107" t="s">
        <v>210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500"/>
      <c r="U126" s="1501"/>
    </row>
    <row r="127" spans="2:21" ht="42.6" customHeight="1">
      <c r="B127" s="16"/>
      <c r="G127" s="42"/>
      <c r="P127" s="9"/>
      <c r="T127" s="213" t="s">
        <v>3422</v>
      </c>
    </row>
    <row r="128" spans="2:21" ht="13.9" customHeight="1">
      <c r="B128" s="486" t="s">
        <v>3013</v>
      </c>
      <c r="G128" s="488">
        <v>21</v>
      </c>
      <c r="H128" s="488">
        <v>22</v>
      </c>
      <c r="I128" s="488">
        <v>23</v>
      </c>
      <c r="J128" s="488">
        <v>24</v>
      </c>
      <c r="K128" s="488">
        <v>25</v>
      </c>
      <c r="L128" s="488">
        <v>26</v>
      </c>
      <c r="M128" s="488">
        <v>27</v>
      </c>
      <c r="N128" s="488">
        <v>28</v>
      </c>
      <c r="O128" s="488">
        <v>29</v>
      </c>
      <c r="P128" s="488">
        <v>30</v>
      </c>
      <c r="T128" s="115" t="str">
        <f>B128</f>
        <v>Included in Mgt Fee:</v>
      </c>
    </row>
    <row r="129" spans="1:255" ht="15" customHeight="1">
      <c r="B129" s="9" t="s">
        <v>1419</v>
      </c>
      <c r="G129" s="1568"/>
      <c r="H129" s="1568"/>
      <c r="I129" s="1568"/>
      <c r="J129" s="1568"/>
      <c r="K129" s="1569"/>
      <c r="L129" s="1568"/>
      <c r="M129" s="1568"/>
      <c r="N129" s="1568"/>
      <c r="O129" s="1568"/>
      <c r="P129" s="1568"/>
      <c r="T129" s="1495"/>
      <c r="U129" s="1496"/>
    </row>
    <row r="130" spans="1:255" ht="15" customHeight="1">
      <c r="B130" s="9" t="s">
        <v>1046</v>
      </c>
      <c r="C130" s="1570"/>
      <c r="D130" s="1571"/>
      <c r="E130" s="1571"/>
      <c r="F130" s="1572"/>
      <c r="G130" s="1573"/>
      <c r="H130" s="1573"/>
      <c r="I130" s="1573"/>
      <c r="J130" s="1573"/>
      <c r="K130" s="1574"/>
      <c r="L130" s="1573"/>
      <c r="M130" s="1573"/>
      <c r="N130" s="1573"/>
      <c r="O130" s="1573"/>
      <c r="P130" s="1573"/>
      <c r="T130" s="1497"/>
      <c r="U130" s="1498"/>
    </row>
    <row r="131" spans="1:255" ht="15" customHeight="1">
      <c r="C131" s="107" t="s">
        <v>1324</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500"/>
      <c r="U131" s="1501"/>
    </row>
    <row r="132" spans="1:255" ht="6.6" customHeight="1">
      <c r="C132" s="107"/>
      <c r="G132" s="25"/>
      <c r="H132" s="25"/>
      <c r="I132" s="25"/>
      <c r="J132" s="25"/>
      <c r="K132" s="25"/>
      <c r="L132" s="25"/>
      <c r="M132" s="25"/>
      <c r="N132" s="25"/>
      <c r="O132" s="25"/>
      <c r="P132" s="25"/>
    </row>
    <row r="133" spans="1:255" ht="15" customHeight="1">
      <c r="B133" s="487" t="s">
        <v>823</v>
      </c>
      <c r="G133" s="42"/>
      <c r="P133" s="9"/>
      <c r="T133" s="115" t="str">
        <f>B133</f>
        <v>NOT Included in Mgt Fee:</v>
      </c>
    </row>
    <row r="134" spans="1:255" ht="15" customHeight="1">
      <c r="B134" s="9" t="s">
        <v>700</v>
      </c>
      <c r="G134" s="1568"/>
      <c r="H134" s="1568"/>
      <c r="I134" s="1568"/>
      <c r="J134" s="1568"/>
      <c r="K134" s="1569"/>
      <c r="L134" s="1568"/>
      <c r="M134" s="1568"/>
      <c r="N134" s="1568"/>
      <c r="O134" s="1568"/>
      <c r="P134" s="1568"/>
      <c r="T134" s="1497"/>
      <c r="U134" s="1498"/>
    </row>
    <row r="135" spans="1:255" ht="15" customHeight="1">
      <c r="B135" s="9" t="s">
        <v>1046</v>
      </c>
      <c r="C135" s="1570"/>
      <c r="D135" s="1571"/>
      <c r="E135" s="1571"/>
      <c r="F135" s="1572"/>
      <c r="G135" s="1573"/>
      <c r="H135" s="1573"/>
      <c r="I135" s="1573"/>
      <c r="J135" s="1573"/>
      <c r="K135" s="1574"/>
      <c r="L135" s="1573"/>
      <c r="M135" s="1573"/>
      <c r="N135" s="1573"/>
      <c r="O135" s="1573"/>
      <c r="P135" s="1573"/>
      <c r="T135" s="1497"/>
      <c r="U135" s="1498"/>
    </row>
    <row r="136" spans="1:255" ht="15" customHeight="1">
      <c r="C136" s="107" t="s">
        <v>210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500"/>
      <c r="U136" s="1501"/>
    </row>
    <row r="137" spans="1:255" ht="9.6" customHeight="1">
      <c r="B137" s="16"/>
      <c r="F137" s="42"/>
      <c r="G137" s="42"/>
      <c r="J137" s="19"/>
      <c r="P137" s="9"/>
    </row>
    <row r="138" spans="1:255" s="108" customFormat="1" ht="11.25" customHeight="1">
      <c r="A138" s="5" t="s">
        <v>2488</v>
      </c>
      <c r="B138" s="3" t="s">
        <v>1421</v>
      </c>
      <c r="C138" s="3"/>
      <c r="D138" s="3"/>
      <c r="E138" s="3"/>
      <c r="F138" s="3"/>
      <c r="G138" s="3"/>
      <c r="H138" s="3"/>
      <c r="I138" s="3"/>
      <c r="J138" s="3"/>
      <c r="K138" s="3"/>
      <c r="L138" s="1"/>
      <c r="M138" s="17"/>
      <c r="N138" s="7"/>
      <c r="O138" s="7"/>
      <c r="P138" s="1"/>
      <c r="T138" s="5" t="str">
        <f>B138</f>
        <v>ANNUAL OPERATING EXPENSE BUDGET</v>
      </c>
      <c r="U138" s="99"/>
      <c r="V138" s="624"/>
      <c r="W138" s="624"/>
      <c r="X138" s="624"/>
      <c r="Y138" s="628"/>
      <c r="Z138" s="628"/>
      <c r="AA138" s="628"/>
      <c r="AB138" s="628"/>
      <c r="AC138" s="628"/>
      <c r="AD138" s="628"/>
      <c r="AE138" s="628"/>
      <c r="AF138" s="628"/>
      <c r="AG138" s="628"/>
      <c r="AH138" s="628"/>
      <c r="AI138" s="628"/>
      <c r="AJ138" s="628"/>
      <c r="AK138" s="628"/>
      <c r="AL138" s="628"/>
      <c r="AM138" s="628"/>
      <c r="AN138" s="628"/>
      <c r="AO138" s="628"/>
      <c r="AP138" s="628"/>
      <c r="AQ138" s="628"/>
      <c r="AR138" s="628"/>
      <c r="AS138" s="628"/>
      <c r="AT138" s="628"/>
      <c r="AU138" s="628"/>
      <c r="AV138" s="628"/>
      <c r="AW138" s="628"/>
      <c r="AX138" s="628"/>
      <c r="AY138" s="628"/>
      <c r="AZ138" s="628"/>
      <c r="BA138" s="628"/>
      <c r="BB138" s="628"/>
      <c r="BC138" s="628"/>
      <c r="BD138" s="628"/>
      <c r="BE138" s="628"/>
      <c r="BF138" s="628"/>
      <c r="BG138" s="628"/>
      <c r="BH138" s="628"/>
      <c r="BI138" s="628"/>
      <c r="BJ138" s="628"/>
      <c r="BK138" s="628"/>
      <c r="BL138" s="628"/>
      <c r="BM138" s="628"/>
      <c r="BN138" s="628"/>
      <c r="BO138" s="628"/>
      <c r="BP138" s="628"/>
      <c r="BQ138" s="628"/>
      <c r="BR138" s="628"/>
      <c r="BS138" s="628"/>
      <c r="BT138" s="628"/>
      <c r="BU138" s="628"/>
      <c r="BV138" s="628"/>
      <c r="BW138" s="628"/>
      <c r="BX138" s="628"/>
      <c r="BY138" s="628"/>
      <c r="BZ138" s="628"/>
      <c r="CA138" s="628"/>
      <c r="CB138" s="628"/>
      <c r="CC138" s="628"/>
      <c r="CD138" s="628"/>
      <c r="CE138" s="628"/>
      <c r="CF138" s="628"/>
      <c r="CG138" s="628"/>
      <c r="CH138" s="628"/>
      <c r="CI138" s="628"/>
      <c r="CJ138" s="628"/>
      <c r="CK138" s="628"/>
      <c r="CL138" s="628"/>
      <c r="CM138" s="628"/>
      <c r="CN138" s="628"/>
      <c r="CO138" s="628"/>
      <c r="CP138" s="628"/>
      <c r="CQ138" s="628"/>
      <c r="CR138" s="628"/>
      <c r="CS138" s="628"/>
      <c r="CT138" s="628"/>
      <c r="CU138" s="628"/>
      <c r="CV138" s="628"/>
      <c r="CW138" s="628"/>
      <c r="CX138" s="628"/>
      <c r="CY138" s="628"/>
      <c r="CZ138" s="628"/>
      <c r="DA138" s="628"/>
      <c r="DB138" s="628"/>
      <c r="DC138" s="628"/>
      <c r="DD138" s="628"/>
      <c r="DE138" s="628"/>
      <c r="DF138" s="628"/>
      <c r="DG138" s="628"/>
      <c r="DH138" s="628"/>
      <c r="DI138" s="628"/>
      <c r="DJ138" s="628"/>
      <c r="DK138" s="628"/>
      <c r="DL138" s="628"/>
      <c r="DM138" s="628"/>
      <c r="DN138" s="628"/>
      <c r="DO138" s="628"/>
      <c r="DP138" s="628"/>
      <c r="DQ138" s="628"/>
      <c r="DR138" s="628"/>
      <c r="DS138" s="628"/>
      <c r="DT138" s="628"/>
      <c r="DU138" s="628"/>
      <c r="DV138" s="628"/>
      <c r="DW138" s="628"/>
      <c r="DX138" s="628"/>
      <c r="DY138" s="628"/>
      <c r="DZ138" s="628"/>
      <c r="EA138" s="628"/>
      <c r="EB138" s="628"/>
      <c r="EC138" s="628"/>
      <c r="ED138" s="628"/>
      <c r="EE138" s="628"/>
      <c r="EF138" s="628"/>
      <c r="EG138" s="628"/>
      <c r="EH138" s="628"/>
      <c r="EI138" s="628"/>
      <c r="EJ138" s="628"/>
      <c r="EK138" s="628"/>
      <c r="EL138" s="628"/>
      <c r="EM138" s="628"/>
      <c r="EN138" s="628"/>
      <c r="EO138" s="628"/>
      <c r="EP138" s="628"/>
      <c r="EQ138" s="628"/>
      <c r="ER138" s="628"/>
      <c r="ES138" s="628"/>
      <c r="ET138" s="628"/>
      <c r="EU138" s="628"/>
      <c r="EV138" s="628"/>
      <c r="EW138" s="628"/>
      <c r="EX138" s="628"/>
      <c r="EY138" s="628"/>
      <c r="EZ138" s="628"/>
      <c r="FA138" s="628"/>
      <c r="FB138" s="628"/>
      <c r="FC138" s="628"/>
      <c r="FD138" s="628"/>
      <c r="FE138" s="628"/>
      <c r="FF138" s="628"/>
      <c r="FG138" s="628"/>
      <c r="FH138" s="628"/>
      <c r="FI138" s="628"/>
      <c r="FJ138" s="628"/>
      <c r="FK138" s="628"/>
      <c r="FL138" s="628"/>
      <c r="FM138" s="628"/>
      <c r="FN138" s="628"/>
      <c r="FO138" s="628"/>
      <c r="FP138" s="628"/>
      <c r="FQ138" s="628"/>
      <c r="FR138" s="628"/>
      <c r="FS138" s="628"/>
      <c r="FT138" s="628"/>
      <c r="FU138" s="628"/>
      <c r="FV138" s="628"/>
      <c r="FW138" s="628"/>
      <c r="FX138" s="628"/>
      <c r="FY138" s="629"/>
      <c r="FZ138" s="629"/>
      <c r="GA138" s="629"/>
      <c r="GB138" s="629"/>
      <c r="GC138" s="629"/>
      <c r="GD138" s="629"/>
      <c r="GE138" s="629"/>
      <c r="GF138" s="629"/>
      <c r="GG138" s="629"/>
      <c r="GH138" s="629"/>
      <c r="GI138" s="629"/>
      <c r="GJ138" s="629"/>
      <c r="GK138" s="629"/>
      <c r="GL138" s="629"/>
      <c r="GM138" s="629"/>
      <c r="GN138" s="629"/>
      <c r="GO138" s="629"/>
      <c r="GP138" s="628"/>
      <c r="GQ138" s="628"/>
      <c r="GR138" s="628"/>
      <c r="GS138" s="628"/>
      <c r="GT138" s="628"/>
      <c r="GU138" s="628"/>
      <c r="GV138" s="630"/>
      <c r="GW138" s="628"/>
      <c r="GX138" s="628"/>
      <c r="GY138" s="628"/>
      <c r="GZ138" s="628"/>
      <c r="HA138" s="628"/>
      <c r="HB138" s="628"/>
      <c r="HC138" s="628"/>
      <c r="HD138" s="628"/>
      <c r="HE138" s="628"/>
      <c r="HF138" s="628"/>
      <c r="HG138" s="628"/>
      <c r="HH138" s="628"/>
      <c r="HI138" s="628"/>
      <c r="HJ138" s="628"/>
      <c r="HK138" s="628"/>
      <c r="HL138" s="630"/>
      <c r="HM138" s="630"/>
      <c r="HN138" s="628"/>
      <c r="HO138" s="628"/>
      <c r="HP138" s="115"/>
      <c r="HQ138" s="115"/>
      <c r="HR138" s="115"/>
      <c r="HS138" s="115"/>
      <c r="HT138" s="115"/>
      <c r="HU138" s="115"/>
      <c r="HV138" s="115"/>
      <c r="HW138" s="115"/>
      <c r="HX138" s="115"/>
      <c r="HY138" s="115"/>
      <c r="HZ138" s="115"/>
      <c r="IA138" s="115"/>
      <c r="IB138" s="115"/>
      <c r="IC138" s="115"/>
      <c r="ID138" s="115"/>
      <c r="IE138" s="115"/>
      <c r="IF138" s="115"/>
      <c r="IG138" s="115"/>
      <c r="IH138" s="115"/>
      <c r="II138" s="115"/>
      <c r="IJ138" s="115"/>
      <c r="IK138" s="115"/>
      <c r="IL138" s="115"/>
      <c r="IM138" s="115"/>
      <c r="IN138" s="115"/>
      <c r="IO138" s="115"/>
      <c r="IP138" s="115"/>
      <c r="IQ138" s="115"/>
      <c r="IR138" s="115"/>
      <c r="IS138" s="115"/>
      <c r="IT138" s="115"/>
      <c r="IU138" s="115"/>
    </row>
    <row r="139" spans="1:255" s="108" customFormat="1" ht="9" customHeight="1">
      <c r="A139" s="1"/>
      <c r="B139" s="3"/>
      <c r="C139" s="3"/>
      <c r="D139" s="3"/>
      <c r="E139" s="3"/>
      <c r="F139" s="3"/>
      <c r="G139" s="3"/>
      <c r="H139" s="3"/>
      <c r="I139" s="3"/>
      <c r="J139" s="3"/>
      <c r="K139" s="1"/>
      <c r="L139" s="1"/>
      <c r="M139" s="1"/>
      <c r="N139" s="1"/>
      <c r="O139" s="1"/>
      <c r="P139" s="1"/>
      <c r="T139" s="1037" t="s">
        <v>2549</v>
      </c>
      <c r="U139" s="1037"/>
      <c r="V139" s="628"/>
      <c r="W139" s="628"/>
      <c r="X139" s="628"/>
      <c r="Y139" s="628"/>
      <c r="Z139" s="628"/>
      <c r="AA139" s="628"/>
      <c r="AB139" s="628"/>
      <c r="AC139" s="628"/>
      <c r="AD139" s="628"/>
      <c r="AE139" s="628"/>
      <c r="AF139" s="628"/>
      <c r="AG139" s="628"/>
      <c r="AH139" s="628"/>
      <c r="AI139" s="628"/>
      <c r="AJ139" s="628"/>
      <c r="AK139" s="628"/>
      <c r="AL139" s="628"/>
      <c r="AM139" s="628"/>
      <c r="AN139" s="628"/>
      <c r="AO139" s="628"/>
      <c r="AP139" s="628"/>
      <c r="AQ139" s="628"/>
      <c r="AR139" s="628"/>
      <c r="AS139" s="628"/>
      <c r="AT139" s="628"/>
      <c r="AU139" s="628"/>
      <c r="AV139" s="628"/>
      <c r="AW139" s="628"/>
      <c r="AX139" s="628"/>
      <c r="AY139" s="628"/>
      <c r="AZ139" s="628"/>
      <c r="BA139" s="628"/>
      <c r="BB139" s="628"/>
      <c r="BC139" s="628"/>
      <c r="BD139" s="628"/>
      <c r="BE139" s="628"/>
      <c r="BF139" s="628"/>
      <c r="BG139" s="628"/>
      <c r="BH139" s="628"/>
      <c r="BI139" s="628"/>
      <c r="BJ139" s="628"/>
      <c r="BK139" s="628"/>
      <c r="BL139" s="628"/>
      <c r="BM139" s="628"/>
      <c r="BN139" s="628"/>
      <c r="BO139" s="628"/>
      <c r="BP139" s="628"/>
      <c r="BQ139" s="628"/>
      <c r="BR139" s="628"/>
      <c r="BS139" s="628"/>
      <c r="BT139" s="628"/>
      <c r="BU139" s="628"/>
      <c r="BV139" s="628"/>
      <c r="BW139" s="628"/>
      <c r="BX139" s="628"/>
      <c r="BY139" s="628"/>
      <c r="BZ139" s="628"/>
      <c r="CA139" s="628"/>
      <c r="CB139" s="628"/>
      <c r="CC139" s="628"/>
      <c r="CD139" s="628"/>
      <c r="CE139" s="628"/>
      <c r="CF139" s="628"/>
      <c r="CG139" s="628"/>
      <c r="CH139" s="628"/>
      <c r="CI139" s="628"/>
      <c r="CJ139" s="628"/>
      <c r="CK139" s="628"/>
      <c r="CL139" s="628"/>
      <c r="CM139" s="628"/>
      <c r="CN139" s="628"/>
      <c r="CO139" s="628"/>
      <c r="CP139" s="628"/>
      <c r="CQ139" s="628"/>
      <c r="CR139" s="628"/>
      <c r="CS139" s="628"/>
      <c r="CT139" s="628"/>
      <c r="CU139" s="628"/>
      <c r="CV139" s="628"/>
      <c r="CW139" s="628"/>
      <c r="CX139" s="628"/>
      <c r="CY139" s="628"/>
      <c r="CZ139" s="628"/>
      <c r="DA139" s="628"/>
      <c r="DB139" s="628"/>
      <c r="DC139" s="628"/>
      <c r="DD139" s="628"/>
      <c r="DE139" s="628"/>
      <c r="DF139" s="628"/>
      <c r="DG139" s="628"/>
      <c r="DH139" s="628"/>
      <c r="DI139" s="628"/>
      <c r="DJ139" s="628"/>
      <c r="DK139" s="628"/>
      <c r="DL139" s="628"/>
      <c r="DM139" s="628"/>
      <c r="DN139" s="628"/>
      <c r="DO139" s="628"/>
      <c r="DP139" s="628"/>
      <c r="DQ139" s="628"/>
      <c r="DR139" s="628"/>
      <c r="DS139" s="628"/>
      <c r="DT139" s="628"/>
      <c r="DU139" s="628"/>
      <c r="DV139" s="628"/>
      <c r="DW139" s="628"/>
      <c r="DX139" s="628"/>
      <c r="DY139" s="628"/>
      <c r="DZ139" s="628"/>
      <c r="EA139" s="628"/>
      <c r="EB139" s="628"/>
      <c r="EC139" s="628"/>
      <c r="ED139" s="628"/>
      <c r="EE139" s="628"/>
      <c r="EF139" s="628"/>
      <c r="EG139" s="628"/>
      <c r="EH139" s="628"/>
      <c r="EI139" s="628"/>
      <c r="EJ139" s="628"/>
      <c r="EK139" s="628"/>
      <c r="EL139" s="628"/>
      <c r="EM139" s="628"/>
      <c r="EN139" s="628"/>
      <c r="EO139" s="628"/>
      <c r="EP139" s="628"/>
      <c r="EQ139" s="628"/>
      <c r="ER139" s="628"/>
      <c r="ES139" s="628"/>
      <c r="ET139" s="628"/>
      <c r="EU139" s="628"/>
      <c r="EV139" s="628"/>
      <c r="EW139" s="628"/>
      <c r="EX139" s="628"/>
      <c r="EY139" s="628"/>
      <c r="EZ139" s="628"/>
      <c r="FA139" s="628"/>
      <c r="FB139" s="628"/>
      <c r="FC139" s="628"/>
      <c r="FD139" s="628"/>
      <c r="FE139" s="628"/>
      <c r="FF139" s="628"/>
      <c r="FG139" s="628"/>
      <c r="FH139" s="628"/>
      <c r="FI139" s="628"/>
      <c r="FJ139" s="628"/>
      <c r="FK139" s="628"/>
      <c r="FL139" s="628"/>
      <c r="FM139" s="628"/>
      <c r="FN139" s="628"/>
      <c r="FO139" s="628"/>
      <c r="FP139" s="628"/>
      <c r="FQ139" s="628"/>
      <c r="FR139" s="628"/>
      <c r="FS139" s="628"/>
      <c r="FT139" s="628"/>
      <c r="FU139" s="628"/>
      <c r="FV139" s="628"/>
      <c r="FW139" s="628"/>
      <c r="FX139" s="628"/>
      <c r="FY139" s="629"/>
      <c r="FZ139" s="629"/>
      <c r="GA139" s="629"/>
      <c r="GB139" s="629"/>
      <c r="GC139" s="629"/>
      <c r="GD139" s="629"/>
      <c r="GE139" s="629"/>
      <c r="GF139" s="629"/>
      <c r="GG139" s="629"/>
      <c r="GH139" s="629"/>
      <c r="GI139" s="629"/>
      <c r="GJ139" s="629"/>
      <c r="GK139" s="629"/>
      <c r="GL139" s="629"/>
      <c r="GM139" s="629"/>
      <c r="GN139" s="629"/>
      <c r="GO139" s="629"/>
      <c r="GP139" s="628"/>
      <c r="GQ139" s="628"/>
      <c r="GR139" s="628"/>
      <c r="GS139" s="628"/>
      <c r="GT139" s="628"/>
      <c r="GU139" s="628"/>
      <c r="GV139" s="630"/>
      <c r="GW139" s="628"/>
      <c r="GX139" s="628"/>
      <c r="GY139" s="628"/>
      <c r="GZ139" s="628"/>
      <c r="HA139" s="628"/>
      <c r="HB139" s="628"/>
      <c r="HC139" s="628"/>
      <c r="HD139" s="628"/>
      <c r="HE139" s="628"/>
      <c r="HF139" s="628"/>
      <c r="HG139" s="628"/>
      <c r="HH139" s="628"/>
      <c r="HI139" s="628"/>
      <c r="HJ139" s="628"/>
      <c r="HK139" s="628"/>
      <c r="HL139" s="630"/>
      <c r="HM139" s="630"/>
      <c r="HN139" s="628"/>
      <c r="HO139" s="628"/>
      <c r="HP139" s="115"/>
      <c r="HQ139" s="115"/>
      <c r="HR139" s="115"/>
      <c r="HS139" s="115"/>
      <c r="HT139" s="115"/>
      <c r="HU139" s="115"/>
      <c r="HV139" s="115"/>
      <c r="HW139" s="115"/>
      <c r="HX139" s="115"/>
      <c r="HY139" s="115"/>
      <c r="HZ139" s="115"/>
      <c r="IA139" s="115"/>
      <c r="IB139" s="115"/>
      <c r="IC139" s="115"/>
      <c r="ID139" s="115"/>
      <c r="IE139" s="115"/>
      <c r="IF139" s="115"/>
      <c r="IG139" s="115"/>
      <c r="IH139" s="115"/>
      <c r="II139" s="115"/>
      <c r="IJ139" s="115"/>
      <c r="IK139" s="115"/>
      <c r="IL139" s="115"/>
      <c r="IM139" s="115"/>
      <c r="IN139" s="115"/>
      <c r="IO139" s="115"/>
      <c r="IP139" s="115"/>
      <c r="IQ139" s="115"/>
      <c r="IR139" s="115"/>
      <c r="IS139" s="115"/>
      <c r="IT139" s="115"/>
      <c r="IU139" s="115"/>
    </row>
    <row r="140" spans="1:255" s="108" customFormat="1" ht="13.15" customHeight="1">
      <c r="A140" s="1"/>
      <c r="B140" s="11" t="s">
        <v>1724</v>
      </c>
      <c r="C140" s="1"/>
      <c r="D140" s="1"/>
      <c r="E140" s="1"/>
      <c r="F140" s="31"/>
      <c r="G140" s="31"/>
      <c r="H140" s="1"/>
      <c r="I140" s="11" t="s">
        <v>1812</v>
      </c>
      <c r="J140" s="1"/>
      <c r="K140" s="1"/>
      <c r="L140" s="1"/>
      <c r="M140" s="1"/>
      <c r="N140" s="11" t="s">
        <v>1811</v>
      </c>
      <c r="O140" s="1"/>
      <c r="P140" s="1"/>
      <c r="T140" s="1495"/>
      <c r="U140" s="1496"/>
      <c r="V140" s="624"/>
      <c r="W140" s="624"/>
      <c r="X140" s="624"/>
      <c r="Y140" s="628"/>
      <c r="Z140" s="628"/>
      <c r="AA140" s="628"/>
      <c r="AB140" s="628"/>
      <c r="AC140" s="628"/>
      <c r="AD140" s="628"/>
      <c r="AE140" s="628"/>
      <c r="AF140" s="628"/>
      <c r="AG140" s="628"/>
      <c r="AH140" s="628"/>
      <c r="AI140" s="628"/>
      <c r="AJ140" s="628"/>
      <c r="AK140" s="628"/>
      <c r="AL140" s="628"/>
      <c r="AM140" s="628"/>
      <c r="AN140" s="628"/>
      <c r="AO140" s="628"/>
      <c r="AP140" s="628"/>
      <c r="AQ140" s="628"/>
      <c r="AR140" s="628"/>
      <c r="AS140" s="628"/>
      <c r="AT140" s="628"/>
      <c r="AU140" s="628"/>
      <c r="AV140" s="628"/>
      <c r="AW140" s="628"/>
      <c r="AX140" s="628"/>
      <c r="AY140" s="628"/>
      <c r="AZ140" s="628"/>
      <c r="BA140" s="628"/>
      <c r="BB140" s="628"/>
      <c r="BC140" s="628"/>
      <c r="BD140" s="628"/>
      <c r="BE140" s="628"/>
      <c r="BF140" s="628"/>
      <c r="BG140" s="628"/>
      <c r="BH140" s="628"/>
      <c r="BI140" s="628"/>
      <c r="BJ140" s="628"/>
      <c r="BK140" s="628"/>
      <c r="BL140" s="628"/>
      <c r="BM140" s="628"/>
      <c r="BN140" s="628"/>
      <c r="BO140" s="628"/>
      <c r="BP140" s="628"/>
      <c r="BQ140" s="628"/>
      <c r="BR140" s="628"/>
      <c r="BS140" s="628"/>
      <c r="BT140" s="628"/>
      <c r="BU140" s="628"/>
      <c r="BV140" s="628"/>
      <c r="BW140" s="628"/>
      <c r="BX140" s="628"/>
      <c r="BY140" s="628"/>
      <c r="BZ140" s="628"/>
      <c r="CA140" s="628"/>
      <c r="CB140" s="628"/>
      <c r="CC140" s="628"/>
      <c r="CD140" s="628"/>
      <c r="CE140" s="628"/>
      <c r="CF140" s="628"/>
      <c r="CG140" s="628"/>
      <c r="CH140" s="628"/>
      <c r="CI140" s="628"/>
      <c r="CJ140" s="628"/>
      <c r="CK140" s="628"/>
      <c r="CL140" s="628"/>
      <c r="CM140" s="628"/>
      <c r="CN140" s="628"/>
      <c r="CO140" s="628"/>
      <c r="CP140" s="628"/>
      <c r="CQ140" s="628"/>
      <c r="CR140" s="628"/>
      <c r="CS140" s="628"/>
      <c r="CT140" s="628"/>
      <c r="CU140" s="628"/>
      <c r="CV140" s="628"/>
      <c r="CW140" s="628"/>
      <c r="CX140" s="628"/>
      <c r="CY140" s="628"/>
      <c r="CZ140" s="628"/>
      <c r="DA140" s="628"/>
      <c r="DB140" s="628"/>
      <c r="DC140" s="628"/>
      <c r="DD140" s="628"/>
      <c r="DE140" s="628"/>
      <c r="DF140" s="628"/>
      <c r="DG140" s="628"/>
      <c r="DH140" s="628"/>
      <c r="DI140" s="628"/>
      <c r="DJ140" s="628"/>
      <c r="DK140" s="628"/>
      <c r="DL140" s="628"/>
      <c r="DM140" s="628"/>
      <c r="DN140" s="628"/>
      <c r="DO140" s="628"/>
      <c r="DP140" s="628"/>
      <c r="DQ140" s="628"/>
      <c r="DR140" s="628"/>
      <c r="DS140" s="628"/>
      <c r="DT140" s="628"/>
      <c r="DU140" s="628"/>
      <c r="DV140" s="628"/>
      <c r="DW140" s="628"/>
      <c r="DX140" s="628"/>
      <c r="DY140" s="628"/>
      <c r="DZ140" s="628"/>
      <c r="EA140" s="628"/>
      <c r="EB140" s="628"/>
      <c r="EC140" s="628"/>
      <c r="ED140" s="628"/>
      <c r="EE140" s="628"/>
      <c r="EF140" s="628"/>
      <c r="EG140" s="628"/>
      <c r="EH140" s="628"/>
      <c r="EI140" s="628"/>
      <c r="EJ140" s="628"/>
      <c r="EK140" s="628"/>
      <c r="EL140" s="628"/>
      <c r="EM140" s="628"/>
      <c r="EN140" s="628"/>
      <c r="EO140" s="628"/>
      <c r="EP140" s="628"/>
      <c r="EQ140" s="628"/>
      <c r="ER140" s="628"/>
      <c r="ES140" s="628"/>
      <c r="ET140" s="628"/>
      <c r="EU140" s="628"/>
      <c r="EV140" s="628"/>
      <c r="EW140" s="628"/>
      <c r="EX140" s="628"/>
      <c r="EY140" s="628"/>
      <c r="EZ140" s="628"/>
      <c r="FA140" s="628"/>
      <c r="FB140" s="628"/>
      <c r="FC140" s="628"/>
      <c r="FD140" s="628"/>
      <c r="FE140" s="628"/>
      <c r="FF140" s="628"/>
      <c r="FG140" s="628"/>
      <c r="FH140" s="628"/>
      <c r="FI140" s="628"/>
      <c r="FJ140" s="628"/>
      <c r="FK140" s="628"/>
      <c r="FL140" s="628"/>
      <c r="FM140" s="628"/>
      <c r="FN140" s="628"/>
      <c r="FO140" s="628"/>
      <c r="FP140" s="628"/>
      <c r="FQ140" s="628"/>
      <c r="FR140" s="628"/>
      <c r="FS140" s="628"/>
      <c r="FT140" s="628"/>
      <c r="FU140" s="628"/>
      <c r="FV140" s="628"/>
      <c r="FW140" s="628"/>
      <c r="FX140" s="628"/>
      <c r="FY140" s="629"/>
      <c r="FZ140" s="629"/>
      <c r="GA140" s="629"/>
      <c r="GB140" s="629"/>
      <c r="GC140" s="629"/>
      <c r="GD140" s="629"/>
      <c r="GE140" s="629"/>
      <c r="GF140" s="629"/>
      <c r="GG140" s="629"/>
      <c r="GH140" s="629"/>
      <c r="GI140" s="629"/>
      <c r="GJ140" s="629"/>
      <c r="GK140" s="629"/>
      <c r="GL140" s="629"/>
      <c r="GM140" s="629"/>
      <c r="GN140" s="629"/>
      <c r="GO140" s="629"/>
      <c r="GP140" s="628"/>
      <c r="GQ140" s="628"/>
      <c r="GR140" s="628"/>
      <c r="GS140" s="628"/>
      <c r="GT140" s="628"/>
      <c r="GU140" s="628"/>
      <c r="GV140" s="630"/>
      <c r="GW140" s="628"/>
      <c r="GX140" s="628"/>
      <c r="GY140" s="628"/>
      <c r="GZ140" s="628"/>
      <c r="HA140" s="628"/>
      <c r="HB140" s="628"/>
      <c r="HC140" s="628"/>
      <c r="HD140" s="628"/>
      <c r="HE140" s="628"/>
      <c r="HF140" s="628"/>
      <c r="HG140" s="628"/>
      <c r="HH140" s="628"/>
      <c r="HI140" s="628"/>
      <c r="HJ140" s="628"/>
      <c r="HK140" s="628"/>
      <c r="HL140" s="630"/>
      <c r="HM140" s="630"/>
      <c r="HN140" s="628"/>
      <c r="HO140" s="628"/>
      <c r="HP140" s="115"/>
      <c r="HQ140" s="115"/>
      <c r="HR140" s="115"/>
      <c r="HS140" s="115"/>
      <c r="HT140" s="115"/>
      <c r="HU140" s="115"/>
      <c r="HV140" s="115"/>
      <c r="HW140" s="115"/>
      <c r="HX140" s="115"/>
      <c r="HY140" s="115"/>
      <c r="HZ140" s="115"/>
      <c r="IA140" s="115"/>
      <c r="IB140" s="115"/>
      <c r="IC140" s="115"/>
      <c r="ID140" s="115"/>
      <c r="IE140" s="115"/>
      <c r="IF140" s="115"/>
      <c r="IG140" s="115"/>
      <c r="IH140" s="115"/>
      <c r="II140" s="115"/>
      <c r="IJ140" s="115"/>
      <c r="IK140" s="115"/>
      <c r="IL140" s="115"/>
      <c r="IM140" s="115"/>
      <c r="IN140" s="115"/>
      <c r="IO140" s="115"/>
      <c r="IP140" s="115"/>
      <c r="IQ140" s="115"/>
      <c r="IR140" s="115"/>
      <c r="IS140" s="115"/>
      <c r="IT140" s="115"/>
      <c r="IU140" s="115"/>
    </row>
    <row r="141" spans="1:255" s="108" customFormat="1" ht="15.6" customHeight="1">
      <c r="A141" s="1"/>
      <c r="B141" s="1" t="s">
        <v>2914</v>
      </c>
      <c r="C141" s="1"/>
      <c r="D141" s="1"/>
      <c r="E141" s="1"/>
      <c r="F141" s="1575">
        <v>55000</v>
      </c>
      <c r="G141" s="1576"/>
      <c r="H141" s="1"/>
      <c r="I141" s="1" t="s">
        <v>1813</v>
      </c>
      <c r="J141" s="1"/>
      <c r="K141" s="1575"/>
      <c r="L141" s="1576"/>
      <c r="M141" s="1"/>
      <c r="N141" s="1" t="s">
        <v>1325</v>
      </c>
      <c r="O141" s="1"/>
      <c r="P141" s="1577"/>
      <c r="T141" s="1497"/>
      <c r="U141" s="1498"/>
      <c r="V141" s="624"/>
      <c r="W141" s="624"/>
      <c r="X141" s="624"/>
      <c r="Y141" s="628"/>
      <c r="Z141" s="628"/>
      <c r="AA141" s="628"/>
      <c r="AB141" s="628"/>
      <c r="AC141" s="628"/>
      <c r="AD141" s="628"/>
      <c r="AE141" s="628"/>
      <c r="AF141" s="628"/>
      <c r="AG141" s="628"/>
      <c r="AH141" s="628"/>
      <c r="AI141" s="628"/>
      <c r="AJ141" s="628"/>
      <c r="AK141" s="628"/>
      <c r="AL141" s="628"/>
      <c r="AM141" s="628"/>
      <c r="AN141" s="628"/>
      <c r="AO141" s="628"/>
      <c r="AP141" s="628"/>
      <c r="AQ141" s="628"/>
      <c r="AR141" s="628"/>
      <c r="AS141" s="628"/>
      <c r="AT141" s="628"/>
      <c r="AU141" s="628"/>
      <c r="AV141" s="628"/>
      <c r="AW141" s="628"/>
      <c r="AX141" s="628"/>
      <c r="AY141" s="628"/>
      <c r="AZ141" s="628"/>
      <c r="BA141" s="628"/>
      <c r="BB141" s="628"/>
      <c r="BC141" s="628"/>
      <c r="BD141" s="628"/>
      <c r="BE141" s="628"/>
      <c r="BF141" s="628"/>
      <c r="BG141" s="628"/>
      <c r="BH141" s="628"/>
      <c r="BI141" s="628"/>
      <c r="BJ141" s="628"/>
      <c r="BK141" s="628"/>
      <c r="BL141" s="628"/>
      <c r="BM141" s="628"/>
      <c r="BN141" s="628"/>
      <c r="BO141" s="628"/>
      <c r="BP141" s="628"/>
      <c r="BQ141" s="628"/>
      <c r="BR141" s="628"/>
      <c r="BS141" s="628"/>
      <c r="BT141" s="628"/>
      <c r="BU141" s="628"/>
      <c r="BV141" s="628"/>
      <c r="BW141" s="628"/>
      <c r="BX141" s="628"/>
      <c r="BY141" s="628"/>
      <c r="BZ141" s="628"/>
      <c r="CA141" s="628"/>
      <c r="CB141" s="628"/>
      <c r="CC141" s="628"/>
      <c r="CD141" s="628"/>
      <c r="CE141" s="628"/>
      <c r="CF141" s="628"/>
      <c r="CG141" s="628"/>
      <c r="CH141" s="628"/>
      <c r="CI141" s="628"/>
      <c r="CJ141" s="628"/>
      <c r="CK141" s="628"/>
      <c r="CL141" s="628"/>
      <c r="CM141" s="628"/>
      <c r="CN141" s="628"/>
      <c r="CO141" s="628"/>
      <c r="CP141" s="628"/>
      <c r="CQ141" s="628"/>
      <c r="CR141" s="628"/>
      <c r="CS141" s="628"/>
      <c r="CT141" s="628"/>
      <c r="CU141" s="628"/>
      <c r="CV141" s="628"/>
      <c r="CW141" s="628"/>
      <c r="CX141" s="628"/>
      <c r="CY141" s="628"/>
      <c r="CZ141" s="628"/>
      <c r="DA141" s="628"/>
      <c r="DB141" s="628"/>
      <c r="DC141" s="628"/>
      <c r="DD141" s="628"/>
      <c r="DE141" s="628"/>
      <c r="DF141" s="628"/>
      <c r="DG141" s="628"/>
      <c r="DH141" s="628"/>
      <c r="DI141" s="628"/>
      <c r="DJ141" s="628"/>
      <c r="DK141" s="628"/>
      <c r="DL141" s="628"/>
      <c r="DM141" s="628"/>
      <c r="DN141" s="628"/>
      <c r="DO141" s="628"/>
      <c r="DP141" s="628"/>
      <c r="DQ141" s="628"/>
      <c r="DR141" s="628"/>
      <c r="DS141" s="628"/>
      <c r="DT141" s="628"/>
      <c r="DU141" s="628"/>
      <c r="DV141" s="628"/>
      <c r="DW141" s="628"/>
      <c r="DX141" s="628"/>
      <c r="DY141" s="628"/>
      <c r="DZ141" s="628"/>
      <c r="EA141" s="628"/>
      <c r="EB141" s="628"/>
      <c r="EC141" s="628"/>
      <c r="ED141" s="628"/>
      <c r="EE141" s="628"/>
      <c r="EF141" s="628"/>
      <c r="EG141" s="628"/>
      <c r="EH141" s="628"/>
      <c r="EI141" s="628"/>
      <c r="EJ141" s="628"/>
      <c r="EK141" s="628"/>
      <c r="EL141" s="628"/>
      <c r="EM141" s="628"/>
      <c r="EN141" s="628"/>
      <c r="EO141" s="628"/>
      <c r="EP141" s="628"/>
      <c r="EQ141" s="628"/>
      <c r="ER141" s="628"/>
      <c r="ES141" s="628"/>
      <c r="ET141" s="628"/>
      <c r="EU141" s="628"/>
      <c r="EV141" s="628"/>
      <c r="EW141" s="628"/>
      <c r="EX141" s="628"/>
      <c r="EY141" s="628"/>
      <c r="EZ141" s="628"/>
      <c r="FA141" s="628"/>
      <c r="FB141" s="628"/>
      <c r="FC141" s="628"/>
      <c r="FD141" s="628"/>
      <c r="FE141" s="628"/>
      <c r="FF141" s="628"/>
      <c r="FG141" s="628"/>
      <c r="FH141" s="628"/>
      <c r="FI141" s="628"/>
      <c r="FJ141" s="628"/>
      <c r="FK141" s="628"/>
      <c r="FL141" s="628"/>
      <c r="FM141" s="628"/>
      <c r="FN141" s="628"/>
      <c r="FO141" s="628"/>
      <c r="FP141" s="628"/>
      <c r="FQ141" s="628"/>
      <c r="FR141" s="628"/>
      <c r="FS141" s="628"/>
      <c r="FT141" s="628"/>
      <c r="FU141" s="628"/>
      <c r="FV141" s="628"/>
      <c r="FW141" s="628"/>
      <c r="FX141" s="628"/>
      <c r="FY141" s="629"/>
      <c r="FZ141" s="629"/>
      <c r="GA141" s="629"/>
      <c r="GB141" s="629"/>
      <c r="GC141" s="629"/>
      <c r="GD141" s="629"/>
      <c r="GE141" s="629"/>
      <c r="GF141" s="629"/>
      <c r="GG141" s="629"/>
      <c r="GH141" s="629"/>
      <c r="GI141" s="629"/>
      <c r="GJ141" s="629"/>
      <c r="GK141" s="629"/>
      <c r="GL141" s="629"/>
      <c r="GM141" s="629"/>
      <c r="GN141" s="629"/>
      <c r="GO141" s="629"/>
      <c r="GP141" s="628"/>
      <c r="GQ141" s="628"/>
      <c r="GR141" s="628"/>
      <c r="GS141" s="628"/>
      <c r="GT141" s="628"/>
      <c r="GU141" s="628"/>
      <c r="GV141" s="630"/>
      <c r="GW141" s="628"/>
      <c r="GX141" s="628"/>
      <c r="GY141" s="628"/>
      <c r="GZ141" s="628"/>
      <c r="HA141" s="628"/>
      <c r="HB141" s="628"/>
      <c r="HC141" s="628"/>
      <c r="HD141" s="628"/>
      <c r="HE141" s="628"/>
      <c r="HF141" s="628"/>
      <c r="HG141" s="628"/>
      <c r="HH141" s="628"/>
      <c r="HI141" s="628"/>
      <c r="HJ141" s="628"/>
      <c r="HK141" s="628"/>
      <c r="HL141" s="630"/>
      <c r="HM141" s="630"/>
      <c r="HN141" s="628"/>
      <c r="HO141" s="628"/>
      <c r="HP141" s="115"/>
      <c r="HQ141" s="115"/>
      <c r="HR141" s="115"/>
      <c r="HS141" s="115"/>
      <c r="HT141" s="115"/>
      <c r="HU141" s="115"/>
      <c r="HV141" s="115"/>
      <c r="HW141" s="115"/>
      <c r="HX141" s="115"/>
      <c r="HY141" s="115"/>
      <c r="HZ141" s="115"/>
      <c r="IA141" s="115"/>
      <c r="IB141" s="115"/>
      <c r="IC141" s="115"/>
      <c r="ID141" s="115"/>
      <c r="IE141" s="115"/>
      <c r="IF141" s="115"/>
      <c r="IG141" s="115"/>
      <c r="IH141" s="115"/>
      <c r="II141" s="115"/>
      <c r="IJ141" s="115"/>
      <c r="IK141" s="115"/>
      <c r="IL141" s="115"/>
      <c r="IM141" s="115"/>
      <c r="IN141" s="115"/>
      <c r="IO141" s="115"/>
      <c r="IP141" s="115"/>
      <c r="IQ141" s="115"/>
      <c r="IR141" s="115"/>
      <c r="IS141" s="115"/>
      <c r="IT141" s="115"/>
      <c r="IU141" s="115"/>
    </row>
    <row r="142" spans="1:255" s="108" customFormat="1" ht="15.6" customHeight="1" thickBot="1">
      <c r="A142" s="1"/>
      <c r="B142" s="1" t="s">
        <v>1802</v>
      </c>
      <c r="C142" s="1"/>
      <c r="D142" s="1"/>
      <c r="E142" s="1"/>
      <c r="F142" s="1575">
        <v>50400</v>
      </c>
      <c r="G142" s="1576"/>
      <c r="H142" s="1"/>
      <c r="I142" s="1" t="s">
        <v>1814</v>
      </c>
      <c r="J142" s="1"/>
      <c r="K142" s="1575">
        <v>1400</v>
      </c>
      <c r="L142" s="1576"/>
      <c r="M142" s="1"/>
      <c r="N142" s="1" t="s">
        <v>161</v>
      </c>
      <c r="O142" s="1"/>
      <c r="P142" s="1577">
        <v>25000</v>
      </c>
      <c r="T142" s="1497"/>
      <c r="U142" s="1498"/>
      <c r="V142" s="624"/>
      <c r="W142" s="624"/>
      <c r="X142" s="624"/>
      <c r="Y142" s="628"/>
      <c r="Z142" s="628"/>
      <c r="AA142" s="628"/>
      <c r="AB142" s="628"/>
      <c r="AC142" s="628"/>
      <c r="AD142" s="628"/>
      <c r="AE142" s="628"/>
      <c r="AF142" s="628"/>
      <c r="AG142" s="628"/>
      <c r="AH142" s="628"/>
      <c r="AI142" s="628"/>
      <c r="AJ142" s="628"/>
      <c r="AK142" s="628"/>
      <c r="AL142" s="628"/>
      <c r="AM142" s="628"/>
      <c r="AN142" s="628"/>
      <c r="AO142" s="628"/>
      <c r="AP142" s="628"/>
      <c r="AQ142" s="628"/>
      <c r="AR142" s="628"/>
      <c r="AS142" s="628"/>
      <c r="AT142" s="628"/>
      <c r="AU142" s="628"/>
      <c r="AV142" s="628"/>
      <c r="AW142" s="628"/>
      <c r="AX142" s="628"/>
      <c r="AY142" s="628"/>
      <c r="AZ142" s="628"/>
      <c r="BA142" s="628"/>
      <c r="BB142" s="628"/>
      <c r="BC142" s="628"/>
      <c r="BD142" s="628"/>
      <c r="BE142" s="628"/>
      <c r="BF142" s="628"/>
      <c r="BG142" s="628"/>
      <c r="BH142" s="628"/>
      <c r="BI142" s="628"/>
      <c r="BJ142" s="628"/>
      <c r="BK142" s="628"/>
      <c r="BL142" s="628"/>
      <c r="BM142" s="628"/>
      <c r="BN142" s="628"/>
      <c r="BO142" s="628"/>
      <c r="BP142" s="628"/>
      <c r="BQ142" s="628"/>
      <c r="BR142" s="628"/>
      <c r="BS142" s="628"/>
      <c r="BT142" s="628"/>
      <c r="BU142" s="628"/>
      <c r="BV142" s="628"/>
      <c r="BW142" s="628"/>
      <c r="BX142" s="628"/>
      <c r="BY142" s="628"/>
      <c r="BZ142" s="628"/>
      <c r="CA142" s="628"/>
      <c r="CB142" s="628"/>
      <c r="CC142" s="628"/>
      <c r="CD142" s="628"/>
      <c r="CE142" s="628"/>
      <c r="CF142" s="628"/>
      <c r="CG142" s="628"/>
      <c r="CH142" s="628"/>
      <c r="CI142" s="628"/>
      <c r="CJ142" s="628"/>
      <c r="CK142" s="628"/>
      <c r="CL142" s="628"/>
      <c r="CM142" s="628"/>
      <c r="CN142" s="628"/>
      <c r="CO142" s="628"/>
      <c r="CP142" s="628"/>
      <c r="CQ142" s="628"/>
      <c r="CR142" s="628"/>
      <c r="CS142" s="628"/>
      <c r="CT142" s="628"/>
      <c r="CU142" s="628"/>
      <c r="CV142" s="628"/>
      <c r="CW142" s="628"/>
      <c r="CX142" s="628"/>
      <c r="CY142" s="628"/>
      <c r="CZ142" s="628"/>
      <c r="DA142" s="628"/>
      <c r="DB142" s="628"/>
      <c r="DC142" s="628"/>
      <c r="DD142" s="628"/>
      <c r="DE142" s="628"/>
      <c r="DF142" s="628"/>
      <c r="DG142" s="628"/>
      <c r="DH142" s="628"/>
      <c r="DI142" s="628"/>
      <c r="DJ142" s="628"/>
      <c r="DK142" s="628"/>
      <c r="DL142" s="628"/>
      <c r="DM142" s="628"/>
      <c r="DN142" s="628"/>
      <c r="DO142" s="628"/>
      <c r="DP142" s="628"/>
      <c r="DQ142" s="628"/>
      <c r="DR142" s="628"/>
      <c r="DS142" s="628"/>
      <c r="DT142" s="628"/>
      <c r="DU142" s="628"/>
      <c r="DV142" s="628"/>
      <c r="DW142" s="628"/>
      <c r="DX142" s="628"/>
      <c r="DY142" s="628"/>
      <c r="DZ142" s="628"/>
      <c r="EA142" s="628"/>
      <c r="EB142" s="628"/>
      <c r="EC142" s="628"/>
      <c r="ED142" s="628"/>
      <c r="EE142" s="628"/>
      <c r="EF142" s="628"/>
      <c r="EG142" s="628"/>
      <c r="EH142" s="628"/>
      <c r="EI142" s="628"/>
      <c r="EJ142" s="628"/>
      <c r="EK142" s="628"/>
      <c r="EL142" s="628"/>
      <c r="EM142" s="628"/>
      <c r="EN142" s="628"/>
      <c r="EO142" s="628"/>
      <c r="EP142" s="628"/>
      <c r="EQ142" s="628"/>
      <c r="ER142" s="628"/>
      <c r="ES142" s="628"/>
      <c r="ET142" s="628"/>
      <c r="EU142" s="628"/>
      <c r="EV142" s="628"/>
      <c r="EW142" s="628"/>
      <c r="EX142" s="628"/>
      <c r="EY142" s="628"/>
      <c r="EZ142" s="628"/>
      <c r="FA142" s="628"/>
      <c r="FB142" s="628"/>
      <c r="FC142" s="628"/>
      <c r="FD142" s="628"/>
      <c r="FE142" s="628"/>
      <c r="FF142" s="628"/>
      <c r="FG142" s="628"/>
      <c r="FH142" s="628"/>
      <c r="FI142" s="628"/>
      <c r="FJ142" s="628"/>
      <c r="FK142" s="628"/>
      <c r="FL142" s="628"/>
      <c r="FM142" s="628"/>
      <c r="FN142" s="628"/>
      <c r="FO142" s="628"/>
      <c r="FP142" s="628"/>
      <c r="FQ142" s="628"/>
      <c r="FR142" s="628"/>
      <c r="FS142" s="628"/>
      <c r="FT142" s="628"/>
      <c r="FU142" s="628"/>
      <c r="FV142" s="628"/>
      <c r="FW142" s="628"/>
      <c r="FX142" s="628"/>
      <c r="FY142" s="629"/>
      <c r="FZ142" s="629"/>
      <c r="GA142" s="629"/>
      <c r="GB142" s="629"/>
      <c r="GC142" s="629"/>
      <c r="GD142" s="629"/>
      <c r="GE142" s="629"/>
      <c r="GF142" s="629"/>
      <c r="GG142" s="629"/>
      <c r="GH142" s="629"/>
      <c r="GI142" s="629"/>
      <c r="GJ142" s="629"/>
      <c r="GK142" s="629"/>
      <c r="GL142" s="629"/>
      <c r="GM142" s="629"/>
      <c r="GN142" s="629"/>
      <c r="GO142" s="629"/>
      <c r="GP142" s="628"/>
      <c r="GQ142" s="628"/>
      <c r="GR142" s="628"/>
      <c r="GS142" s="628"/>
      <c r="GT142" s="628"/>
      <c r="GU142" s="628"/>
      <c r="GV142" s="630"/>
      <c r="GW142" s="628"/>
      <c r="GX142" s="628"/>
      <c r="GY142" s="628"/>
      <c r="GZ142" s="628"/>
      <c r="HA142" s="628"/>
      <c r="HB142" s="628"/>
      <c r="HC142" s="628"/>
      <c r="HD142" s="628"/>
      <c r="HE142" s="628"/>
      <c r="HF142" s="628"/>
      <c r="HG142" s="628"/>
      <c r="HH142" s="628"/>
      <c r="HI142" s="628"/>
      <c r="HJ142" s="628"/>
      <c r="HK142" s="628"/>
      <c r="HL142" s="630"/>
      <c r="HM142" s="630"/>
      <c r="HN142" s="628"/>
      <c r="HO142" s="628"/>
      <c r="HP142" s="115"/>
      <c r="HQ142" s="115"/>
      <c r="HR142" s="115"/>
      <c r="HS142" s="115"/>
      <c r="HT142" s="115"/>
      <c r="HU142" s="115"/>
      <c r="HV142" s="115"/>
      <c r="HW142" s="115"/>
      <c r="HX142" s="115"/>
      <c r="HY142" s="115"/>
      <c r="HZ142" s="115"/>
      <c r="IA142" s="115"/>
      <c r="IB142" s="115"/>
      <c r="IC142" s="115"/>
      <c r="ID142" s="115"/>
      <c r="IE142" s="115"/>
      <c r="IF142" s="115"/>
      <c r="IG142" s="115"/>
      <c r="IH142" s="115"/>
      <c r="II142" s="115"/>
      <c r="IJ142" s="115"/>
      <c r="IK142" s="115"/>
      <c r="IL142" s="115"/>
      <c r="IM142" s="115"/>
      <c r="IN142" s="115"/>
      <c r="IO142" s="115"/>
      <c r="IP142" s="115"/>
      <c r="IQ142" s="115"/>
      <c r="IR142" s="115"/>
      <c r="IS142" s="115"/>
      <c r="IT142" s="115"/>
      <c r="IU142" s="115"/>
    </row>
    <row r="143" spans="1:255" s="108" customFormat="1" ht="15.6" customHeight="1" thickTop="1" thickBot="1">
      <c r="A143" s="1"/>
      <c r="B143" s="1" t="s">
        <v>1661</v>
      </c>
      <c r="C143" s="1"/>
      <c r="D143" s="1"/>
      <c r="E143" s="1"/>
      <c r="F143" s="1575">
        <v>20000</v>
      </c>
      <c r="G143" s="1576"/>
      <c r="H143" s="1"/>
      <c r="I143" s="1"/>
      <c r="J143" s="151" t="s">
        <v>209</v>
      </c>
      <c r="K143" s="1019">
        <f>SUM(K141:L142)</f>
        <v>1400</v>
      </c>
      <c r="L143" s="1020"/>
      <c r="M143" s="1"/>
      <c r="N143" s="1578" t="s">
        <v>55</v>
      </c>
      <c r="O143" s="1579"/>
      <c r="P143" s="1580"/>
      <c r="T143" s="1497"/>
      <c r="U143" s="1498"/>
      <c r="V143" s="624"/>
      <c r="W143" s="624"/>
      <c r="X143" s="624"/>
      <c r="Y143" s="628"/>
      <c r="Z143" s="628"/>
      <c r="AA143" s="628"/>
      <c r="AB143" s="628"/>
      <c r="AC143" s="628"/>
      <c r="AD143" s="628"/>
      <c r="AE143" s="628"/>
      <c r="AF143" s="628"/>
      <c r="AG143" s="628"/>
      <c r="AH143" s="628"/>
      <c r="AI143" s="628"/>
      <c r="AJ143" s="628"/>
      <c r="AK143" s="628"/>
      <c r="AL143" s="628"/>
      <c r="AM143" s="628"/>
      <c r="AN143" s="628"/>
      <c r="AO143" s="628"/>
      <c r="AP143" s="628"/>
      <c r="AQ143" s="628"/>
      <c r="AR143" s="628"/>
      <c r="AS143" s="628"/>
      <c r="AT143" s="628"/>
      <c r="AU143" s="628"/>
      <c r="AV143" s="628"/>
      <c r="AW143" s="628"/>
      <c r="AX143" s="628"/>
      <c r="AY143" s="628"/>
      <c r="AZ143" s="628"/>
      <c r="BA143" s="628"/>
      <c r="BB143" s="628"/>
      <c r="BC143" s="628"/>
      <c r="BD143" s="628"/>
      <c r="BE143" s="628"/>
      <c r="BF143" s="628"/>
      <c r="BG143" s="628"/>
      <c r="BH143" s="628"/>
      <c r="BI143" s="628"/>
      <c r="BJ143" s="628"/>
      <c r="BK143" s="628"/>
      <c r="BL143" s="628"/>
      <c r="BM143" s="628"/>
      <c r="BN143" s="628"/>
      <c r="BO143" s="628"/>
      <c r="BP143" s="628"/>
      <c r="BQ143" s="628"/>
      <c r="BR143" s="628"/>
      <c r="BS143" s="628"/>
      <c r="BT143" s="628"/>
      <c r="BU143" s="628"/>
      <c r="BV143" s="628"/>
      <c r="BW143" s="628"/>
      <c r="BX143" s="628"/>
      <c r="BY143" s="628"/>
      <c r="BZ143" s="628"/>
      <c r="CA143" s="628"/>
      <c r="CB143" s="628"/>
      <c r="CC143" s="628"/>
      <c r="CD143" s="628"/>
      <c r="CE143" s="628"/>
      <c r="CF143" s="628"/>
      <c r="CG143" s="628"/>
      <c r="CH143" s="628"/>
      <c r="CI143" s="628"/>
      <c r="CJ143" s="628"/>
      <c r="CK143" s="628"/>
      <c r="CL143" s="628"/>
      <c r="CM143" s="628"/>
      <c r="CN143" s="628"/>
      <c r="CO143" s="628"/>
      <c r="CP143" s="628"/>
      <c r="CQ143" s="628"/>
      <c r="CR143" s="628"/>
      <c r="CS143" s="628"/>
      <c r="CT143" s="628"/>
      <c r="CU143" s="628"/>
      <c r="CV143" s="628"/>
      <c r="CW143" s="628"/>
      <c r="CX143" s="628"/>
      <c r="CY143" s="628"/>
      <c r="CZ143" s="628"/>
      <c r="DA143" s="628"/>
      <c r="DB143" s="628"/>
      <c r="DC143" s="628"/>
      <c r="DD143" s="628"/>
      <c r="DE143" s="628"/>
      <c r="DF143" s="628"/>
      <c r="DG143" s="628"/>
      <c r="DH143" s="628"/>
      <c r="DI143" s="628"/>
      <c r="DJ143" s="628"/>
      <c r="DK143" s="628"/>
      <c r="DL143" s="628"/>
      <c r="DM143" s="628"/>
      <c r="DN143" s="628"/>
      <c r="DO143" s="628"/>
      <c r="DP143" s="628"/>
      <c r="DQ143" s="628"/>
      <c r="DR143" s="628"/>
      <c r="DS143" s="628"/>
      <c r="DT143" s="628"/>
      <c r="DU143" s="628"/>
      <c r="DV143" s="628"/>
      <c r="DW143" s="628"/>
      <c r="DX143" s="628"/>
      <c r="DY143" s="628"/>
      <c r="DZ143" s="628"/>
      <c r="EA143" s="628"/>
      <c r="EB143" s="628"/>
      <c r="EC143" s="628"/>
      <c r="ED143" s="628"/>
      <c r="EE143" s="628"/>
      <c r="EF143" s="628"/>
      <c r="EG143" s="628"/>
      <c r="EH143" s="628"/>
      <c r="EI143" s="628"/>
      <c r="EJ143" s="628"/>
      <c r="EK143" s="628"/>
      <c r="EL143" s="628"/>
      <c r="EM143" s="628"/>
      <c r="EN143" s="628"/>
      <c r="EO143" s="628"/>
      <c r="EP143" s="628"/>
      <c r="EQ143" s="628"/>
      <c r="ER143" s="628"/>
      <c r="ES143" s="628"/>
      <c r="ET143" s="628"/>
      <c r="EU143" s="628"/>
      <c r="EV143" s="628"/>
      <c r="EW143" s="628"/>
      <c r="EX143" s="628"/>
      <c r="EY143" s="628"/>
      <c r="EZ143" s="628"/>
      <c r="FA143" s="628"/>
      <c r="FB143" s="628"/>
      <c r="FC143" s="628"/>
      <c r="FD143" s="628"/>
      <c r="FE143" s="628"/>
      <c r="FF143" s="628"/>
      <c r="FG143" s="628"/>
      <c r="FH143" s="628"/>
      <c r="FI143" s="628"/>
      <c r="FJ143" s="628"/>
      <c r="FK143" s="628"/>
      <c r="FL143" s="628"/>
      <c r="FM143" s="628"/>
      <c r="FN143" s="628"/>
      <c r="FO143" s="628"/>
      <c r="FP143" s="628"/>
      <c r="FQ143" s="628"/>
      <c r="FR143" s="628"/>
      <c r="FS143" s="628"/>
      <c r="FT143" s="628"/>
      <c r="FU143" s="628"/>
      <c r="FV143" s="628"/>
      <c r="FW143" s="628"/>
      <c r="FX143" s="628"/>
      <c r="FY143" s="629"/>
      <c r="FZ143" s="629"/>
      <c r="GA143" s="629"/>
      <c r="GB143" s="629"/>
      <c r="GC143" s="629"/>
      <c r="GD143" s="629"/>
      <c r="GE143" s="629"/>
      <c r="GF143" s="629"/>
      <c r="GG143" s="629"/>
      <c r="GH143" s="629"/>
      <c r="GI143" s="629"/>
      <c r="GJ143" s="629"/>
      <c r="GK143" s="629"/>
      <c r="GL143" s="629"/>
      <c r="GM143" s="629"/>
      <c r="GN143" s="629"/>
      <c r="GO143" s="629"/>
      <c r="GP143" s="628"/>
      <c r="GQ143" s="628"/>
      <c r="GR143" s="628"/>
      <c r="GS143" s="628"/>
      <c r="GT143" s="628"/>
      <c r="GU143" s="628"/>
      <c r="GV143" s="630"/>
      <c r="GW143" s="628"/>
      <c r="GX143" s="628"/>
      <c r="GY143" s="628"/>
      <c r="GZ143" s="628"/>
      <c r="HA143" s="628"/>
      <c r="HB143" s="628"/>
      <c r="HC143" s="628"/>
      <c r="HD143" s="628"/>
      <c r="HE143" s="628"/>
      <c r="HF143" s="628"/>
      <c r="HG143" s="628"/>
      <c r="HH143" s="628"/>
      <c r="HI143" s="628"/>
      <c r="HJ143" s="628"/>
      <c r="HK143" s="628"/>
      <c r="HL143" s="630"/>
      <c r="HM143" s="630"/>
      <c r="HN143" s="628"/>
      <c r="HO143" s="628"/>
      <c r="HP143" s="115"/>
      <c r="HQ143" s="115"/>
      <c r="HR143" s="115"/>
      <c r="HS143" s="115"/>
      <c r="HT143" s="115"/>
      <c r="HU143" s="115"/>
      <c r="HV143" s="115"/>
      <c r="HW143" s="115"/>
      <c r="HX143" s="115"/>
      <c r="HY143" s="115"/>
      <c r="HZ143" s="115"/>
      <c r="IA143" s="115"/>
      <c r="IB143" s="115"/>
      <c r="IC143" s="115"/>
      <c r="ID143" s="115"/>
      <c r="IE143" s="115"/>
      <c r="IF143" s="115"/>
      <c r="IG143" s="115"/>
      <c r="IH143" s="115"/>
      <c r="II143" s="115"/>
      <c r="IJ143" s="115"/>
      <c r="IK143" s="115"/>
      <c r="IL143" s="115"/>
      <c r="IM143" s="115"/>
      <c r="IN143" s="115"/>
      <c r="IO143" s="115"/>
      <c r="IP143" s="115"/>
      <c r="IQ143" s="115"/>
      <c r="IR143" s="115"/>
      <c r="IS143" s="115"/>
      <c r="IT143" s="115"/>
      <c r="IU143" s="115"/>
    </row>
    <row r="144" spans="1:255" s="108" customFormat="1" ht="15.6" customHeight="1" thickTop="1" thickBot="1">
      <c r="A144" s="1"/>
      <c r="B144" s="1581"/>
      <c r="C144" s="1582"/>
      <c r="D144" s="1582"/>
      <c r="E144" s="1583"/>
      <c r="F144" s="1584"/>
      <c r="G144" s="1585"/>
      <c r="H144" s="1"/>
      <c r="I144" s="1"/>
      <c r="J144" s="1"/>
      <c r="K144" s="1"/>
      <c r="L144" s="1"/>
      <c r="M144" s="1"/>
      <c r="N144" s="13" t="s">
        <v>209</v>
      </c>
      <c r="O144" s="1"/>
      <c r="P144" s="534">
        <f>SUM(P141:P143)</f>
        <v>25000</v>
      </c>
      <c r="T144" s="1497"/>
      <c r="U144" s="1498"/>
      <c r="V144" s="624"/>
      <c r="W144" s="624"/>
      <c r="X144" s="624"/>
      <c r="Y144" s="628"/>
      <c r="Z144" s="628"/>
      <c r="AA144" s="628"/>
      <c r="AB144" s="628"/>
      <c r="AC144" s="628"/>
      <c r="AD144" s="628"/>
      <c r="AE144" s="628"/>
      <c r="AF144" s="628"/>
      <c r="AG144" s="628"/>
      <c r="AH144" s="628"/>
      <c r="AI144" s="628"/>
      <c r="AJ144" s="628"/>
      <c r="AK144" s="628"/>
      <c r="AL144" s="628"/>
      <c r="AM144" s="628"/>
      <c r="AN144" s="628"/>
      <c r="AO144" s="628"/>
      <c r="AP144" s="628"/>
      <c r="AQ144" s="628"/>
      <c r="AR144" s="628"/>
      <c r="AS144" s="628"/>
      <c r="AT144" s="628"/>
      <c r="AU144" s="628"/>
      <c r="AV144" s="628"/>
      <c r="AW144" s="628"/>
      <c r="AX144" s="628"/>
      <c r="AY144" s="628"/>
      <c r="AZ144" s="628"/>
      <c r="BA144" s="628"/>
      <c r="BB144" s="628"/>
      <c r="BC144" s="628"/>
      <c r="BD144" s="628"/>
      <c r="BE144" s="628"/>
      <c r="BF144" s="628"/>
      <c r="BG144" s="628"/>
      <c r="BH144" s="628"/>
      <c r="BI144" s="628"/>
      <c r="BJ144" s="628"/>
      <c r="BK144" s="628"/>
      <c r="BL144" s="628"/>
      <c r="BM144" s="628"/>
      <c r="BN144" s="628"/>
      <c r="BO144" s="628"/>
      <c r="BP144" s="628"/>
      <c r="BQ144" s="628"/>
      <c r="BR144" s="628"/>
      <c r="BS144" s="628"/>
      <c r="BT144" s="628"/>
      <c r="BU144" s="628"/>
      <c r="BV144" s="628"/>
      <c r="BW144" s="628"/>
      <c r="BX144" s="628"/>
      <c r="BY144" s="628"/>
      <c r="BZ144" s="628"/>
      <c r="CA144" s="628"/>
      <c r="CB144" s="628"/>
      <c r="CC144" s="628"/>
      <c r="CD144" s="628"/>
      <c r="CE144" s="628"/>
      <c r="CF144" s="628"/>
      <c r="CG144" s="628"/>
      <c r="CH144" s="628"/>
      <c r="CI144" s="628"/>
      <c r="CJ144" s="628"/>
      <c r="CK144" s="628"/>
      <c r="CL144" s="628"/>
      <c r="CM144" s="628"/>
      <c r="CN144" s="628"/>
      <c r="CO144" s="628"/>
      <c r="CP144" s="628"/>
      <c r="CQ144" s="628"/>
      <c r="CR144" s="628"/>
      <c r="CS144" s="628"/>
      <c r="CT144" s="628"/>
      <c r="CU144" s="628"/>
      <c r="CV144" s="628"/>
      <c r="CW144" s="628"/>
      <c r="CX144" s="628"/>
      <c r="CY144" s="628"/>
      <c r="CZ144" s="628"/>
      <c r="DA144" s="628"/>
      <c r="DB144" s="628"/>
      <c r="DC144" s="628"/>
      <c r="DD144" s="628"/>
      <c r="DE144" s="628"/>
      <c r="DF144" s="628"/>
      <c r="DG144" s="628"/>
      <c r="DH144" s="628"/>
      <c r="DI144" s="628"/>
      <c r="DJ144" s="628"/>
      <c r="DK144" s="628"/>
      <c r="DL144" s="628"/>
      <c r="DM144" s="628"/>
      <c r="DN144" s="628"/>
      <c r="DO144" s="628"/>
      <c r="DP144" s="628"/>
      <c r="DQ144" s="628"/>
      <c r="DR144" s="628"/>
      <c r="DS144" s="628"/>
      <c r="DT144" s="628"/>
      <c r="DU144" s="628"/>
      <c r="DV144" s="628"/>
      <c r="DW144" s="628"/>
      <c r="DX144" s="628"/>
      <c r="DY144" s="628"/>
      <c r="DZ144" s="628"/>
      <c r="EA144" s="628"/>
      <c r="EB144" s="628"/>
      <c r="EC144" s="628"/>
      <c r="ED144" s="628"/>
      <c r="EE144" s="628"/>
      <c r="EF144" s="628"/>
      <c r="EG144" s="628"/>
      <c r="EH144" s="628"/>
      <c r="EI144" s="628"/>
      <c r="EJ144" s="628"/>
      <c r="EK144" s="628"/>
      <c r="EL144" s="628"/>
      <c r="EM144" s="628"/>
      <c r="EN144" s="628"/>
      <c r="EO144" s="628"/>
      <c r="EP144" s="628"/>
      <c r="EQ144" s="628"/>
      <c r="ER144" s="628"/>
      <c r="ES144" s="628"/>
      <c r="ET144" s="628"/>
      <c r="EU144" s="628"/>
      <c r="EV144" s="628"/>
      <c r="EW144" s="628"/>
      <c r="EX144" s="628"/>
      <c r="EY144" s="628"/>
      <c r="EZ144" s="628"/>
      <c r="FA144" s="628"/>
      <c r="FB144" s="628"/>
      <c r="FC144" s="628"/>
      <c r="FD144" s="628"/>
      <c r="FE144" s="628"/>
      <c r="FF144" s="628"/>
      <c r="FG144" s="628"/>
      <c r="FH144" s="628"/>
      <c r="FI144" s="628"/>
      <c r="FJ144" s="628"/>
      <c r="FK144" s="628"/>
      <c r="FL144" s="628"/>
      <c r="FM144" s="628"/>
      <c r="FN144" s="628"/>
      <c r="FO144" s="628"/>
      <c r="FP144" s="628"/>
      <c r="FQ144" s="628"/>
      <c r="FR144" s="628"/>
      <c r="FS144" s="628"/>
      <c r="FT144" s="628"/>
      <c r="FU144" s="628"/>
      <c r="FV144" s="628"/>
      <c r="FW144" s="628"/>
      <c r="FX144" s="628"/>
      <c r="FY144" s="629"/>
      <c r="FZ144" s="629"/>
      <c r="GA144" s="629"/>
      <c r="GB144" s="629"/>
      <c r="GC144" s="629"/>
      <c r="GD144" s="629"/>
      <c r="GE144" s="629"/>
      <c r="GF144" s="629"/>
      <c r="GG144" s="629"/>
      <c r="GH144" s="629"/>
      <c r="GI144" s="629"/>
      <c r="GJ144" s="629"/>
      <c r="GK144" s="629"/>
      <c r="GL144" s="629"/>
      <c r="GM144" s="629"/>
      <c r="GN144" s="629"/>
      <c r="GO144" s="629"/>
      <c r="GP144" s="628"/>
      <c r="GQ144" s="628"/>
      <c r="GR144" s="628"/>
      <c r="GS144" s="628"/>
      <c r="GT144" s="628"/>
      <c r="GU144" s="628"/>
      <c r="GV144" s="630"/>
      <c r="GW144" s="628"/>
      <c r="GX144" s="628"/>
      <c r="GY144" s="628"/>
      <c r="GZ144" s="628"/>
      <c r="HA144" s="628"/>
      <c r="HB144" s="628"/>
      <c r="HC144" s="628"/>
      <c r="HD144" s="628"/>
      <c r="HE144" s="628"/>
      <c r="HF144" s="628"/>
      <c r="HG144" s="628"/>
      <c r="HH144" s="628"/>
      <c r="HI144" s="628"/>
      <c r="HJ144" s="628"/>
      <c r="HK144" s="628"/>
      <c r="HL144" s="630"/>
      <c r="HM144" s="630"/>
      <c r="HN144" s="628"/>
      <c r="HO144" s="628"/>
      <c r="HP144" s="115"/>
      <c r="HQ144" s="115"/>
      <c r="HR144" s="115"/>
      <c r="HS144" s="115"/>
      <c r="HT144" s="115"/>
      <c r="HU144" s="115"/>
      <c r="HV144" s="115"/>
      <c r="HW144" s="115"/>
      <c r="HX144" s="115"/>
      <c r="HY144" s="115"/>
      <c r="HZ144" s="115"/>
      <c r="IA144" s="115"/>
      <c r="IB144" s="115"/>
      <c r="IC144" s="115"/>
      <c r="ID144" s="115"/>
      <c r="IE144" s="115"/>
      <c r="IF144" s="115"/>
      <c r="IG144" s="115"/>
      <c r="IH144" s="115"/>
      <c r="II144" s="115"/>
      <c r="IJ144" s="115"/>
      <c r="IK144" s="115"/>
      <c r="IL144" s="115"/>
      <c r="IM144" s="115"/>
      <c r="IN144" s="115"/>
      <c r="IO144" s="115"/>
      <c r="IP144" s="115"/>
      <c r="IQ144" s="115"/>
      <c r="IR144" s="115"/>
      <c r="IS144" s="115"/>
      <c r="IT144" s="115"/>
      <c r="IU144" s="115"/>
    </row>
    <row r="145" spans="1:255" s="108" customFormat="1" ht="15.6" customHeight="1" thickTop="1">
      <c r="A145" s="1"/>
      <c r="B145" s="1"/>
      <c r="C145" s="13" t="s">
        <v>209</v>
      </c>
      <c r="D145" s="1"/>
      <c r="E145" s="1"/>
      <c r="F145" s="1019">
        <f>SUM(F141:G144)</f>
        <v>125400</v>
      </c>
      <c r="G145" s="1020"/>
      <c r="H145" s="1"/>
      <c r="I145" s="1"/>
      <c r="J145" s="14"/>
      <c r="K145" s="1"/>
      <c r="L145" s="1"/>
      <c r="M145" s="1"/>
      <c r="N145" s="1"/>
      <c r="O145" s="1"/>
      <c r="P145" s="1"/>
      <c r="T145" s="1497"/>
      <c r="U145" s="1498"/>
      <c r="V145" s="624"/>
      <c r="W145" s="624"/>
      <c r="X145" s="624"/>
      <c r="Y145" s="628"/>
      <c r="Z145" s="628"/>
      <c r="AA145" s="628"/>
      <c r="AB145" s="628"/>
      <c r="AC145" s="628"/>
      <c r="AD145" s="628"/>
      <c r="AE145" s="628"/>
      <c r="AF145" s="628"/>
      <c r="AG145" s="628"/>
      <c r="AH145" s="628"/>
      <c r="AI145" s="628"/>
      <c r="AJ145" s="628"/>
      <c r="AK145" s="628"/>
      <c r="AL145" s="628"/>
      <c r="AM145" s="628"/>
      <c r="AN145" s="628"/>
      <c r="AO145" s="628"/>
      <c r="AP145" s="628"/>
      <c r="AQ145" s="628"/>
      <c r="AR145" s="628"/>
      <c r="AS145" s="628"/>
      <c r="AT145" s="628"/>
      <c r="AU145" s="628"/>
      <c r="AV145" s="628"/>
      <c r="AW145" s="628"/>
      <c r="AX145" s="628"/>
      <c r="AY145" s="628"/>
      <c r="AZ145" s="628"/>
      <c r="BA145" s="628"/>
      <c r="BB145" s="628"/>
      <c r="BC145" s="628"/>
      <c r="BD145" s="628"/>
      <c r="BE145" s="628"/>
      <c r="BF145" s="628"/>
      <c r="BG145" s="628"/>
      <c r="BH145" s="628"/>
      <c r="BI145" s="628"/>
      <c r="BJ145" s="628"/>
      <c r="BK145" s="628"/>
      <c r="BL145" s="628"/>
      <c r="BM145" s="628"/>
      <c r="BN145" s="628"/>
      <c r="BO145" s="628"/>
      <c r="BP145" s="628"/>
      <c r="BQ145" s="628"/>
      <c r="BR145" s="628"/>
      <c r="BS145" s="628"/>
      <c r="BT145" s="628"/>
      <c r="BU145" s="628"/>
      <c r="BV145" s="628"/>
      <c r="BW145" s="628"/>
      <c r="BX145" s="628"/>
      <c r="BY145" s="628"/>
      <c r="BZ145" s="628"/>
      <c r="CA145" s="628"/>
      <c r="CB145" s="628"/>
      <c r="CC145" s="628"/>
      <c r="CD145" s="628"/>
      <c r="CE145" s="628"/>
      <c r="CF145" s="628"/>
      <c r="CG145" s="628"/>
      <c r="CH145" s="628"/>
      <c r="CI145" s="628"/>
      <c r="CJ145" s="628"/>
      <c r="CK145" s="628"/>
      <c r="CL145" s="628"/>
      <c r="CM145" s="628"/>
      <c r="CN145" s="628"/>
      <c r="CO145" s="628"/>
      <c r="CP145" s="628"/>
      <c r="CQ145" s="628"/>
      <c r="CR145" s="628"/>
      <c r="CS145" s="628"/>
      <c r="CT145" s="628"/>
      <c r="CU145" s="628"/>
      <c r="CV145" s="628"/>
      <c r="CW145" s="628"/>
      <c r="CX145" s="628"/>
      <c r="CY145" s="628"/>
      <c r="CZ145" s="628"/>
      <c r="DA145" s="628"/>
      <c r="DB145" s="628"/>
      <c r="DC145" s="628"/>
      <c r="DD145" s="628"/>
      <c r="DE145" s="628"/>
      <c r="DF145" s="628"/>
      <c r="DG145" s="628"/>
      <c r="DH145" s="628"/>
      <c r="DI145" s="628"/>
      <c r="DJ145" s="628"/>
      <c r="DK145" s="628"/>
      <c r="DL145" s="628"/>
      <c r="DM145" s="628"/>
      <c r="DN145" s="628"/>
      <c r="DO145" s="628"/>
      <c r="DP145" s="628"/>
      <c r="DQ145" s="628"/>
      <c r="DR145" s="628"/>
      <c r="DS145" s="628"/>
      <c r="DT145" s="628"/>
      <c r="DU145" s="628"/>
      <c r="DV145" s="628"/>
      <c r="DW145" s="628"/>
      <c r="DX145" s="628"/>
      <c r="DY145" s="628"/>
      <c r="DZ145" s="628"/>
      <c r="EA145" s="628"/>
      <c r="EB145" s="628"/>
      <c r="EC145" s="628"/>
      <c r="ED145" s="628"/>
      <c r="EE145" s="628"/>
      <c r="EF145" s="628"/>
      <c r="EG145" s="628"/>
      <c r="EH145" s="628"/>
      <c r="EI145" s="628"/>
      <c r="EJ145" s="628"/>
      <c r="EK145" s="628"/>
      <c r="EL145" s="628"/>
      <c r="EM145" s="628"/>
      <c r="EN145" s="628"/>
      <c r="EO145" s="628"/>
      <c r="EP145" s="628"/>
      <c r="EQ145" s="628"/>
      <c r="ER145" s="628"/>
      <c r="ES145" s="628"/>
      <c r="ET145" s="628"/>
      <c r="EU145" s="628"/>
      <c r="EV145" s="628"/>
      <c r="EW145" s="628"/>
      <c r="EX145" s="628"/>
      <c r="EY145" s="628"/>
      <c r="EZ145" s="628"/>
      <c r="FA145" s="628"/>
      <c r="FB145" s="628"/>
      <c r="FC145" s="628"/>
      <c r="FD145" s="628"/>
      <c r="FE145" s="628"/>
      <c r="FF145" s="628"/>
      <c r="FG145" s="628"/>
      <c r="FH145" s="628"/>
      <c r="FI145" s="628"/>
      <c r="FJ145" s="628"/>
      <c r="FK145" s="628"/>
      <c r="FL145" s="628"/>
      <c r="FM145" s="628"/>
      <c r="FN145" s="628"/>
      <c r="FO145" s="628"/>
      <c r="FP145" s="628"/>
      <c r="FQ145" s="628"/>
      <c r="FR145" s="628"/>
      <c r="FS145" s="628"/>
      <c r="FT145" s="628"/>
      <c r="FU145" s="628"/>
      <c r="FV145" s="628"/>
      <c r="FW145" s="628"/>
      <c r="FX145" s="628"/>
      <c r="FY145" s="629"/>
      <c r="FZ145" s="629"/>
      <c r="GA145" s="629"/>
      <c r="GB145" s="629"/>
      <c r="GC145" s="629"/>
      <c r="GD145" s="629"/>
      <c r="GE145" s="629"/>
      <c r="GF145" s="629"/>
      <c r="GG145" s="629"/>
      <c r="GH145" s="629"/>
      <c r="GI145" s="629"/>
      <c r="GJ145" s="629"/>
      <c r="GK145" s="629"/>
      <c r="GL145" s="629"/>
      <c r="GM145" s="629"/>
      <c r="GN145" s="629"/>
      <c r="GO145" s="629"/>
      <c r="GP145" s="628"/>
      <c r="GQ145" s="628"/>
      <c r="GR145" s="628"/>
      <c r="GS145" s="628"/>
      <c r="GT145" s="628"/>
      <c r="GU145" s="628"/>
      <c r="GV145" s="630"/>
      <c r="GW145" s="628"/>
      <c r="GX145" s="628"/>
      <c r="GY145" s="628"/>
      <c r="GZ145" s="628"/>
      <c r="HA145" s="628"/>
      <c r="HB145" s="628"/>
      <c r="HC145" s="628"/>
      <c r="HD145" s="628"/>
      <c r="HE145" s="628"/>
      <c r="HF145" s="628"/>
      <c r="HG145" s="628"/>
      <c r="HH145" s="628"/>
      <c r="HI145" s="628"/>
      <c r="HJ145" s="628"/>
      <c r="HK145" s="628"/>
      <c r="HL145" s="630"/>
      <c r="HM145" s="630"/>
      <c r="HN145" s="628"/>
      <c r="HO145" s="628"/>
      <c r="HP145" s="115"/>
      <c r="HQ145" s="115"/>
      <c r="HR145" s="115"/>
      <c r="HS145" s="115"/>
      <c r="HT145" s="115"/>
      <c r="HU145" s="115"/>
      <c r="HV145" s="115"/>
      <c r="HW145" s="115"/>
      <c r="HX145" s="115"/>
      <c r="HY145" s="115"/>
      <c r="HZ145" s="115"/>
      <c r="IA145" s="115"/>
      <c r="IB145" s="115"/>
      <c r="IC145" s="115"/>
      <c r="ID145" s="115"/>
      <c r="IE145" s="115"/>
      <c r="IF145" s="115"/>
      <c r="IG145" s="115"/>
      <c r="IH145" s="115"/>
      <c r="II145" s="115"/>
      <c r="IJ145" s="115"/>
      <c r="IK145" s="115"/>
      <c r="IL145" s="115"/>
      <c r="IM145" s="115"/>
      <c r="IN145" s="115"/>
      <c r="IO145" s="115"/>
      <c r="IP145" s="115"/>
      <c r="IQ145" s="115"/>
      <c r="IR145" s="115"/>
      <c r="IS145" s="115"/>
      <c r="IT145" s="115"/>
      <c r="IU145" s="115"/>
    </row>
    <row r="146" spans="1:255" s="108" customFormat="1" ht="6" customHeight="1" thickBot="1">
      <c r="A146" s="1"/>
      <c r="B146" s="1"/>
      <c r="C146" s="11"/>
      <c r="D146" s="13"/>
      <c r="E146" s="1"/>
      <c r="F146" s="14"/>
      <c r="G146" s="14"/>
      <c r="H146" s="1"/>
      <c r="I146" s="1"/>
      <c r="J146" s="14"/>
      <c r="K146" s="1"/>
      <c r="L146" s="1"/>
      <c r="M146" s="11"/>
      <c r="N146" s="1"/>
      <c r="O146" s="13"/>
      <c r="P146" s="6"/>
      <c r="T146" s="1497"/>
      <c r="U146" s="1498"/>
      <c r="V146" s="628"/>
      <c r="W146" s="628"/>
      <c r="X146" s="628"/>
      <c r="Y146" s="628"/>
      <c r="Z146" s="628"/>
      <c r="AA146" s="628"/>
      <c r="AB146" s="628"/>
      <c r="AC146" s="628"/>
      <c r="AD146" s="628"/>
      <c r="AE146" s="628"/>
      <c r="AF146" s="628"/>
      <c r="AG146" s="628"/>
      <c r="AH146" s="628"/>
      <c r="AI146" s="628"/>
      <c r="AJ146" s="628"/>
      <c r="AK146" s="628"/>
      <c r="AL146" s="628"/>
      <c r="AM146" s="628"/>
      <c r="AN146" s="628"/>
      <c r="AO146" s="628"/>
      <c r="AP146" s="628"/>
      <c r="AQ146" s="628"/>
      <c r="AR146" s="628"/>
      <c r="AS146" s="628"/>
      <c r="AT146" s="628"/>
      <c r="AU146" s="628"/>
      <c r="AV146" s="628"/>
      <c r="AW146" s="628"/>
      <c r="AX146" s="628"/>
      <c r="AY146" s="628"/>
      <c r="AZ146" s="628"/>
      <c r="BA146" s="628"/>
      <c r="BB146" s="628"/>
      <c r="BC146" s="628"/>
      <c r="BD146" s="628"/>
      <c r="BE146" s="628"/>
      <c r="BF146" s="628"/>
      <c r="BG146" s="628"/>
      <c r="BH146" s="628"/>
      <c r="BI146" s="628"/>
      <c r="BJ146" s="628"/>
      <c r="BK146" s="628"/>
      <c r="BL146" s="628"/>
      <c r="BM146" s="628"/>
      <c r="BN146" s="628"/>
      <c r="BO146" s="628"/>
      <c r="BP146" s="628"/>
      <c r="BQ146" s="628"/>
      <c r="BR146" s="628"/>
      <c r="BS146" s="628"/>
      <c r="BT146" s="628"/>
      <c r="BU146" s="628"/>
      <c r="BV146" s="628"/>
      <c r="BW146" s="628"/>
      <c r="BX146" s="628"/>
      <c r="BY146" s="628"/>
      <c r="BZ146" s="628"/>
      <c r="CA146" s="628"/>
      <c r="CB146" s="628"/>
      <c r="CC146" s="628"/>
      <c r="CD146" s="628"/>
      <c r="CE146" s="628"/>
      <c r="CF146" s="628"/>
      <c r="CG146" s="628"/>
      <c r="CH146" s="628"/>
      <c r="CI146" s="628"/>
      <c r="CJ146" s="628"/>
      <c r="CK146" s="628"/>
      <c r="CL146" s="628"/>
      <c r="CM146" s="628"/>
      <c r="CN146" s="628"/>
      <c r="CO146" s="628"/>
      <c r="CP146" s="628"/>
      <c r="CQ146" s="628"/>
      <c r="CR146" s="628"/>
      <c r="CS146" s="628"/>
      <c r="CT146" s="628"/>
      <c r="CU146" s="628"/>
      <c r="CV146" s="628"/>
      <c r="CW146" s="628"/>
      <c r="CX146" s="628"/>
      <c r="CY146" s="628"/>
      <c r="CZ146" s="628"/>
      <c r="DA146" s="628"/>
      <c r="DB146" s="628"/>
      <c r="DC146" s="628"/>
      <c r="DD146" s="628"/>
      <c r="DE146" s="628"/>
      <c r="DF146" s="628"/>
      <c r="DG146" s="628"/>
      <c r="DH146" s="628"/>
      <c r="DI146" s="628"/>
      <c r="DJ146" s="628"/>
      <c r="DK146" s="628"/>
      <c r="DL146" s="628"/>
      <c r="DM146" s="628"/>
      <c r="DN146" s="628"/>
      <c r="DO146" s="628"/>
      <c r="DP146" s="628"/>
      <c r="DQ146" s="628"/>
      <c r="DR146" s="628"/>
      <c r="DS146" s="628"/>
      <c r="DT146" s="628"/>
      <c r="DU146" s="628"/>
      <c r="DV146" s="628"/>
      <c r="DW146" s="628"/>
      <c r="DX146" s="628"/>
      <c r="DY146" s="628"/>
      <c r="DZ146" s="628"/>
      <c r="EA146" s="628"/>
      <c r="EB146" s="628"/>
      <c r="EC146" s="628"/>
      <c r="ED146" s="628"/>
      <c r="EE146" s="628"/>
      <c r="EF146" s="628"/>
      <c r="EG146" s="628"/>
      <c r="EH146" s="628"/>
      <c r="EI146" s="628"/>
      <c r="EJ146" s="628"/>
      <c r="EK146" s="628"/>
      <c r="EL146" s="628"/>
      <c r="EM146" s="628"/>
      <c r="EN146" s="628"/>
      <c r="EO146" s="628"/>
      <c r="EP146" s="628"/>
      <c r="EQ146" s="628"/>
      <c r="ER146" s="628"/>
      <c r="ES146" s="628"/>
      <c r="ET146" s="628"/>
      <c r="EU146" s="628"/>
      <c r="EV146" s="628"/>
      <c r="EW146" s="628"/>
      <c r="EX146" s="628"/>
      <c r="EY146" s="628"/>
      <c r="EZ146" s="628"/>
      <c r="FA146" s="628"/>
      <c r="FB146" s="628"/>
      <c r="FC146" s="628"/>
      <c r="FD146" s="628"/>
      <c r="FE146" s="628"/>
      <c r="FF146" s="628"/>
      <c r="FG146" s="628"/>
      <c r="FH146" s="628"/>
      <c r="FI146" s="628"/>
      <c r="FJ146" s="628"/>
      <c r="FK146" s="628"/>
      <c r="FL146" s="628"/>
      <c r="FM146" s="628"/>
      <c r="FN146" s="628"/>
      <c r="FO146" s="628"/>
      <c r="FP146" s="628"/>
      <c r="FQ146" s="628"/>
      <c r="FR146" s="628"/>
      <c r="FS146" s="628"/>
      <c r="FT146" s="628"/>
      <c r="FU146" s="628"/>
      <c r="FV146" s="628"/>
      <c r="FW146" s="628"/>
      <c r="FX146" s="628"/>
      <c r="FY146" s="629"/>
      <c r="FZ146" s="629"/>
      <c r="GA146" s="629"/>
      <c r="GB146" s="629"/>
      <c r="GC146" s="629"/>
      <c r="GD146" s="629"/>
      <c r="GE146" s="629"/>
      <c r="GF146" s="629"/>
      <c r="GG146" s="629"/>
      <c r="GH146" s="629"/>
      <c r="GI146" s="629"/>
      <c r="GJ146" s="629"/>
      <c r="GK146" s="629"/>
      <c r="GL146" s="629"/>
      <c r="GM146" s="629"/>
      <c r="GN146" s="629"/>
      <c r="GO146" s="629"/>
      <c r="GP146" s="628"/>
      <c r="GQ146" s="628"/>
      <c r="GR146" s="628"/>
      <c r="GS146" s="628"/>
      <c r="GT146" s="628"/>
      <c r="GU146" s="628"/>
      <c r="GV146" s="630"/>
      <c r="GW146" s="628"/>
      <c r="GX146" s="628"/>
      <c r="GY146" s="628"/>
      <c r="GZ146" s="628"/>
      <c r="HA146" s="628"/>
      <c r="HB146" s="628"/>
      <c r="HC146" s="628"/>
      <c r="HD146" s="628"/>
      <c r="HE146" s="628"/>
      <c r="HF146" s="628"/>
      <c r="HG146" s="628"/>
      <c r="HH146" s="628"/>
      <c r="HI146" s="628"/>
      <c r="HJ146" s="628"/>
      <c r="HK146" s="628"/>
      <c r="HL146" s="630"/>
      <c r="HM146" s="630"/>
      <c r="HN146" s="628"/>
      <c r="HO146" s="628"/>
      <c r="HP146" s="115"/>
      <c r="HQ146" s="115"/>
      <c r="HR146" s="115"/>
      <c r="HS146" s="115"/>
      <c r="HT146" s="115"/>
      <c r="HU146" s="115"/>
      <c r="HV146" s="115"/>
      <c r="HW146" s="115"/>
      <c r="HX146" s="115"/>
      <c r="HY146" s="115"/>
      <c r="HZ146" s="115"/>
      <c r="IA146" s="115"/>
      <c r="IB146" s="115"/>
      <c r="IC146" s="115"/>
      <c r="ID146" s="115"/>
      <c r="IE146" s="115"/>
      <c r="IF146" s="115"/>
      <c r="IG146" s="115"/>
      <c r="IH146" s="115"/>
      <c r="II146" s="115"/>
      <c r="IJ146" s="115"/>
      <c r="IK146" s="115"/>
      <c r="IL146" s="115"/>
      <c r="IM146" s="115"/>
      <c r="IN146" s="115"/>
      <c r="IO146" s="115"/>
      <c r="IP146" s="115"/>
      <c r="IQ146" s="115"/>
      <c r="IR146" s="115"/>
      <c r="IS146" s="115"/>
      <c r="IT146" s="115"/>
      <c r="IU146" s="115"/>
    </row>
    <row r="147" spans="1:255" s="108" customFormat="1" ht="13.15" customHeight="1" thickBot="1">
      <c r="A147" s="1"/>
      <c r="B147" s="11" t="s">
        <v>1725</v>
      </c>
      <c r="C147" s="1"/>
      <c r="D147" s="10"/>
      <c r="E147" s="1"/>
      <c r="F147" s="1"/>
      <c r="G147" s="1"/>
      <c r="H147" s="1"/>
      <c r="I147" s="11" t="s">
        <v>1726</v>
      </c>
      <c r="J147" s="1"/>
      <c r="K147" s="1"/>
      <c r="L147" s="1"/>
      <c r="M147" s="1"/>
      <c r="N147" s="11" t="s">
        <v>1815</v>
      </c>
      <c r="O147" s="1"/>
      <c r="P147" s="533">
        <f>IF(OR('Part VII-Pro Forma'!$B$20 = "Choose Mgt Fee",'Part VII-Pro Forma'!$B$20 = "Choose One!"), 0,- 'Part VII-Pro Forma'!$B$20)</f>
        <v>26803</v>
      </c>
      <c r="T147" s="1497"/>
      <c r="U147" s="1498"/>
      <c r="V147" s="624"/>
      <c r="W147" s="624"/>
      <c r="X147" s="624"/>
      <c r="Y147" s="628"/>
      <c r="Z147" s="628"/>
      <c r="AA147" s="628"/>
      <c r="AB147" s="628"/>
      <c r="AC147" s="628"/>
      <c r="AD147" s="628"/>
      <c r="AE147" s="628"/>
      <c r="AF147" s="628"/>
      <c r="AG147" s="628"/>
      <c r="AH147" s="628"/>
      <c r="AI147" s="628"/>
      <c r="AJ147" s="628"/>
      <c r="AK147" s="628"/>
      <c r="AL147" s="628"/>
      <c r="AM147" s="628"/>
      <c r="AN147" s="628"/>
      <c r="AO147" s="628"/>
      <c r="AP147" s="628"/>
      <c r="AQ147" s="628"/>
      <c r="AR147" s="628"/>
      <c r="AS147" s="628"/>
      <c r="AT147" s="628"/>
      <c r="AU147" s="628"/>
      <c r="AV147" s="628"/>
      <c r="AW147" s="628"/>
      <c r="AX147" s="628"/>
      <c r="AY147" s="628"/>
      <c r="AZ147" s="628"/>
      <c r="BA147" s="628"/>
      <c r="BB147" s="628"/>
      <c r="BC147" s="628"/>
      <c r="BD147" s="628"/>
      <c r="BE147" s="628"/>
      <c r="BF147" s="628"/>
      <c r="BG147" s="628"/>
      <c r="BH147" s="628"/>
      <c r="BI147" s="628"/>
      <c r="BJ147" s="628"/>
      <c r="BK147" s="628"/>
      <c r="BL147" s="628"/>
      <c r="BM147" s="628"/>
      <c r="BN147" s="628"/>
      <c r="BO147" s="628"/>
      <c r="BP147" s="628"/>
      <c r="BQ147" s="628"/>
      <c r="BR147" s="628"/>
      <c r="BS147" s="628"/>
      <c r="BT147" s="628"/>
      <c r="BU147" s="628"/>
      <c r="BV147" s="628"/>
      <c r="BW147" s="628"/>
      <c r="BX147" s="628"/>
      <c r="BY147" s="628"/>
      <c r="BZ147" s="628"/>
      <c r="CA147" s="628"/>
      <c r="CB147" s="628"/>
      <c r="CC147" s="628"/>
      <c r="CD147" s="628"/>
      <c r="CE147" s="628"/>
      <c r="CF147" s="628"/>
      <c r="CG147" s="628"/>
      <c r="CH147" s="628"/>
      <c r="CI147" s="628"/>
      <c r="CJ147" s="628"/>
      <c r="CK147" s="628"/>
      <c r="CL147" s="628"/>
      <c r="CM147" s="628"/>
      <c r="CN147" s="628"/>
      <c r="CO147" s="628"/>
      <c r="CP147" s="628"/>
      <c r="CQ147" s="628"/>
      <c r="CR147" s="628"/>
      <c r="CS147" s="628"/>
      <c r="CT147" s="628"/>
      <c r="CU147" s="628"/>
      <c r="CV147" s="628"/>
      <c r="CW147" s="628"/>
      <c r="CX147" s="628"/>
      <c r="CY147" s="628"/>
      <c r="CZ147" s="628"/>
      <c r="DA147" s="628"/>
      <c r="DB147" s="628"/>
      <c r="DC147" s="628"/>
      <c r="DD147" s="628"/>
      <c r="DE147" s="628"/>
      <c r="DF147" s="628"/>
      <c r="DG147" s="628"/>
      <c r="DH147" s="628"/>
      <c r="DI147" s="628"/>
      <c r="DJ147" s="628"/>
      <c r="DK147" s="628"/>
      <c r="DL147" s="628"/>
      <c r="DM147" s="628"/>
      <c r="DN147" s="628"/>
      <c r="DO147" s="628"/>
      <c r="DP147" s="628"/>
      <c r="DQ147" s="628"/>
      <c r="DR147" s="628"/>
      <c r="DS147" s="628"/>
      <c r="DT147" s="628"/>
      <c r="DU147" s="628"/>
      <c r="DV147" s="628"/>
      <c r="DW147" s="628"/>
      <c r="DX147" s="628"/>
      <c r="DY147" s="628"/>
      <c r="DZ147" s="628"/>
      <c r="EA147" s="628"/>
      <c r="EB147" s="628"/>
      <c r="EC147" s="628"/>
      <c r="ED147" s="628"/>
      <c r="EE147" s="628"/>
      <c r="EF147" s="628"/>
      <c r="EG147" s="628"/>
      <c r="EH147" s="628"/>
      <c r="EI147" s="628"/>
      <c r="EJ147" s="628"/>
      <c r="EK147" s="628"/>
      <c r="EL147" s="628"/>
      <c r="EM147" s="628"/>
      <c r="EN147" s="628"/>
      <c r="EO147" s="628"/>
      <c r="EP147" s="628"/>
      <c r="EQ147" s="628"/>
      <c r="ER147" s="628"/>
      <c r="ES147" s="628"/>
      <c r="ET147" s="628"/>
      <c r="EU147" s="628"/>
      <c r="EV147" s="628"/>
      <c r="EW147" s="628"/>
      <c r="EX147" s="628"/>
      <c r="EY147" s="628"/>
      <c r="EZ147" s="628"/>
      <c r="FA147" s="628"/>
      <c r="FB147" s="628"/>
      <c r="FC147" s="628"/>
      <c r="FD147" s="628"/>
      <c r="FE147" s="628"/>
      <c r="FF147" s="628"/>
      <c r="FG147" s="628"/>
      <c r="FH147" s="628"/>
      <c r="FI147" s="628"/>
      <c r="FJ147" s="628"/>
      <c r="FK147" s="628"/>
      <c r="FL147" s="628"/>
      <c r="FM147" s="628"/>
      <c r="FN147" s="628"/>
      <c r="FO147" s="628"/>
      <c r="FP147" s="628"/>
      <c r="FQ147" s="628"/>
      <c r="FR147" s="628"/>
      <c r="FS147" s="628"/>
      <c r="FT147" s="628"/>
      <c r="FU147" s="628"/>
      <c r="FV147" s="628"/>
      <c r="FW147" s="628"/>
      <c r="FX147" s="628"/>
      <c r="FY147" s="629"/>
      <c r="FZ147" s="629"/>
      <c r="GA147" s="629"/>
      <c r="GB147" s="629"/>
      <c r="GC147" s="629"/>
      <c r="GD147" s="629"/>
      <c r="GE147" s="629"/>
      <c r="GF147" s="629"/>
      <c r="GG147" s="629"/>
      <c r="GH147" s="629"/>
      <c r="GI147" s="629"/>
      <c r="GJ147" s="629"/>
      <c r="GK147" s="629"/>
      <c r="GL147" s="629"/>
      <c r="GM147" s="629"/>
      <c r="GN147" s="629"/>
      <c r="GO147" s="629"/>
      <c r="GP147" s="628"/>
      <c r="GQ147" s="628"/>
      <c r="GR147" s="628"/>
      <c r="GS147" s="628"/>
      <c r="GT147" s="628"/>
      <c r="GU147" s="628"/>
      <c r="GV147" s="630"/>
      <c r="GW147" s="628"/>
      <c r="GX147" s="628"/>
      <c r="GY147" s="628"/>
      <c r="GZ147" s="628"/>
      <c r="HA147" s="628"/>
      <c r="HB147" s="628"/>
      <c r="HC147" s="628"/>
      <c r="HD147" s="628"/>
      <c r="HE147" s="628"/>
      <c r="HF147" s="628"/>
      <c r="HG147" s="628"/>
      <c r="HH147" s="628"/>
      <c r="HI147" s="628"/>
      <c r="HJ147" s="628"/>
      <c r="HK147" s="628"/>
      <c r="HL147" s="630"/>
      <c r="HM147" s="630"/>
      <c r="HN147" s="628"/>
      <c r="HO147" s="628"/>
      <c r="HP147" s="115"/>
      <c r="HQ147" s="115"/>
      <c r="HR147" s="115"/>
      <c r="HS147" s="115"/>
      <c r="HT147" s="115"/>
      <c r="HU147" s="115"/>
      <c r="HV147" s="115"/>
      <c r="HW147" s="115"/>
      <c r="HX147" s="115"/>
      <c r="HY147" s="115"/>
      <c r="HZ147" s="115"/>
      <c r="IA147" s="115"/>
      <c r="IB147" s="115"/>
      <c r="IC147" s="115"/>
      <c r="ID147" s="115"/>
      <c r="IE147" s="115"/>
      <c r="IF147" s="115"/>
      <c r="IG147" s="115"/>
      <c r="IH147" s="115"/>
      <c r="II147" s="115"/>
      <c r="IJ147" s="115"/>
      <c r="IK147" s="115"/>
      <c r="IL147" s="115"/>
      <c r="IM147" s="115"/>
      <c r="IN147" s="115"/>
      <c r="IO147" s="115"/>
      <c r="IP147" s="115"/>
      <c r="IQ147" s="115"/>
      <c r="IR147" s="115"/>
      <c r="IS147" s="115"/>
      <c r="IT147" s="115"/>
      <c r="IU147" s="115"/>
    </row>
    <row r="148" spans="1:255" s="108" customFormat="1" ht="15.6" customHeight="1">
      <c r="A148" s="1"/>
      <c r="B148" s="1" t="s">
        <v>1807</v>
      </c>
      <c r="C148" s="1"/>
      <c r="D148" s="10"/>
      <c r="E148" s="1"/>
      <c r="F148" s="1575">
        <v>5000</v>
      </c>
      <c r="G148" s="1576"/>
      <c r="H148" s="1"/>
      <c r="I148" s="1" t="s">
        <v>2067</v>
      </c>
      <c r="J148" s="1"/>
      <c r="K148" s="1586">
        <v>7500</v>
      </c>
      <c r="L148" s="1587"/>
      <c r="M148" s="1"/>
      <c r="N148" s="515">
        <f>+P147/(M62*0.93)</f>
        <v>360.25537634408602</v>
      </c>
      <c r="O148" s="30" t="s">
        <v>3940</v>
      </c>
      <c r="P148" s="1"/>
      <c r="T148" s="1497"/>
      <c r="U148" s="1498"/>
      <c r="V148" s="624"/>
      <c r="W148" s="624"/>
      <c r="X148" s="624"/>
      <c r="Y148" s="628"/>
      <c r="Z148" s="628"/>
      <c r="AA148" s="628"/>
      <c r="AB148" s="628"/>
      <c r="AC148" s="628"/>
      <c r="AD148" s="628"/>
      <c r="AE148" s="628"/>
      <c r="AF148" s="628"/>
      <c r="AG148" s="628"/>
      <c r="AH148" s="628"/>
      <c r="AI148" s="628"/>
      <c r="AJ148" s="628"/>
      <c r="AK148" s="628"/>
      <c r="AL148" s="628"/>
      <c r="AM148" s="628"/>
      <c r="AN148" s="628"/>
      <c r="AO148" s="628"/>
      <c r="AP148" s="628"/>
      <c r="AQ148" s="628"/>
      <c r="AR148" s="628"/>
      <c r="AS148" s="628"/>
      <c r="AT148" s="628"/>
      <c r="AU148" s="628"/>
      <c r="AV148" s="628"/>
      <c r="AW148" s="628"/>
      <c r="AX148" s="628"/>
      <c r="AY148" s="628"/>
      <c r="AZ148" s="628"/>
      <c r="BA148" s="628"/>
      <c r="BB148" s="628"/>
      <c r="BC148" s="628"/>
      <c r="BD148" s="628"/>
      <c r="BE148" s="628"/>
      <c r="BF148" s="628"/>
      <c r="BG148" s="628"/>
      <c r="BH148" s="628"/>
      <c r="BI148" s="628"/>
      <c r="BJ148" s="628"/>
      <c r="BK148" s="628"/>
      <c r="BL148" s="628"/>
      <c r="BM148" s="628"/>
      <c r="BN148" s="628"/>
      <c r="BO148" s="628"/>
      <c r="BP148" s="628"/>
      <c r="BQ148" s="628"/>
      <c r="BR148" s="628"/>
      <c r="BS148" s="628"/>
      <c r="BT148" s="628"/>
      <c r="BU148" s="628"/>
      <c r="BV148" s="628"/>
      <c r="BW148" s="628"/>
      <c r="BX148" s="628"/>
      <c r="BY148" s="628"/>
      <c r="BZ148" s="628"/>
      <c r="CA148" s="628"/>
      <c r="CB148" s="628"/>
      <c r="CC148" s="628"/>
      <c r="CD148" s="628"/>
      <c r="CE148" s="628"/>
      <c r="CF148" s="628"/>
      <c r="CG148" s="628"/>
      <c r="CH148" s="628"/>
      <c r="CI148" s="628"/>
      <c r="CJ148" s="628"/>
      <c r="CK148" s="628"/>
      <c r="CL148" s="628"/>
      <c r="CM148" s="628"/>
      <c r="CN148" s="628"/>
      <c r="CO148" s="628"/>
      <c r="CP148" s="628"/>
      <c r="CQ148" s="628"/>
      <c r="CR148" s="628"/>
      <c r="CS148" s="628"/>
      <c r="CT148" s="628"/>
      <c r="CU148" s="628"/>
      <c r="CV148" s="628"/>
      <c r="CW148" s="628"/>
      <c r="CX148" s="628"/>
      <c r="CY148" s="628"/>
      <c r="CZ148" s="628"/>
      <c r="DA148" s="628"/>
      <c r="DB148" s="628"/>
      <c r="DC148" s="628"/>
      <c r="DD148" s="628"/>
      <c r="DE148" s="628"/>
      <c r="DF148" s="628"/>
      <c r="DG148" s="628"/>
      <c r="DH148" s="628"/>
      <c r="DI148" s="628"/>
      <c r="DJ148" s="628"/>
      <c r="DK148" s="628"/>
      <c r="DL148" s="628"/>
      <c r="DM148" s="628"/>
      <c r="DN148" s="628"/>
      <c r="DO148" s="628"/>
      <c r="DP148" s="628"/>
      <c r="DQ148" s="628"/>
      <c r="DR148" s="628"/>
      <c r="DS148" s="628"/>
      <c r="DT148" s="628"/>
      <c r="DU148" s="628"/>
      <c r="DV148" s="628"/>
      <c r="DW148" s="628"/>
      <c r="DX148" s="628"/>
      <c r="DY148" s="628"/>
      <c r="DZ148" s="628"/>
      <c r="EA148" s="628"/>
      <c r="EB148" s="628"/>
      <c r="EC148" s="628"/>
      <c r="ED148" s="628"/>
      <c r="EE148" s="628"/>
      <c r="EF148" s="628"/>
      <c r="EG148" s="628"/>
      <c r="EH148" s="628"/>
      <c r="EI148" s="628"/>
      <c r="EJ148" s="628"/>
      <c r="EK148" s="628"/>
      <c r="EL148" s="628"/>
      <c r="EM148" s="628"/>
      <c r="EN148" s="628"/>
      <c r="EO148" s="628"/>
      <c r="EP148" s="628"/>
      <c r="EQ148" s="628"/>
      <c r="ER148" s="628"/>
      <c r="ES148" s="628"/>
      <c r="ET148" s="628"/>
      <c r="EU148" s="628"/>
      <c r="EV148" s="628"/>
      <c r="EW148" s="628"/>
      <c r="EX148" s="628"/>
      <c r="EY148" s="628"/>
      <c r="EZ148" s="628"/>
      <c r="FA148" s="628"/>
      <c r="FB148" s="628"/>
      <c r="FC148" s="628"/>
      <c r="FD148" s="628"/>
      <c r="FE148" s="628"/>
      <c r="FF148" s="628"/>
      <c r="FG148" s="628"/>
      <c r="FH148" s="628"/>
      <c r="FI148" s="628"/>
      <c r="FJ148" s="628"/>
      <c r="FK148" s="628"/>
      <c r="FL148" s="628"/>
      <c r="FM148" s="628"/>
      <c r="FN148" s="628"/>
      <c r="FO148" s="628"/>
      <c r="FP148" s="628"/>
      <c r="FQ148" s="628"/>
      <c r="FR148" s="628"/>
      <c r="FS148" s="628"/>
      <c r="FT148" s="628"/>
      <c r="FU148" s="628"/>
      <c r="FV148" s="628"/>
      <c r="FW148" s="628"/>
      <c r="FX148" s="628"/>
      <c r="FY148" s="629"/>
      <c r="FZ148" s="629"/>
      <c r="GA148" s="629"/>
      <c r="GB148" s="629"/>
      <c r="GC148" s="629"/>
      <c r="GD148" s="629"/>
      <c r="GE148" s="629"/>
      <c r="GF148" s="629"/>
      <c r="GG148" s="629"/>
      <c r="GH148" s="629"/>
      <c r="GI148" s="629"/>
      <c r="GJ148" s="629"/>
      <c r="GK148" s="629"/>
      <c r="GL148" s="629"/>
      <c r="GM148" s="629"/>
      <c r="GN148" s="629"/>
      <c r="GO148" s="629"/>
      <c r="GP148" s="628"/>
      <c r="GQ148" s="628"/>
      <c r="GR148" s="628"/>
      <c r="GS148" s="628"/>
      <c r="GT148" s="628"/>
      <c r="GU148" s="628"/>
      <c r="GV148" s="630"/>
      <c r="GW148" s="628"/>
      <c r="GX148" s="628"/>
      <c r="GY148" s="628"/>
      <c r="GZ148" s="628"/>
      <c r="HA148" s="628"/>
      <c r="HB148" s="628"/>
      <c r="HC148" s="628"/>
      <c r="HD148" s="628"/>
      <c r="HE148" s="628"/>
      <c r="HF148" s="628"/>
      <c r="HG148" s="628"/>
      <c r="HH148" s="628"/>
      <c r="HI148" s="628"/>
      <c r="HJ148" s="628"/>
      <c r="HK148" s="628"/>
      <c r="HL148" s="630"/>
      <c r="HM148" s="630"/>
      <c r="HN148" s="628"/>
      <c r="HO148" s="628"/>
      <c r="HP148" s="115"/>
      <c r="HQ148" s="115"/>
      <c r="HR148" s="115"/>
      <c r="HS148" s="115"/>
      <c r="HT148" s="115"/>
      <c r="HU148" s="115"/>
      <c r="HV148" s="115"/>
      <c r="HW148" s="115"/>
      <c r="HX148" s="115"/>
      <c r="HY148" s="115"/>
      <c r="HZ148" s="115"/>
      <c r="IA148" s="115"/>
      <c r="IB148" s="115"/>
      <c r="IC148" s="115"/>
      <c r="ID148" s="115"/>
      <c r="IE148" s="115"/>
      <c r="IF148" s="115"/>
      <c r="IG148" s="115"/>
      <c r="IH148" s="115"/>
      <c r="II148" s="115"/>
      <c r="IJ148" s="115"/>
      <c r="IK148" s="115"/>
      <c r="IL148" s="115"/>
      <c r="IM148" s="115"/>
      <c r="IN148" s="115"/>
      <c r="IO148" s="115"/>
      <c r="IP148" s="115"/>
      <c r="IQ148" s="115"/>
      <c r="IR148" s="115"/>
      <c r="IS148" s="115"/>
      <c r="IT148" s="115"/>
      <c r="IU148" s="115"/>
    </row>
    <row r="149" spans="1:255" s="108" customFormat="1" ht="15.6" customHeight="1">
      <c r="A149" s="1"/>
      <c r="B149" s="1" t="s">
        <v>1808</v>
      </c>
      <c r="C149" s="1"/>
      <c r="D149" s="10"/>
      <c r="E149" s="1"/>
      <c r="F149" s="1575">
        <v>4800</v>
      </c>
      <c r="G149" s="1576"/>
      <c r="H149" s="1"/>
      <c r="I149" s="1" t="s">
        <v>2763</v>
      </c>
      <c r="J149" s="1"/>
      <c r="K149" s="1588">
        <v>12000</v>
      </c>
      <c r="L149" s="1589"/>
      <c r="M149" s="1"/>
      <c r="N149" s="515">
        <f>+P147/(M62*0.93)/12</f>
        <v>30.021281362007169</v>
      </c>
      <c r="O149" s="30" t="s">
        <v>3943</v>
      </c>
      <c r="P149" s="1"/>
      <c r="T149" s="1497"/>
      <c r="U149" s="1498"/>
      <c r="V149" s="624"/>
      <c r="W149" s="624"/>
      <c r="X149" s="624"/>
      <c r="Y149" s="628"/>
      <c r="Z149" s="628"/>
      <c r="AA149" s="628"/>
      <c r="AB149" s="628"/>
      <c r="AC149" s="628"/>
      <c r="AD149" s="628"/>
      <c r="AE149" s="628"/>
      <c r="AF149" s="628"/>
      <c r="AG149" s="628"/>
      <c r="AH149" s="628"/>
      <c r="AI149" s="628"/>
      <c r="AJ149" s="628"/>
      <c r="AK149" s="628"/>
      <c r="AL149" s="628"/>
      <c r="AM149" s="628"/>
      <c r="AN149" s="628"/>
      <c r="AO149" s="628"/>
      <c r="AP149" s="628"/>
      <c r="AQ149" s="628"/>
      <c r="AR149" s="628"/>
      <c r="AS149" s="628"/>
      <c r="AT149" s="628"/>
      <c r="AU149" s="628"/>
      <c r="AV149" s="628"/>
      <c r="AW149" s="628"/>
      <c r="AX149" s="628"/>
      <c r="AY149" s="628"/>
      <c r="AZ149" s="628"/>
      <c r="BA149" s="628"/>
      <c r="BB149" s="628"/>
      <c r="BC149" s="628"/>
      <c r="BD149" s="628"/>
      <c r="BE149" s="628"/>
      <c r="BF149" s="628"/>
      <c r="BG149" s="628"/>
      <c r="BH149" s="628"/>
      <c r="BI149" s="628"/>
      <c r="BJ149" s="628"/>
      <c r="BK149" s="628"/>
      <c r="BL149" s="628"/>
      <c r="BM149" s="628"/>
      <c r="BN149" s="628"/>
      <c r="BO149" s="628"/>
      <c r="BP149" s="628"/>
      <c r="BQ149" s="628"/>
      <c r="BR149" s="628"/>
      <c r="BS149" s="628"/>
      <c r="BT149" s="628"/>
      <c r="BU149" s="628"/>
      <c r="BV149" s="628"/>
      <c r="BW149" s="628"/>
      <c r="BX149" s="628"/>
      <c r="BY149" s="628"/>
      <c r="BZ149" s="628"/>
      <c r="CA149" s="628"/>
      <c r="CB149" s="628"/>
      <c r="CC149" s="628"/>
      <c r="CD149" s="628"/>
      <c r="CE149" s="628"/>
      <c r="CF149" s="628"/>
      <c r="CG149" s="628"/>
      <c r="CH149" s="628"/>
      <c r="CI149" s="628"/>
      <c r="CJ149" s="628"/>
      <c r="CK149" s="628"/>
      <c r="CL149" s="628"/>
      <c r="CM149" s="628"/>
      <c r="CN149" s="628"/>
      <c r="CO149" s="628"/>
      <c r="CP149" s="628"/>
      <c r="CQ149" s="628"/>
      <c r="CR149" s="628"/>
      <c r="CS149" s="628"/>
      <c r="CT149" s="628"/>
      <c r="CU149" s="628"/>
      <c r="CV149" s="628"/>
      <c r="CW149" s="628"/>
      <c r="CX149" s="628"/>
      <c r="CY149" s="628"/>
      <c r="CZ149" s="628"/>
      <c r="DA149" s="628"/>
      <c r="DB149" s="628"/>
      <c r="DC149" s="628"/>
      <c r="DD149" s="628"/>
      <c r="DE149" s="628"/>
      <c r="DF149" s="628"/>
      <c r="DG149" s="628"/>
      <c r="DH149" s="628"/>
      <c r="DI149" s="628"/>
      <c r="DJ149" s="628"/>
      <c r="DK149" s="628"/>
      <c r="DL149" s="628"/>
      <c r="DM149" s="628"/>
      <c r="DN149" s="628"/>
      <c r="DO149" s="628"/>
      <c r="DP149" s="628"/>
      <c r="DQ149" s="628"/>
      <c r="DR149" s="628"/>
      <c r="DS149" s="628"/>
      <c r="DT149" s="628"/>
      <c r="DU149" s="628"/>
      <c r="DV149" s="628"/>
      <c r="DW149" s="628"/>
      <c r="DX149" s="628"/>
      <c r="DY149" s="628"/>
      <c r="DZ149" s="628"/>
      <c r="EA149" s="628"/>
      <c r="EB149" s="628"/>
      <c r="EC149" s="628"/>
      <c r="ED149" s="628"/>
      <c r="EE149" s="628"/>
      <c r="EF149" s="628"/>
      <c r="EG149" s="628"/>
      <c r="EH149" s="628"/>
      <c r="EI149" s="628"/>
      <c r="EJ149" s="628"/>
      <c r="EK149" s="628"/>
      <c r="EL149" s="628"/>
      <c r="EM149" s="628"/>
      <c r="EN149" s="628"/>
      <c r="EO149" s="628"/>
      <c r="EP149" s="628"/>
      <c r="EQ149" s="628"/>
      <c r="ER149" s="628"/>
      <c r="ES149" s="628"/>
      <c r="ET149" s="628"/>
      <c r="EU149" s="628"/>
      <c r="EV149" s="628"/>
      <c r="EW149" s="628"/>
      <c r="EX149" s="628"/>
      <c r="EY149" s="628"/>
      <c r="EZ149" s="628"/>
      <c r="FA149" s="628"/>
      <c r="FB149" s="628"/>
      <c r="FC149" s="628"/>
      <c r="FD149" s="628"/>
      <c r="FE149" s="628"/>
      <c r="FF149" s="628"/>
      <c r="FG149" s="628"/>
      <c r="FH149" s="628"/>
      <c r="FI149" s="628"/>
      <c r="FJ149" s="628"/>
      <c r="FK149" s="628"/>
      <c r="FL149" s="628"/>
      <c r="FM149" s="628"/>
      <c r="FN149" s="628"/>
      <c r="FO149" s="628"/>
      <c r="FP149" s="628"/>
      <c r="FQ149" s="628"/>
      <c r="FR149" s="628"/>
      <c r="FS149" s="628"/>
      <c r="FT149" s="628"/>
      <c r="FU149" s="628"/>
      <c r="FV149" s="628"/>
      <c r="FW149" s="628"/>
      <c r="FX149" s="628"/>
      <c r="FY149" s="629"/>
      <c r="FZ149" s="629"/>
      <c r="GA149" s="629"/>
      <c r="GB149" s="629"/>
      <c r="GC149" s="629"/>
      <c r="GD149" s="629"/>
      <c r="GE149" s="629"/>
      <c r="GF149" s="629"/>
      <c r="GG149" s="629"/>
      <c r="GH149" s="629"/>
      <c r="GI149" s="629"/>
      <c r="GJ149" s="629"/>
      <c r="GK149" s="629"/>
      <c r="GL149" s="629"/>
      <c r="GM149" s="629"/>
      <c r="GN149" s="629"/>
      <c r="GO149" s="629"/>
      <c r="GP149" s="628"/>
      <c r="GQ149" s="628"/>
      <c r="GR149" s="628"/>
      <c r="GS149" s="628"/>
      <c r="GT149" s="628"/>
      <c r="GU149" s="628"/>
      <c r="GV149" s="630"/>
      <c r="GW149" s="628"/>
      <c r="GX149" s="628"/>
      <c r="GY149" s="628"/>
      <c r="GZ149" s="628"/>
      <c r="HA149" s="628"/>
      <c r="HB149" s="628"/>
      <c r="HC149" s="628"/>
      <c r="HD149" s="628"/>
      <c r="HE149" s="628"/>
      <c r="HF149" s="628"/>
      <c r="HG149" s="628"/>
      <c r="HH149" s="628"/>
      <c r="HI149" s="628"/>
      <c r="HJ149" s="628"/>
      <c r="HK149" s="628"/>
      <c r="HL149" s="630"/>
      <c r="HM149" s="630"/>
      <c r="HN149" s="628"/>
      <c r="HO149" s="628"/>
      <c r="HP149" s="115"/>
      <c r="HQ149" s="115"/>
      <c r="HR149" s="115"/>
      <c r="HS149" s="115"/>
      <c r="HT149" s="115"/>
      <c r="HU149" s="115"/>
      <c r="HV149" s="115"/>
      <c r="HW149" s="115"/>
      <c r="HX149" s="115"/>
      <c r="HY149" s="115"/>
      <c r="HZ149" s="115"/>
      <c r="IA149" s="115"/>
      <c r="IB149" s="115"/>
      <c r="IC149" s="115"/>
      <c r="ID149" s="115"/>
      <c r="IE149" s="115"/>
      <c r="IF149" s="115"/>
      <c r="IG149" s="115"/>
      <c r="IH149" s="115"/>
      <c r="II149" s="115"/>
      <c r="IJ149" s="115"/>
      <c r="IK149" s="115"/>
      <c r="IL149" s="115"/>
      <c r="IM149" s="115"/>
      <c r="IN149" s="115"/>
      <c r="IO149" s="115"/>
      <c r="IP149" s="115"/>
      <c r="IQ149" s="115"/>
      <c r="IR149" s="115"/>
      <c r="IS149" s="115"/>
      <c r="IT149" s="115"/>
      <c r="IU149" s="115"/>
    </row>
    <row r="150" spans="1:255" s="108" customFormat="1" ht="15.6" customHeight="1">
      <c r="A150" s="1"/>
      <c r="B150" s="1" t="s">
        <v>1809</v>
      </c>
      <c r="C150" s="1"/>
      <c r="D150" s="10"/>
      <c r="E150" s="1"/>
      <c r="F150" s="1575">
        <v>750</v>
      </c>
      <c r="G150" s="1576"/>
      <c r="H150" s="1"/>
      <c r="I150" s="1" t="s">
        <v>2068</v>
      </c>
      <c r="J150" s="1"/>
      <c r="K150" s="1588">
        <v>3500</v>
      </c>
      <c r="L150" s="1589"/>
      <c r="M150" s="1"/>
      <c r="N150" s="1"/>
      <c r="O150" s="1"/>
      <c r="P150" s="1"/>
      <c r="T150" s="1497"/>
      <c r="U150" s="1498"/>
      <c r="V150" s="624"/>
      <c r="W150" s="624"/>
      <c r="X150" s="624"/>
      <c r="Y150" s="628"/>
      <c r="Z150" s="628"/>
      <c r="AA150" s="628"/>
      <c r="AB150" s="628"/>
      <c r="AC150" s="628"/>
      <c r="AD150" s="628"/>
      <c r="AE150" s="628"/>
      <c r="AF150" s="628"/>
      <c r="AG150" s="628"/>
      <c r="AH150" s="628"/>
      <c r="AI150" s="628"/>
      <c r="AJ150" s="628"/>
      <c r="AK150" s="628"/>
      <c r="AL150" s="628"/>
      <c r="AM150" s="628"/>
      <c r="AN150" s="628"/>
      <c r="AO150" s="628"/>
      <c r="AP150" s="628"/>
      <c r="AQ150" s="628"/>
      <c r="AR150" s="628"/>
      <c r="AS150" s="628"/>
      <c r="AT150" s="628"/>
      <c r="AU150" s="628"/>
      <c r="AV150" s="628"/>
      <c r="AW150" s="628"/>
      <c r="AX150" s="628"/>
      <c r="AY150" s="628"/>
      <c r="AZ150" s="628"/>
      <c r="BA150" s="628"/>
      <c r="BB150" s="628"/>
      <c r="BC150" s="628"/>
      <c r="BD150" s="628"/>
      <c r="BE150" s="628"/>
      <c r="BF150" s="628"/>
      <c r="BG150" s="628"/>
      <c r="BH150" s="628"/>
      <c r="BI150" s="628"/>
      <c r="BJ150" s="628"/>
      <c r="BK150" s="628"/>
      <c r="BL150" s="628"/>
      <c r="BM150" s="628"/>
      <c r="BN150" s="628"/>
      <c r="BO150" s="628"/>
      <c r="BP150" s="628"/>
      <c r="BQ150" s="628"/>
      <c r="BR150" s="628"/>
      <c r="BS150" s="628"/>
      <c r="BT150" s="628"/>
      <c r="BU150" s="628"/>
      <c r="BV150" s="628"/>
      <c r="BW150" s="628"/>
      <c r="BX150" s="628"/>
      <c r="BY150" s="628"/>
      <c r="BZ150" s="628"/>
      <c r="CA150" s="628"/>
      <c r="CB150" s="628"/>
      <c r="CC150" s="628"/>
      <c r="CD150" s="628"/>
      <c r="CE150" s="628"/>
      <c r="CF150" s="628"/>
      <c r="CG150" s="628"/>
      <c r="CH150" s="628"/>
      <c r="CI150" s="628"/>
      <c r="CJ150" s="628"/>
      <c r="CK150" s="628"/>
      <c r="CL150" s="628"/>
      <c r="CM150" s="628"/>
      <c r="CN150" s="628"/>
      <c r="CO150" s="628"/>
      <c r="CP150" s="628"/>
      <c r="CQ150" s="628"/>
      <c r="CR150" s="628"/>
      <c r="CS150" s="628"/>
      <c r="CT150" s="628"/>
      <c r="CU150" s="628"/>
      <c r="CV150" s="628"/>
      <c r="CW150" s="628"/>
      <c r="CX150" s="628"/>
      <c r="CY150" s="628"/>
      <c r="CZ150" s="628"/>
      <c r="DA150" s="628"/>
      <c r="DB150" s="628"/>
      <c r="DC150" s="628"/>
      <c r="DD150" s="628"/>
      <c r="DE150" s="628"/>
      <c r="DF150" s="628"/>
      <c r="DG150" s="628"/>
      <c r="DH150" s="628"/>
      <c r="DI150" s="628"/>
      <c r="DJ150" s="628"/>
      <c r="DK150" s="628"/>
      <c r="DL150" s="628"/>
      <c r="DM150" s="628"/>
      <c r="DN150" s="628"/>
      <c r="DO150" s="628"/>
      <c r="DP150" s="628"/>
      <c r="DQ150" s="628"/>
      <c r="DR150" s="628"/>
      <c r="DS150" s="628"/>
      <c r="DT150" s="628"/>
      <c r="DU150" s="628"/>
      <c r="DV150" s="628"/>
      <c r="DW150" s="628"/>
      <c r="DX150" s="628"/>
      <c r="DY150" s="628"/>
      <c r="DZ150" s="628"/>
      <c r="EA150" s="628"/>
      <c r="EB150" s="628"/>
      <c r="EC150" s="628"/>
      <c r="ED150" s="628"/>
      <c r="EE150" s="628"/>
      <c r="EF150" s="628"/>
      <c r="EG150" s="628"/>
      <c r="EH150" s="628"/>
      <c r="EI150" s="628"/>
      <c r="EJ150" s="628"/>
      <c r="EK150" s="628"/>
      <c r="EL150" s="628"/>
      <c r="EM150" s="628"/>
      <c r="EN150" s="628"/>
      <c r="EO150" s="628"/>
      <c r="EP150" s="628"/>
      <c r="EQ150" s="628"/>
      <c r="ER150" s="628"/>
      <c r="ES150" s="628"/>
      <c r="ET150" s="628"/>
      <c r="EU150" s="628"/>
      <c r="EV150" s="628"/>
      <c r="EW150" s="628"/>
      <c r="EX150" s="628"/>
      <c r="EY150" s="628"/>
      <c r="EZ150" s="628"/>
      <c r="FA150" s="628"/>
      <c r="FB150" s="628"/>
      <c r="FC150" s="628"/>
      <c r="FD150" s="628"/>
      <c r="FE150" s="628"/>
      <c r="FF150" s="628"/>
      <c r="FG150" s="628"/>
      <c r="FH150" s="628"/>
      <c r="FI150" s="628"/>
      <c r="FJ150" s="628"/>
      <c r="FK150" s="628"/>
      <c r="FL150" s="628"/>
      <c r="FM150" s="628"/>
      <c r="FN150" s="628"/>
      <c r="FO150" s="628"/>
      <c r="FP150" s="628"/>
      <c r="FQ150" s="628"/>
      <c r="FR150" s="628"/>
      <c r="FS150" s="628"/>
      <c r="FT150" s="628"/>
      <c r="FU150" s="628"/>
      <c r="FV150" s="628"/>
      <c r="FW150" s="628"/>
      <c r="FX150" s="628"/>
      <c r="FY150" s="629"/>
      <c r="FZ150" s="629"/>
      <c r="GA150" s="629"/>
      <c r="GB150" s="629"/>
      <c r="GC150" s="629"/>
      <c r="GD150" s="629"/>
      <c r="GE150" s="629"/>
      <c r="GF150" s="629"/>
      <c r="GG150" s="629"/>
      <c r="GH150" s="629"/>
      <c r="GI150" s="629"/>
      <c r="GJ150" s="629"/>
      <c r="GK150" s="629"/>
      <c r="GL150" s="629"/>
      <c r="GM150" s="629"/>
      <c r="GN150" s="629"/>
      <c r="GO150" s="629"/>
      <c r="GP150" s="628"/>
      <c r="GQ150" s="628"/>
      <c r="GR150" s="628"/>
      <c r="GS150" s="628"/>
      <c r="GT150" s="628"/>
      <c r="GU150" s="628"/>
      <c r="GV150" s="630"/>
      <c r="GW150" s="628"/>
      <c r="GX150" s="628"/>
      <c r="GY150" s="628"/>
      <c r="GZ150" s="628"/>
      <c r="HA150" s="628"/>
      <c r="HB150" s="628"/>
      <c r="HC150" s="628"/>
      <c r="HD150" s="628"/>
      <c r="HE150" s="628"/>
      <c r="HF150" s="628"/>
      <c r="HG150" s="628"/>
      <c r="HH150" s="628"/>
      <c r="HI150" s="628"/>
      <c r="HJ150" s="628"/>
      <c r="HK150" s="628"/>
      <c r="HL150" s="630"/>
      <c r="HM150" s="630"/>
      <c r="HN150" s="628"/>
      <c r="HO150" s="628"/>
      <c r="HP150" s="115"/>
      <c r="HQ150" s="115"/>
      <c r="HR150" s="115"/>
      <c r="HS150" s="115"/>
      <c r="HT150" s="115"/>
      <c r="HU150" s="115"/>
      <c r="HV150" s="115"/>
      <c r="HW150" s="115"/>
      <c r="HX150" s="115"/>
      <c r="HY150" s="115"/>
      <c r="HZ150" s="115"/>
      <c r="IA150" s="115"/>
      <c r="IB150" s="115"/>
      <c r="IC150" s="115"/>
      <c r="ID150" s="115"/>
      <c r="IE150" s="115"/>
      <c r="IF150" s="115"/>
      <c r="IG150" s="115"/>
      <c r="IH150" s="115"/>
      <c r="II150" s="115"/>
      <c r="IJ150" s="115"/>
      <c r="IK150" s="115"/>
      <c r="IL150" s="115"/>
      <c r="IM150" s="115"/>
      <c r="IN150" s="115"/>
      <c r="IO150" s="115"/>
      <c r="IP150" s="115"/>
      <c r="IQ150" s="115"/>
      <c r="IR150" s="115"/>
      <c r="IS150" s="115"/>
      <c r="IT150" s="115"/>
      <c r="IU150" s="115"/>
    </row>
    <row r="151" spans="1:255" s="108" customFormat="1" ht="15.6" customHeight="1" thickBot="1">
      <c r="A151" s="1"/>
      <c r="B151" s="1" t="s">
        <v>3072</v>
      </c>
      <c r="C151" s="1"/>
      <c r="D151" s="10"/>
      <c r="E151" s="1"/>
      <c r="F151" s="1575">
        <v>3600</v>
      </c>
      <c r="G151" s="1576"/>
      <c r="H151" s="1"/>
      <c r="I151" s="1578" t="s">
        <v>55</v>
      </c>
      <c r="J151" s="1579"/>
      <c r="K151" s="1586"/>
      <c r="L151" s="1587"/>
      <c r="M151" s="1"/>
      <c r="N151" s="1013" t="s">
        <v>3241</v>
      </c>
      <c r="O151" s="1014"/>
      <c r="P151" s="1014"/>
      <c r="T151" s="1497"/>
      <c r="U151" s="1498"/>
      <c r="V151" s="624"/>
      <c r="W151" s="624"/>
      <c r="X151" s="624"/>
      <c r="Y151" s="628"/>
      <c r="Z151" s="628"/>
      <c r="AA151" s="628"/>
      <c r="AB151" s="628"/>
      <c r="AC151" s="628"/>
      <c r="AD151" s="628"/>
      <c r="AE151" s="628"/>
      <c r="AF151" s="628"/>
      <c r="AG151" s="628"/>
      <c r="AH151" s="628"/>
      <c r="AI151" s="628"/>
      <c r="AJ151" s="628"/>
      <c r="AK151" s="628"/>
      <c r="AL151" s="628"/>
      <c r="AM151" s="628"/>
      <c r="AN151" s="628"/>
      <c r="AO151" s="628"/>
      <c r="AP151" s="628"/>
      <c r="AQ151" s="628"/>
      <c r="AR151" s="628"/>
      <c r="AS151" s="628"/>
      <c r="AT151" s="628"/>
      <c r="AU151" s="628"/>
      <c r="AV151" s="628"/>
      <c r="AW151" s="628"/>
      <c r="AX151" s="628"/>
      <c r="AY151" s="628"/>
      <c r="AZ151" s="628"/>
      <c r="BA151" s="628"/>
      <c r="BB151" s="628"/>
      <c r="BC151" s="628"/>
      <c r="BD151" s="628"/>
      <c r="BE151" s="628"/>
      <c r="BF151" s="628"/>
      <c r="BG151" s="628"/>
      <c r="BH151" s="628"/>
      <c r="BI151" s="628"/>
      <c r="BJ151" s="628"/>
      <c r="BK151" s="628"/>
      <c r="BL151" s="628"/>
      <c r="BM151" s="628"/>
      <c r="BN151" s="628"/>
      <c r="BO151" s="628"/>
      <c r="BP151" s="628"/>
      <c r="BQ151" s="628"/>
      <c r="BR151" s="628"/>
      <c r="BS151" s="628"/>
      <c r="BT151" s="628"/>
      <c r="BU151" s="628"/>
      <c r="BV151" s="628"/>
      <c r="BW151" s="628"/>
      <c r="BX151" s="628"/>
      <c r="BY151" s="628"/>
      <c r="BZ151" s="628"/>
      <c r="CA151" s="628"/>
      <c r="CB151" s="628"/>
      <c r="CC151" s="628"/>
      <c r="CD151" s="628"/>
      <c r="CE151" s="628"/>
      <c r="CF151" s="628"/>
      <c r="CG151" s="628"/>
      <c r="CH151" s="628"/>
      <c r="CI151" s="628"/>
      <c r="CJ151" s="628"/>
      <c r="CK151" s="628"/>
      <c r="CL151" s="628"/>
      <c r="CM151" s="628"/>
      <c r="CN151" s="628"/>
      <c r="CO151" s="628"/>
      <c r="CP151" s="628"/>
      <c r="CQ151" s="628"/>
      <c r="CR151" s="628"/>
      <c r="CS151" s="628"/>
      <c r="CT151" s="628"/>
      <c r="CU151" s="628"/>
      <c r="CV151" s="628"/>
      <c r="CW151" s="628"/>
      <c r="CX151" s="628"/>
      <c r="CY151" s="628"/>
      <c r="CZ151" s="628"/>
      <c r="DA151" s="628"/>
      <c r="DB151" s="628"/>
      <c r="DC151" s="628"/>
      <c r="DD151" s="628"/>
      <c r="DE151" s="628"/>
      <c r="DF151" s="628"/>
      <c r="DG151" s="628"/>
      <c r="DH151" s="628"/>
      <c r="DI151" s="628"/>
      <c r="DJ151" s="628"/>
      <c r="DK151" s="628"/>
      <c r="DL151" s="628"/>
      <c r="DM151" s="628"/>
      <c r="DN151" s="628"/>
      <c r="DO151" s="628"/>
      <c r="DP151" s="628"/>
      <c r="DQ151" s="628"/>
      <c r="DR151" s="628"/>
      <c r="DS151" s="628"/>
      <c r="DT151" s="628"/>
      <c r="DU151" s="628"/>
      <c r="DV151" s="628"/>
      <c r="DW151" s="628"/>
      <c r="DX151" s="628"/>
      <c r="DY151" s="628"/>
      <c r="DZ151" s="628"/>
      <c r="EA151" s="628"/>
      <c r="EB151" s="628"/>
      <c r="EC151" s="628"/>
      <c r="ED151" s="628"/>
      <c r="EE151" s="628"/>
      <c r="EF151" s="628"/>
      <c r="EG151" s="628"/>
      <c r="EH151" s="628"/>
      <c r="EI151" s="628"/>
      <c r="EJ151" s="628"/>
      <c r="EK151" s="628"/>
      <c r="EL151" s="628"/>
      <c r="EM151" s="628"/>
      <c r="EN151" s="628"/>
      <c r="EO151" s="628"/>
      <c r="EP151" s="628"/>
      <c r="EQ151" s="628"/>
      <c r="ER151" s="628"/>
      <c r="ES151" s="628"/>
      <c r="ET151" s="628"/>
      <c r="EU151" s="628"/>
      <c r="EV151" s="628"/>
      <c r="EW151" s="628"/>
      <c r="EX151" s="628"/>
      <c r="EY151" s="628"/>
      <c r="EZ151" s="628"/>
      <c r="FA151" s="628"/>
      <c r="FB151" s="628"/>
      <c r="FC151" s="628"/>
      <c r="FD151" s="628"/>
      <c r="FE151" s="628"/>
      <c r="FF151" s="628"/>
      <c r="FG151" s="628"/>
      <c r="FH151" s="628"/>
      <c r="FI151" s="628"/>
      <c r="FJ151" s="628"/>
      <c r="FK151" s="628"/>
      <c r="FL151" s="628"/>
      <c r="FM151" s="628"/>
      <c r="FN151" s="628"/>
      <c r="FO151" s="628"/>
      <c r="FP151" s="628"/>
      <c r="FQ151" s="628"/>
      <c r="FR151" s="628"/>
      <c r="FS151" s="628"/>
      <c r="FT151" s="628"/>
      <c r="FU151" s="628"/>
      <c r="FV151" s="628"/>
      <c r="FW151" s="628"/>
      <c r="FX151" s="628"/>
      <c r="FY151" s="629"/>
      <c r="FZ151" s="629"/>
      <c r="GA151" s="629"/>
      <c r="GB151" s="629"/>
      <c r="GC151" s="629"/>
      <c r="GD151" s="629"/>
      <c r="GE151" s="629"/>
      <c r="GF151" s="629"/>
      <c r="GG151" s="629"/>
      <c r="GH151" s="629"/>
      <c r="GI151" s="629"/>
      <c r="GJ151" s="629"/>
      <c r="GK151" s="629"/>
      <c r="GL151" s="629"/>
      <c r="GM151" s="629"/>
      <c r="GN151" s="629"/>
      <c r="GO151" s="629"/>
      <c r="GP151" s="628"/>
      <c r="GQ151" s="628"/>
      <c r="GR151" s="628"/>
      <c r="GS151" s="628"/>
      <c r="GT151" s="628"/>
      <c r="GU151" s="628"/>
      <c r="GV151" s="630"/>
      <c r="GW151" s="628"/>
      <c r="GX151" s="628"/>
      <c r="GY151" s="628"/>
      <c r="GZ151" s="628"/>
      <c r="HA151" s="628"/>
      <c r="HB151" s="628"/>
      <c r="HC151" s="628"/>
      <c r="HD151" s="628"/>
      <c r="HE151" s="628"/>
      <c r="HF151" s="628"/>
      <c r="HG151" s="628"/>
      <c r="HH151" s="628"/>
      <c r="HI151" s="628"/>
      <c r="HJ151" s="628"/>
      <c r="HK151" s="628"/>
      <c r="HL151" s="630"/>
      <c r="HM151" s="630"/>
      <c r="HN151" s="628"/>
      <c r="HO151" s="628"/>
      <c r="HP151" s="115"/>
      <c r="HQ151" s="115"/>
      <c r="HR151" s="115"/>
      <c r="HS151" s="115"/>
      <c r="HT151" s="115"/>
      <c r="HU151" s="115"/>
      <c r="HV151" s="115"/>
      <c r="HW151" s="115"/>
      <c r="HX151" s="115"/>
      <c r="HY151" s="115"/>
      <c r="HZ151" s="115"/>
      <c r="IA151" s="115"/>
      <c r="IB151" s="115"/>
      <c r="IC151" s="115"/>
      <c r="ID151" s="115"/>
      <c r="IE151" s="115"/>
      <c r="IF151" s="115"/>
      <c r="IG151" s="115"/>
      <c r="IH151" s="115"/>
      <c r="II151" s="115"/>
      <c r="IJ151" s="115"/>
      <c r="IK151" s="115"/>
      <c r="IL151" s="115"/>
      <c r="IM151" s="115"/>
      <c r="IN151" s="115"/>
      <c r="IO151" s="115"/>
      <c r="IP151" s="115"/>
      <c r="IQ151" s="115"/>
      <c r="IR151" s="115"/>
      <c r="IS151" s="115"/>
      <c r="IT151" s="115"/>
      <c r="IU151" s="115"/>
    </row>
    <row r="152" spans="1:255" s="108" customFormat="1" ht="15.6" customHeight="1" thickTop="1">
      <c r="A152" s="1"/>
      <c r="B152" s="1" t="s">
        <v>2065</v>
      </c>
      <c r="C152" s="1"/>
      <c r="D152" s="10"/>
      <c r="E152" s="1"/>
      <c r="F152" s="1575"/>
      <c r="G152" s="1576"/>
      <c r="H152" s="1"/>
      <c r="I152" s="11"/>
      <c r="J152" s="13" t="s">
        <v>209</v>
      </c>
      <c r="K152" s="1017">
        <f>SUM(K148:K151)</f>
        <v>23000</v>
      </c>
      <c r="L152" s="1018"/>
      <c r="M152" s="1"/>
      <c r="N152" s="1014"/>
      <c r="O152" s="1014"/>
      <c r="P152" s="1014"/>
      <c r="T152" s="1500"/>
      <c r="U152" s="1501"/>
      <c r="V152" s="624"/>
      <c r="W152" s="624"/>
      <c r="X152" s="624"/>
      <c r="Y152" s="628"/>
      <c r="Z152" s="628"/>
      <c r="AA152" s="628"/>
      <c r="AB152" s="628"/>
      <c r="AC152" s="628"/>
      <c r="AD152" s="628"/>
      <c r="AE152" s="628"/>
      <c r="AF152" s="628"/>
      <c r="AG152" s="628"/>
      <c r="AH152" s="628"/>
      <c r="AI152" s="628"/>
      <c r="AJ152" s="628"/>
      <c r="AK152" s="628"/>
      <c r="AL152" s="628"/>
      <c r="AM152" s="628"/>
      <c r="AN152" s="628"/>
      <c r="AO152" s="628"/>
      <c r="AP152" s="628"/>
      <c r="AQ152" s="628"/>
      <c r="AR152" s="628"/>
      <c r="AS152" s="628"/>
      <c r="AT152" s="628"/>
      <c r="AU152" s="628"/>
      <c r="AV152" s="628"/>
      <c r="AW152" s="628"/>
      <c r="AX152" s="628"/>
      <c r="AY152" s="628"/>
      <c r="AZ152" s="628"/>
      <c r="BA152" s="628"/>
      <c r="BB152" s="628"/>
      <c r="BC152" s="628"/>
      <c r="BD152" s="628"/>
      <c r="BE152" s="628"/>
      <c r="BF152" s="628"/>
      <c r="BG152" s="628"/>
      <c r="BH152" s="628"/>
      <c r="BI152" s="628"/>
      <c r="BJ152" s="628"/>
      <c r="BK152" s="628"/>
      <c r="BL152" s="628"/>
      <c r="BM152" s="628"/>
      <c r="BN152" s="628"/>
      <c r="BO152" s="628"/>
      <c r="BP152" s="628"/>
      <c r="BQ152" s="628"/>
      <c r="BR152" s="628"/>
      <c r="BS152" s="628"/>
      <c r="BT152" s="628"/>
      <c r="BU152" s="628"/>
      <c r="BV152" s="628"/>
      <c r="BW152" s="628"/>
      <c r="BX152" s="628"/>
      <c r="BY152" s="628"/>
      <c r="BZ152" s="628"/>
      <c r="CA152" s="628"/>
      <c r="CB152" s="628"/>
      <c r="CC152" s="628"/>
      <c r="CD152" s="628"/>
      <c r="CE152" s="628"/>
      <c r="CF152" s="628"/>
      <c r="CG152" s="628"/>
      <c r="CH152" s="628"/>
      <c r="CI152" s="628"/>
      <c r="CJ152" s="628"/>
      <c r="CK152" s="628"/>
      <c r="CL152" s="628"/>
      <c r="CM152" s="628"/>
      <c r="CN152" s="628"/>
      <c r="CO152" s="628"/>
      <c r="CP152" s="628"/>
      <c r="CQ152" s="628"/>
      <c r="CR152" s="628"/>
      <c r="CS152" s="628"/>
      <c r="CT152" s="628"/>
      <c r="CU152" s="628"/>
      <c r="CV152" s="628"/>
      <c r="CW152" s="628"/>
      <c r="CX152" s="628"/>
      <c r="CY152" s="628"/>
      <c r="CZ152" s="628"/>
      <c r="DA152" s="628"/>
      <c r="DB152" s="628"/>
      <c r="DC152" s="628"/>
      <c r="DD152" s="628"/>
      <c r="DE152" s="628"/>
      <c r="DF152" s="628"/>
      <c r="DG152" s="628"/>
      <c r="DH152" s="628"/>
      <c r="DI152" s="628"/>
      <c r="DJ152" s="628"/>
      <c r="DK152" s="628"/>
      <c r="DL152" s="628"/>
      <c r="DM152" s="628"/>
      <c r="DN152" s="628"/>
      <c r="DO152" s="628"/>
      <c r="DP152" s="628"/>
      <c r="DQ152" s="628"/>
      <c r="DR152" s="628"/>
      <c r="DS152" s="628"/>
      <c r="DT152" s="628"/>
      <c r="DU152" s="628"/>
      <c r="DV152" s="628"/>
      <c r="DW152" s="628"/>
      <c r="DX152" s="628"/>
      <c r="DY152" s="628"/>
      <c r="DZ152" s="628"/>
      <c r="EA152" s="628"/>
      <c r="EB152" s="628"/>
      <c r="EC152" s="628"/>
      <c r="ED152" s="628"/>
      <c r="EE152" s="628"/>
      <c r="EF152" s="628"/>
      <c r="EG152" s="628"/>
      <c r="EH152" s="628"/>
      <c r="EI152" s="628"/>
      <c r="EJ152" s="628"/>
      <c r="EK152" s="628"/>
      <c r="EL152" s="628"/>
      <c r="EM152" s="628"/>
      <c r="EN152" s="628"/>
      <c r="EO152" s="628"/>
      <c r="EP152" s="628"/>
      <c r="EQ152" s="628"/>
      <c r="ER152" s="628"/>
      <c r="ES152" s="628"/>
      <c r="ET152" s="628"/>
      <c r="EU152" s="628"/>
      <c r="EV152" s="628"/>
      <c r="EW152" s="628"/>
      <c r="EX152" s="628"/>
      <c r="EY152" s="628"/>
      <c r="EZ152" s="628"/>
      <c r="FA152" s="628"/>
      <c r="FB152" s="628"/>
      <c r="FC152" s="628"/>
      <c r="FD152" s="628"/>
      <c r="FE152" s="628"/>
      <c r="FF152" s="628"/>
      <c r="FG152" s="628"/>
      <c r="FH152" s="628"/>
      <c r="FI152" s="628"/>
      <c r="FJ152" s="628"/>
      <c r="FK152" s="628"/>
      <c r="FL152" s="628"/>
      <c r="FM152" s="628"/>
      <c r="FN152" s="628"/>
      <c r="FO152" s="628"/>
      <c r="FP152" s="628"/>
      <c r="FQ152" s="628"/>
      <c r="FR152" s="628"/>
      <c r="FS152" s="628"/>
      <c r="FT152" s="628"/>
      <c r="FU152" s="628"/>
      <c r="FV152" s="628"/>
      <c r="FW152" s="628"/>
      <c r="FX152" s="628"/>
      <c r="FY152" s="629"/>
      <c r="FZ152" s="629"/>
      <c r="GA152" s="629"/>
      <c r="GB152" s="629"/>
      <c r="GC152" s="629"/>
      <c r="GD152" s="629"/>
      <c r="GE152" s="629"/>
      <c r="GF152" s="629"/>
      <c r="GG152" s="629"/>
      <c r="GH152" s="629"/>
      <c r="GI152" s="629"/>
      <c r="GJ152" s="629"/>
      <c r="GK152" s="629"/>
      <c r="GL152" s="629"/>
      <c r="GM152" s="629"/>
      <c r="GN152" s="629"/>
      <c r="GO152" s="629"/>
      <c r="GP152" s="628"/>
      <c r="GQ152" s="628"/>
      <c r="GR152" s="628"/>
      <c r="GS152" s="628"/>
      <c r="GT152" s="628"/>
      <c r="GU152" s="628"/>
      <c r="GV152" s="630"/>
      <c r="GW152" s="628"/>
      <c r="GX152" s="628"/>
      <c r="GY152" s="628"/>
      <c r="GZ152" s="628"/>
      <c r="HA152" s="628"/>
      <c r="HB152" s="628"/>
      <c r="HC152" s="628"/>
      <c r="HD152" s="628"/>
      <c r="HE152" s="628"/>
      <c r="HF152" s="628"/>
      <c r="HG152" s="628"/>
      <c r="HH152" s="628"/>
      <c r="HI152" s="628"/>
      <c r="HJ152" s="628"/>
      <c r="HK152" s="628"/>
      <c r="HL152" s="630"/>
      <c r="HM152" s="630"/>
      <c r="HN152" s="628"/>
      <c r="HO152" s="628"/>
      <c r="HP152" s="115"/>
      <c r="HQ152" s="115"/>
      <c r="HR152" s="115"/>
      <c r="HS152" s="115"/>
      <c r="HT152" s="115"/>
      <c r="HU152" s="115"/>
      <c r="HV152" s="115"/>
      <c r="HW152" s="115"/>
      <c r="HX152" s="115"/>
      <c r="HY152" s="115"/>
      <c r="HZ152" s="115"/>
      <c r="IA152" s="115"/>
      <c r="IB152" s="115"/>
      <c r="IC152" s="115"/>
      <c r="ID152" s="115"/>
      <c r="IE152" s="115"/>
      <c r="IF152" s="115"/>
      <c r="IG152" s="115"/>
      <c r="IH152" s="115"/>
      <c r="II152" s="115"/>
      <c r="IJ152" s="115"/>
      <c r="IK152" s="115"/>
      <c r="IL152" s="115"/>
      <c r="IM152" s="115"/>
      <c r="IN152" s="115"/>
      <c r="IO152" s="115"/>
      <c r="IP152" s="115"/>
      <c r="IQ152" s="115"/>
      <c r="IR152" s="115"/>
      <c r="IS152" s="115"/>
      <c r="IT152" s="115"/>
      <c r="IU152" s="115"/>
    </row>
    <row r="153" spans="1:255" s="108" customFormat="1" ht="15.6" customHeight="1" thickBot="1">
      <c r="A153" s="1"/>
      <c r="B153" s="1581" t="s">
        <v>4165</v>
      </c>
      <c r="C153" s="1582"/>
      <c r="D153" s="1582"/>
      <c r="E153" s="1583"/>
      <c r="F153" s="1584">
        <f>25000+2400</f>
        <v>27400</v>
      </c>
      <c r="G153" s="1585"/>
      <c r="H153" s="1"/>
      <c r="I153" s="1"/>
      <c r="J153" s="14"/>
      <c r="K153" s="1"/>
      <c r="L153" s="1"/>
      <c r="M153" s="1"/>
      <c r="N153" s="1"/>
      <c r="O153" s="1"/>
      <c r="P153" s="1"/>
      <c r="T153" s="1495"/>
      <c r="U153" s="1496"/>
      <c r="V153" s="624"/>
      <c r="W153" s="624"/>
      <c r="X153" s="624"/>
      <c r="Y153" s="628"/>
      <c r="Z153" s="628"/>
      <c r="AA153" s="628"/>
      <c r="AB153" s="628"/>
      <c r="AC153" s="628"/>
      <c r="AD153" s="628"/>
      <c r="AE153" s="628"/>
      <c r="AF153" s="628"/>
      <c r="AG153" s="628"/>
      <c r="AH153" s="628"/>
      <c r="AI153" s="628"/>
      <c r="AJ153" s="628"/>
      <c r="AK153" s="628"/>
      <c r="AL153" s="628"/>
      <c r="AM153" s="628"/>
      <c r="AN153" s="628"/>
      <c r="AO153" s="628"/>
      <c r="AP153" s="628"/>
      <c r="AQ153" s="628"/>
      <c r="AR153" s="628"/>
      <c r="AS153" s="628"/>
      <c r="AT153" s="628"/>
      <c r="AU153" s="628"/>
      <c r="AV153" s="628"/>
      <c r="AW153" s="628"/>
      <c r="AX153" s="628"/>
      <c r="AY153" s="628"/>
      <c r="AZ153" s="628"/>
      <c r="BA153" s="628"/>
      <c r="BB153" s="628"/>
      <c r="BC153" s="628"/>
      <c r="BD153" s="628"/>
      <c r="BE153" s="628"/>
      <c r="BF153" s="628"/>
      <c r="BG153" s="628"/>
      <c r="BH153" s="628"/>
      <c r="BI153" s="628"/>
      <c r="BJ153" s="628"/>
      <c r="BK153" s="628"/>
      <c r="BL153" s="628"/>
      <c r="BM153" s="628"/>
      <c r="BN153" s="628"/>
      <c r="BO153" s="628"/>
      <c r="BP153" s="628"/>
      <c r="BQ153" s="628"/>
      <c r="BR153" s="628"/>
      <c r="BS153" s="628"/>
      <c r="BT153" s="628"/>
      <c r="BU153" s="628"/>
      <c r="BV153" s="628"/>
      <c r="BW153" s="628"/>
      <c r="BX153" s="628"/>
      <c r="BY153" s="628"/>
      <c r="BZ153" s="628"/>
      <c r="CA153" s="628"/>
      <c r="CB153" s="628"/>
      <c r="CC153" s="628"/>
      <c r="CD153" s="628"/>
      <c r="CE153" s="628"/>
      <c r="CF153" s="628"/>
      <c r="CG153" s="628"/>
      <c r="CH153" s="628"/>
      <c r="CI153" s="628"/>
      <c r="CJ153" s="628"/>
      <c r="CK153" s="628"/>
      <c r="CL153" s="628"/>
      <c r="CM153" s="628"/>
      <c r="CN153" s="628"/>
      <c r="CO153" s="628"/>
      <c r="CP153" s="628"/>
      <c r="CQ153" s="628"/>
      <c r="CR153" s="628"/>
      <c r="CS153" s="628"/>
      <c r="CT153" s="628"/>
      <c r="CU153" s="628"/>
      <c r="CV153" s="628"/>
      <c r="CW153" s="628"/>
      <c r="CX153" s="628"/>
      <c r="CY153" s="628"/>
      <c r="CZ153" s="628"/>
      <c r="DA153" s="628"/>
      <c r="DB153" s="628"/>
      <c r="DC153" s="628"/>
      <c r="DD153" s="628"/>
      <c r="DE153" s="628"/>
      <c r="DF153" s="628"/>
      <c r="DG153" s="628"/>
      <c r="DH153" s="628"/>
      <c r="DI153" s="628"/>
      <c r="DJ153" s="628"/>
      <c r="DK153" s="628"/>
      <c r="DL153" s="628"/>
      <c r="DM153" s="628"/>
      <c r="DN153" s="628"/>
      <c r="DO153" s="628"/>
      <c r="DP153" s="628"/>
      <c r="DQ153" s="628"/>
      <c r="DR153" s="628"/>
      <c r="DS153" s="628"/>
      <c r="DT153" s="628"/>
      <c r="DU153" s="628"/>
      <c r="DV153" s="628"/>
      <c r="DW153" s="628"/>
      <c r="DX153" s="628"/>
      <c r="DY153" s="628"/>
      <c r="DZ153" s="628"/>
      <c r="EA153" s="628"/>
      <c r="EB153" s="628"/>
      <c r="EC153" s="628"/>
      <c r="ED153" s="628"/>
      <c r="EE153" s="628"/>
      <c r="EF153" s="628"/>
      <c r="EG153" s="628"/>
      <c r="EH153" s="628"/>
      <c r="EI153" s="628"/>
      <c r="EJ153" s="628"/>
      <c r="EK153" s="628"/>
      <c r="EL153" s="628"/>
      <c r="EM153" s="628"/>
      <c r="EN153" s="628"/>
      <c r="EO153" s="628"/>
      <c r="EP153" s="628"/>
      <c r="EQ153" s="628"/>
      <c r="ER153" s="628"/>
      <c r="ES153" s="628"/>
      <c r="ET153" s="628"/>
      <c r="EU153" s="628"/>
      <c r="EV153" s="628"/>
      <c r="EW153" s="628"/>
      <c r="EX153" s="628"/>
      <c r="EY153" s="628"/>
      <c r="EZ153" s="628"/>
      <c r="FA153" s="628"/>
      <c r="FB153" s="628"/>
      <c r="FC153" s="628"/>
      <c r="FD153" s="628"/>
      <c r="FE153" s="628"/>
      <c r="FF153" s="628"/>
      <c r="FG153" s="628"/>
      <c r="FH153" s="628"/>
      <c r="FI153" s="628"/>
      <c r="FJ153" s="628"/>
      <c r="FK153" s="628"/>
      <c r="FL153" s="628"/>
      <c r="FM153" s="628"/>
      <c r="FN153" s="628"/>
      <c r="FO153" s="628"/>
      <c r="FP153" s="628"/>
      <c r="FQ153" s="628"/>
      <c r="FR153" s="628"/>
      <c r="FS153" s="628"/>
      <c r="FT153" s="628"/>
      <c r="FU153" s="628"/>
      <c r="FV153" s="628"/>
      <c r="FW153" s="628"/>
      <c r="FX153" s="628"/>
      <c r="FY153" s="629"/>
      <c r="FZ153" s="629"/>
      <c r="GA153" s="629"/>
      <c r="GB153" s="629"/>
      <c r="GC153" s="629"/>
      <c r="GD153" s="629"/>
      <c r="GE153" s="629"/>
      <c r="GF153" s="629"/>
      <c r="GG153" s="629"/>
      <c r="GH153" s="629"/>
      <c r="GI153" s="629"/>
      <c r="GJ153" s="629"/>
      <c r="GK153" s="629"/>
      <c r="GL153" s="629"/>
      <c r="GM153" s="629"/>
      <c r="GN153" s="629"/>
      <c r="GO153" s="629"/>
      <c r="GP153" s="628"/>
      <c r="GQ153" s="628"/>
      <c r="GR153" s="628"/>
      <c r="GS153" s="628"/>
      <c r="GT153" s="628"/>
      <c r="GU153" s="628"/>
      <c r="GV153" s="630"/>
      <c r="GW153" s="628"/>
      <c r="GX153" s="628"/>
      <c r="GY153" s="628"/>
      <c r="GZ153" s="628"/>
      <c r="HA153" s="628"/>
      <c r="HB153" s="628"/>
      <c r="HC153" s="628"/>
      <c r="HD153" s="628"/>
      <c r="HE153" s="628"/>
      <c r="HF153" s="628"/>
      <c r="HG153" s="628"/>
      <c r="HH153" s="628"/>
      <c r="HI153" s="628"/>
      <c r="HJ153" s="628"/>
      <c r="HK153" s="628"/>
      <c r="HL153" s="630"/>
      <c r="HM153" s="630"/>
      <c r="HN153" s="628"/>
      <c r="HO153" s="628"/>
      <c r="HP153" s="115"/>
      <c r="HQ153" s="115"/>
      <c r="HR153" s="115"/>
      <c r="HS153" s="115"/>
      <c r="HT153" s="115"/>
      <c r="HU153" s="115"/>
      <c r="HV153" s="115"/>
      <c r="HW153" s="115"/>
      <c r="HX153" s="115"/>
      <c r="HY153" s="115"/>
      <c r="HZ153" s="115"/>
      <c r="IA153" s="115"/>
      <c r="IB153" s="115"/>
      <c r="IC153" s="115"/>
      <c r="ID153" s="115"/>
      <c r="IE153" s="115"/>
      <c r="IF153" s="115"/>
      <c r="IG153" s="115"/>
      <c r="IH153" s="115"/>
      <c r="II153" s="115"/>
      <c r="IJ153" s="115"/>
      <c r="IK153" s="115"/>
      <c r="IL153" s="115"/>
      <c r="IM153" s="115"/>
      <c r="IN153" s="115"/>
      <c r="IO153" s="115"/>
      <c r="IP153" s="115"/>
      <c r="IQ153" s="115"/>
      <c r="IR153" s="115"/>
      <c r="IS153" s="115"/>
      <c r="IT153" s="115"/>
      <c r="IU153" s="115"/>
    </row>
    <row r="154" spans="1:255" s="108" customFormat="1" ht="15.6" customHeight="1" thickTop="1">
      <c r="A154" s="1"/>
      <c r="B154" s="1"/>
      <c r="C154" s="13" t="s">
        <v>209</v>
      </c>
      <c r="D154" s="1"/>
      <c r="E154" s="1"/>
      <c r="F154" s="1019">
        <f>SUM(F148:G153)</f>
        <v>41550</v>
      </c>
      <c r="G154" s="1020"/>
      <c r="H154" s="1"/>
      <c r="I154" s="1"/>
      <c r="J154" s="14"/>
      <c r="K154" s="1"/>
      <c r="L154" s="1"/>
      <c r="M154" s="1"/>
      <c r="N154" s="1"/>
      <c r="O154" s="1"/>
      <c r="P154" s="1"/>
      <c r="T154" s="1497"/>
      <c r="U154" s="1498"/>
      <c r="V154" s="624"/>
      <c r="W154" s="624"/>
      <c r="X154" s="624"/>
      <c r="Y154" s="628"/>
      <c r="Z154" s="628"/>
      <c r="AA154" s="628"/>
      <c r="AB154" s="628"/>
      <c r="AC154" s="628"/>
      <c r="AD154" s="628"/>
      <c r="AE154" s="628"/>
      <c r="AF154" s="628"/>
      <c r="AG154" s="628"/>
      <c r="AH154" s="628"/>
      <c r="AI154" s="628"/>
      <c r="AJ154" s="628"/>
      <c r="AK154" s="628"/>
      <c r="AL154" s="628"/>
      <c r="AM154" s="628"/>
      <c r="AN154" s="628"/>
      <c r="AO154" s="628"/>
      <c r="AP154" s="628"/>
      <c r="AQ154" s="628"/>
      <c r="AR154" s="628"/>
      <c r="AS154" s="628"/>
      <c r="AT154" s="628"/>
      <c r="AU154" s="628"/>
      <c r="AV154" s="628"/>
      <c r="AW154" s="628"/>
      <c r="AX154" s="628"/>
      <c r="AY154" s="628"/>
      <c r="AZ154" s="628"/>
      <c r="BA154" s="628"/>
      <c r="BB154" s="628"/>
      <c r="BC154" s="628"/>
      <c r="BD154" s="628"/>
      <c r="BE154" s="628"/>
      <c r="BF154" s="628"/>
      <c r="BG154" s="628"/>
      <c r="BH154" s="628"/>
      <c r="BI154" s="628"/>
      <c r="BJ154" s="628"/>
      <c r="BK154" s="628"/>
      <c r="BL154" s="628"/>
      <c r="BM154" s="628"/>
      <c r="BN154" s="628"/>
      <c r="BO154" s="628"/>
      <c r="BP154" s="628"/>
      <c r="BQ154" s="628"/>
      <c r="BR154" s="628"/>
      <c r="BS154" s="628"/>
      <c r="BT154" s="628"/>
      <c r="BU154" s="628"/>
      <c r="BV154" s="628"/>
      <c r="BW154" s="628"/>
      <c r="BX154" s="628"/>
      <c r="BY154" s="628"/>
      <c r="BZ154" s="628"/>
      <c r="CA154" s="628"/>
      <c r="CB154" s="628"/>
      <c r="CC154" s="628"/>
      <c r="CD154" s="628"/>
      <c r="CE154" s="628"/>
      <c r="CF154" s="628"/>
      <c r="CG154" s="628"/>
      <c r="CH154" s="628"/>
      <c r="CI154" s="628"/>
      <c r="CJ154" s="628"/>
      <c r="CK154" s="628"/>
      <c r="CL154" s="628"/>
      <c r="CM154" s="628"/>
      <c r="CN154" s="628"/>
      <c r="CO154" s="628"/>
      <c r="CP154" s="628"/>
      <c r="CQ154" s="628"/>
      <c r="CR154" s="628"/>
      <c r="CS154" s="628"/>
      <c r="CT154" s="628"/>
      <c r="CU154" s="628"/>
      <c r="CV154" s="628"/>
      <c r="CW154" s="628"/>
      <c r="CX154" s="628"/>
      <c r="CY154" s="628"/>
      <c r="CZ154" s="628"/>
      <c r="DA154" s="628"/>
      <c r="DB154" s="628"/>
      <c r="DC154" s="628"/>
      <c r="DD154" s="628"/>
      <c r="DE154" s="628"/>
      <c r="DF154" s="628"/>
      <c r="DG154" s="628"/>
      <c r="DH154" s="628"/>
      <c r="DI154" s="628"/>
      <c r="DJ154" s="628"/>
      <c r="DK154" s="628"/>
      <c r="DL154" s="628"/>
      <c r="DM154" s="628"/>
      <c r="DN154" s="628"/>
      <c r="DO154" s="628"/>
      <c r="DP154" s="628"/>
      <c r="DQ154" s="628"/>
      <c r="DR154" s="628"/>
      <c r="DS154" s="628"/>
      <c r="DT154" s="628"/>
      <c r="DU154" s="628"/>
      <c r="DV154" s="628"/>
      <c r="DW154" s="628"/>
      <c r="DX154" s="628"/>
      <c r="DY154" s="628"/>
      <c r="DZ154" s="628"/>
      <c r="EA154" s="628"/>
      <c r="EB154" s="628"/>
      <c r="EC154" s="628"/>
      <c r="ED154" s="628"/>
      <c r="EE154" s="628"/>
      <c r="EF154" s="628"/>
      <c r="EG154" s="628"/>
      <c r="EH154" s="628"/>
      <c r="EI154" s="628"/>
      <c r="EJ154" s="628"/>
      <c r="EK154" s="628"/>
      <c r="EL154" s="628"/>
      <c r="EM154" s="628"/>
      <c r="EN154" s="628"/>
      <c r="EO154" s="628"/>
      <c r="EP154" s="628"/>
      <c r="EQ154" s="628"/>
      <c r="ER154" s="628"/>
      <c r="ES154" s="628"/>
      <c r="ET154" s="628"/>
      <c r="EU154" s="628"/>
      <c r="EV154" s="628"/>
      <c r="EW154" s="628"/>
      <c r="EX154" s="628"/>
      <c r="EY154" s="628"/>
      <c r="EZ154" s="628"/>
      <c r="FA154" s="628"/>
      <c r="FB154" s="628"/>
      <c r="FC154" s="628"/>
      <c r="FD154" s="628"/>
      <c r="FE154" s="628"/>
      <c r="FF154" s="628"/>
      <c r="FG154" s="628"/>
      <c r="FH154" s="628"/>
      <c r="FI154" s="628"/>
      <c r="FJ154" s="628"/>
      <c r="FK154" s="628"/>
      <c r="FL154" s="628"/>
      <c r="FM154" s="628"/>
      <c r="FN154" s="628"/>
      <c r="FO154" s="628"/>
      <c r="FP154" s="628"/>
      <c r="FQ154" s="628"/>
      <c r="FR154" s="628"/>
      <c r="FS154" s="628"/>
      <c r="FT154" s="628"/>
      <c r="FU154" s="628"/>
      <c r="FV154" s="628"/>
      <c r="FW154" s="628"/>
      <c r="FX154" s="628"/>
      <c r="FY154" s="629"/>
      <c r="FZ154" s="629"/>
      <c r="GA154" s="629"/>
      <c r="GB154" s="629"/>
      <c r="GC154" s="629"/>
      <c r="GD154" s="629"/>
      <c r="GE154" s="629"/>
      <c r="GF154" s="629"/>
      <c r="GG154" s="629"/>
      <c r="GH154" s="629"/>
      <c r="GI154" s="629"/>
      <c r="GJ154" s="629"/>
      <c r="GK154" s="629"/>
      <c r="GL154" s="629"/>
      <c r="GM154" s="629"/>
      <c r="GN154" s="629"/>
      <c r="GO154" s="629"/>
      <c r="GP154" s="628"/>
      <c r="GQ154" s="628"/>
      <c r="GR154" s="628"/>
      <c r="GS154" s="628"/>
      <c r="GT154" s="628"/>
      <c r="GU154" s="628"/>
      <c r="GV154" s="630"/>
      <c r="GW154" s="628"/>
      <c r="GX154" s="628"/>
      <c r="GY154" s="628"/>
      <c r="GZ154" s="628"/>
      <c r="HA154" s="628"/>
      <c r="HB154" s="628"/>
      <c r="HC154" s="628"/>
      <c r="HD154" s="628"/>
      <c r="HE154" s="628"/>
      <c r="HF154" s="628"/>
      <c r="HG154" s="628"/>
      <c r="HH154" s="628"/>
      <c r="HI154" s="628"/>
      <c r="HJ154" s="628"/>
      <c r="HK154" s="628"/>
      <c r="HL154" s="630"/>
      <c r="HM154" s="630"/>
      <c r="HN154" s="628"/>
      <c r="HO154" s="628"/>
      <c r="HP154" s="115"/>
      <c r="HQ154" s="115"/>
      <c r="HR154" s="115"/>
      <c r="HS154" s="115"/>
      <c r="HT154" s="115"/>
      <c r="HU154" s="115"/>
      <c r="HV154" s="115"/>
      <c r="HW154" s="115"/>
      <c r="HX154" s="115"/>
      <c r="HY154" s="115"/>
      <c r="HZ154" s="115"/>
      <c r="IA154" s="115"/>
      <c r="IB154" s="115"/>
      <c r="IC154" s="115"/>
      <c r="ID154" s="115"/>
      <c r="IE154" s="115"/>
      <c r="IF154" s="115"/>
      <c r="IG154" s="115"/>
      <c r="IH154" s="115"/>
      <c r="II154" s="115"/>
      <c r="IJ154" s="115"/>
      <c r="IK154" s="115"/>
      <c r="IL154" s="115"/>
      <c r="IM154" s="115"/>
      <c r="IN154" s="115"/>
      <c r="IO154" s="115"/>
      <c r="IP154" s="115"/>
      <c r="IQ154" s="115"/>
      <c r="IR154" s="115"/>
      <c r="IS154" s="115"/>
      <c r="IT154" s="115"/>
      <c r="IU154" s="115"/>
    </row>
    <row r="155" spans="1:255" s="108" customFormat="1" ht="6" customHeight="1">
      <c r="A155" s="1"/>
      <c r="B155" s="1"/>
      <c r="C155" s="1"/>
      <c r="D155" s="13"/>
      <c r="E155" s="1"/>
      <c r="F155" s="14"/>
      <c r="G155" s="14"/>
      <c r="H155" s="1"/>
      <c r="I155" s="1"/>
      <c r="J155" s="14"/>
      <c r="K155" s="1"/>
      <c r="L155" s="1"/>
      <c r="M155" s="1"/>
      <c r="N155" s="1"/>
      <c r="O155" s="1"/>
      <c r="P155" s="6"/>
      <c r="T155" s="1497"/>
      <c r="U155" s="1498"/>
      <c r="V155" s="628"/>
      <c r="W155" s="628"/>
      <c r="X155" s="628"/>
      <c r="Y155" s="628"/>
      <c r="Z155" s="628"/>
      <c r="AA155" s="628"/>
      <c r="AB155" s="628"/>
      <c r="AC155" s="628"/>
      <c r="AD155" s="628"/>
      <c r="AE155" s="628"/>
      <c r="AF155" s="628"/>
      <c r="AG155" s="628"/>
      <c r="AH155" s="628"/>
      <c r="AI155" s="628"/>
      <c r="AJ155" s="628"/>
      <c r="AK155" s="628"/>
      <c r="AL155" s="628"/>
      <c r="AM155" s="628"/>
      <c r="AN155" s="628"/>
      <c r="AO155" s="628"/>
      <c r="AP155" s="628"/>
      <c r="AQ155" s="628"/>
      <c r="AR155" s="628"/>
      <c r="AS155" s="628"/>
      <c r="AT155" s="628"/>
      <c r="AU155" s="628"/>
      <c r="AV155" s="628"/>
      <c r="AW155" s="628"/>
      <c r="AX155" s="628"/>
      <c r="AY155" s="628"/>
      <c r="AZ155" s="628"/>
      <c r="BA155" s="628"/>
      <c r="BB155" s="628"/>
      <c r="BC155" s="628"/>
      <c r="BD155" s="628"/>
      <c r="BE155" s="628"/>
      <c r="BF155" s="628"/>
      <c r="BG155" s="628"/>
      <c r="BH155" s="628"/>
      <c r="BI155" s="628"/>
      <c r="BJ155" s="628"/>
      <c r="BK155" s="628"/>
      <c r="BL155" s="628"/>
      <c r="BM155" s="628"/>
      <c r="BN155" s="628"/>
      <c r="BO155" s="628"/>
      <c r="BP155" s="628"/>
      <c r="BQ155" s="628"/>
      <c r="BR155" s="628"/>
      <c r="BS155" s="628"/>
      <c r="BT155" s="628"/>
      <c r="BU155" s="628"/>
      <c r="BV155" s="628"/>
      <c r="BW155" s="628"/>
      <c r="BX155" s="628"/>
      <c r="BY155" s="628"/>
      <c r="BZ155" s="628"/>
      <c r="CA155" s="628"/>
      <c r="CB155" s="628"/>
      <c r="CC155" s="628"/>
      <c r="CD155" s="628"/>
      <c r="CE155" s="628"/>
      <c r="CF155" s="628"/>
      <c r="CG155" s="628"/>
      <c r="CH155" s="628"/>
      <c r="CI155" s="628"/>
      <c r="CJ155" s="628"/>
      <c r="CK155" s="628"/>
      <c r="CL155" s="628"/>
      <c r="CM155" s="628"/>
      <c r="CN155" s="628"/>
      <c r="CO155" s="628"/>
      <c r="CP155" s="628"/>
      <c r="CQ155" s="628"/>
      <c r="CR155" s="628"/>
      <c r="CS155" s="628"/>
      <c r="CT155" s="628"/>
      <c r="CU155" s="628"/>
      <c r="CV155" s="628"/>
      <c r="CW155" s="628"/>
      <c r="CX155" s="628"/>
      <c r="CY155" s="628"/>
      <c r="CZ155" s="628"/>
      <c r="DA155" s="628"/>
      <c r="DB155" s="628"/>
      <c r="DC155" s="628"/>
      <c r="DD155" s="628"/>
      <c r="DE155" s="628"/>
      <c r="DF155" s="628"/>
      <c r="DG155" s="628"/>
      <c r="DH155" s="628"/>
      <c r="DI155" s="628"/>
      <c r="DJ155" s="628"/>
      <c r="DK155" s="628"/>
      <c r="DL155" s="628"/>
      <c r="DM155" s="628"/>
      <c r="DN155" s="628"/>
      <c r="DO155" s="628"/>
      <c r="DP155" s="628"/>
      <c r="DQ155" s="628"/>
      <c r="DR155" s="628"/>
      <c r="DS155" s="628"/>
      <c r="DT155" s="628"/>
      <c r="DU155" s="628"/>
      <c r="DV155" s="628"/>
      <c r="DW155" s="628"/>
      <c r="DX155" s="628"/>
      <c r="DY155" s="628"/>
      <c r="DZ155" s="628"/>
      <c r="EA155" s="628"/>
      <c r="EB155" s="628"/>
      <c r="EC155" s="628"/>
      <c r="ED155" s="628"/>
      <c r="EE155" s="628"/>
      <c r="EF155" s="628"/>
      <c r="EG155" s="628"/>
      <c r="EH155" s="628"/>
      <c r="EI155" s="628"/>
      <c r="EJ155" s="628"/>
      <c r="EK155" s="628"/>
      <c r="EL155" s="628"/>
      <c r="EM155" s="628"/>
      <c r="EN155" s="628"/>
      <c r="EO155" s="628"/>
      <c r="EP155" s="628"/>
      <c r="EQ155" s="628"/>
      <c r="ER155" s="628"/>
      <c r="ES155" s="628"/>
      <c r="ET155" s="628"/>
      <c r="EU155" s="628"/>
      <c r="EV155" s="628"/>
      <c r="EW155" s="628"/>
      <c r="EX155" s="628"/>
      <c r="EY155" s="628"/>
      <c r="EZ155" s="628"/>
      <c r="FA155" s="628"/>
      <c r="FB155" s="628"/>
      <c r="FC155" s="628"/>
      <c r="FD155" s="628"/>
      <c r="FE155" s="628"/>
      <c r="FF155" s="628"/>
      <c r="FG155" s="628"/>
      <c r="FH155" s="628"/>
      <c r="FI155" s="628"/>
      <c r="FJ155" s="628"/>
      <c r="FK155" s="628"/>
      <c r="FL155" s="628"/>
      <c r="FM155" s="628"/>
      <c r="FN155" s="628"/>
      <c r="FO155" s="628"/>
      <c r="FP155" s="628"/>
      <c r="FQ155" s="628"/>
      <c r="FR155" s="628"/>
      <c r="FS155" s="628"/>
      <c r="FT155" s="628"/>
      <c r="FU155" s="628"/>
      <c r="FV155" s="628"/>
      <c r="FW155" s="628"/>
      <c r="FX155" s="628"/>
      <c r="FY155" s="629"/>
      <c r="FZ155" s="629"/>
      <c r="GA155" s="629"/>
      <c r="GB155" s="629"/>
      <c r="GC155" s="629"/>
      <c r="GD155" s="629"/>
      <c r="GE155" s="629"/>
      <c r="GF155" s="629"/>
      <c r="GG155" s="629"/>
      <c r="GH155" s="629"/>
      <c r="GI155" s="629"/>
      <c r="GJ155" s="629"/>
      <c r="GK155" s="629"/>
      <c r="GL155" s="629"/>
      <c r="GM155" s="629"/>
      <c r="GN155" s="629"/>
      <c r="GO155" s="629"/>
      <c r="GP155" s="628"/>
      <c r="GQ155" s="628"/>
      <c r="GR155" s="628"/>
      <c r="GS155" s="628"/>
      <c r="GT155" s="628"/>
      <c r="GU155" s="628"/>
      <c r="GV155" s="630"/>
      <c r="GW155" s="628"/>
      <c r="GX155" s="628"/>
      <c r="GY155" s="628"/>
      <c r="GZ155" s="628"/>
      <c r="HA155" s="628"/>
      <c r="HB155" s="628"/>
      <c r="HC155" s="628"/>
      <c r="HD155" s="628"/>
      <c r="HE155" s="628"/>
      <c r="HF155" s="628"/>
      <c r="HG155" s="628"/>
      <c r="HH155" s="628"/>
      <c r="HI155" s="628"/>
      <c r="HJ155" s="628"/>
      <c r="HK155" s="628"/>
      <c r="HL155" s="630"/>
      <c r="HM155" s="630"/>
      <c r="HN155" s="628"/>
      <c r="HO155" s="628"/>
      <c r="HP155" s="115"/>
      <c r="HQ155" s="115"/>
      <c r="HR155" s="115"/>
      <c r="HS155" s="115"/>
      <c r="HT155" s="115"/>
      <c r="HU155" s="115"/>
      <c r="HV155" s="115"/>
      <c r="HW155" s="115"/>
      <c r="HX155" s="115"/>
      <c r="HY155" s="115"/>
      <c r="HZ155" s="115"/>
      <c r="IA155" s="115"/>
      <c r="IB155" s="115"/>
      <c r="IC155" s="115"/>
      <c r="ID155" s="115"/>
      <c r="IE155" s="115"/>
      <c r="IF155" s="115"/>
      <c r="IG155" s="115"/>
      <c r="IH155" s="115"/>
      <c r="II155" s="115"/>
      <c r="IJ155" s="115"/>
      <c r="IK155" s="115"/>
      <c r="IL155" s="115"/>
      <c r="IM155" s="115"/>
      <c r="IN155" s="115"/>
      <c r="IO155" s="115"/>
      <c r="IP155" s="115"/>
      <c r="IQ155" s="115"/>
      <c r="IR155" s="115"/>
      <c r="IS155" s="115"/>
      <c r="IT155" s="115"/>
      <c r="IU155" s="115"/>
    </row>
    <row r="156" spans="1:255" s="108" customFormat="1" ht="13.15" customHeight="1" thickBot="1">
      <c r="A156" s="1"/>
      <c r="B156" s="11" t="s">
        <v>1727</v>
      </c>
      <c r="C156" s="1"/>
      <c r="D156" s="10"/>
      <c r="E156" s="1"/>
      <c r="F156" s="1"/>
      <c r="G156" s="1"/>
      <c r="H156" s="1"/>
      <c r="I156" s="11" t="s">
        <v>1810</v>
      </c>
      <c r="J156" s="779" t="s">
        <v>3939</v>
      </c>
      <c r="K156" s="1"/>
      <c r="L156" s="1"/>
      <c r="M156" s="1"/>
      <c r="N156" s="11" t="s">
        <v>2904</v>
      </c>
      <c r="O156" s="6"/>
      <c r="P156" s="6"/>
      <c r="T156" s="1497"/>
      <c r="U156" s="1498"/>
      <c r="V156" s="624"/>
      <c r="W156" s="624"/>
      <c r="X156" s="624"/>
      <c r="Y156" s="628"/>
      <c r="Z156" s="628"/>
      <c r="AA156" s="628"/>
      <c r="AB156" s="628"/>
      <c r="AC156" s="628"/>
      <c r="AD156" s="628"/>
      <c r="AE156" s="628"/>
      <c r="AF156" s="628"/>
      <c r="AG156" s="628"/>
      <c r="AH156" s="628"/>
      <c r="AI156" s="628"/>
      <c r="AJ156" s="628"/>
      <c r="AK156" s="628"/>
      <c r="AL156" s="628"/>
      <c r="AM156" s="628"/>
      <c r="AN156" s="628"/>
      <c r="AO156" s="628"/>
      <c r="AP156" s="628"/>
      <c r="AQ156" s="628"/>
      <c r="AR156" s="628"/>
      <c r="AS156" s="628"/>
      <c r="AT156" s="628"/>
      <c r="AU156" s="628"/>
      <c r="AV156" s="628"/>
      <c r="AW156" s="628"/>
      <c r="AX156" s="628"/>
      <c r="AY156" s="628"/>
      <c r="AZ156" s="628"/>
      <c r="BA156" s="628"/>
      <c r="BB156" s="628"/>
      <c r="BC156" s="628"/>
      <c r="BD156" s="628"/>
      <c r="BE156" s="628"/>
      <c r="BF156" s="628"/>
      <c r="BG156" s="628"/>
      <c r="BH156" s="628"/>
      <c r="BI156" s="628"/>
      <c r="BJ156" s="628"/>
      <c r="BK156" s="628"/>
      <c r="BL156" s="628"/>
      <c r="BM156" s="628"/>
      <c r="BN156" s="628"/>
      <c r="BO156" s="628"/>
      <c r="BP156" s="628"/>
      <c r="BQ156" s="628"/>
      <c r="BR156" s="628"/>
      <c r="BS156" s="628"/>
      <c r="BT156" s="628"/>
      <c r="BU156" s="628"/>
      <c r="BV156" s="628"/>
      <c r="BW156" s="628"/>
      <c r="BX156" s="628"/>
      <c r="BY156" s="628"/>
      <c r="BZ156" s="628"/>
      <c r="CA156" s="628"/>
      <c r="CB156" s="628"/>
      <c r="CC156" s="628"/>
      <c r="CD156" s="628"/>
      <c r="CE156" s="628"/>
      <c r="CF156" s="628"/>
      <c r="CG156" s="628"/>
      <c r="CH156" s="628"/>
      <c r="CI156" s="628"/>
      <c r="CJ156" s="628"/>
      <c r="CK156" s="628"/>
      <c r="CL156" s="628"/>
      <c r="CM156" s="628"/>
      <c r="CN156" s="628"/>
      <c r="CO156" s="628"/>
      <c r="CP156" s="628"/>
      <c r="CQ156" s="628"/>
      <c r="CR156" s="628"/>
      <c r="CS156" s="628"/>
      <c r="CT156" s="628"/>
      <c r="CU156" s="628"/>
      <c r="CV156" s="628"/>
      <c r="CW156" s="628"/>
      <c r="CX156" s="628"/>
      <c r="CY156" s="628"/>
      <c r="CZ156" s="628"/>
      <c r="DA156" s="628"/>
      <c r="DB156" s="628"/>
      <c r="DC156" s="628"/>
      <c r="DD156" s="628"/>
      <c r="DE156" s="628"/>
      <c r="DF156" s="628"/>
      <c r="DG156" s="628"/>
      <c r="DH156" s="628"/>
      <c r="DI156" s="628"/>
      <c r="DJ156" s="628"/>
      <c r="DK156" s="628"/>
      <c r="DL156" s="628"/>
      <c r="DM156" s="628"/>
      <c r="DN156" s="628"/>
      <c r="DO156" s="628"/>
      <c r="DP156" s="628"/>
      <c r="DQ156" s="628"/>
      <c r="DR156" s="628"/>
      <c r="DS156" s="628"/>
      <c r="DT156" s="628"/>
      <c r="DU156" s="628"/>
      <c r="DV156" s="628"/>
      <c r="DW156" s="628"/>
      <c r="DX156" s="628"/>
      <c r="DY156" s="628"/>
      <c r="DZ156" s="628"/>
      <c r="EA156" s="628"/>
      <c r="EB156" s="628"/>
      <c r="EC156" s="628"/>
      <c r="ED156" s="628"/>
      <c r="EE156" s="628"/>
      <c r="EF156" s="628"/>
      <c r="EG156" s="628"/>
      <c r="EH156" s="628"/>
      <c r="EI156" s="628"/>
      <c r="EJ156" s="628"/>
      <c r="EK156" s="628"/>
      <c r="EL156" s="628"/>
      <c r="EM156" s="628"/>
      <c r="EN156" s="628"/>
      <c r="EO156" s="628"/>
      <c r="EP156" s="628"/>
      <c r="EQ156" s="628"/>
      <c r="ER156" s="628"/>
      <c r="ES156" s="628"/>
      <c r="ET156" s="628"/>
      <c r="EU156" s="628"/>
      <c r="EV156" s="628"/>
      <c r="EW156" s="628"/>
      <c r="EX156" s="628"/>
      <c r="EY156" s="628"/>
      <c r="EZ156" s="628"/>
      <c r="FA156" s="628"/>
      <c r="FB156" s="628"/>
      <c r="FC156" s="628"/>
      <c r="FD156" s="628"/>
      <c r="FE156" s="628"/>
      <c r="FF156" s="628"/>
      <c r="FG156" s="628"/>
      <c r="FH156" s="628"/>
      <c r="FI156" s="628"/>
      <c r="FJ156" s="628"/>
      <c r="FK156" s="628"/>
      <c r="FL156" s="628"/>
      <c r="FM156" s="628"/>
      <c r="FN156" s="628"/>
      <c r="FO156" s="628"/>
      <c r="FP156" s="628"/>
      <c r="FQ156" s="628"/>
      <c r="FR156" s="628"/>
      <c r="FS156" s="628"/>
      <c r="FT156" s="628"/>
      <c r="FU156" s="628"/>
      <c r="FV156" s="628"/>
      <c r="FW156" s="628"/>
      <c r="FX156" s="628"/>
      <c r="FY156" s="629"/>
      <c r="FZ156" s="629"/>
      <c r="GA156" s="629"/>
      <c r="GB156" s="629"/>
      <c r="GC156" s="629"/>
      <c r="GD156" s="629"/>
      <c r="GE156" s="629"/>
      <c r="GF156" s="629"/>
      <c r="GG156" s="629"/>
      <c r="GH156" s="629"/>
      <c r="GI156" s="629"/>
      <c r="GJ156" s="629"/>
      <c r="GK156" s="629"/>
      <c r="GL156" s="629"/>
      <c r="GM156" s="629"/>
      <c r="GN156" s="629"/>
      <c r="GO156" s="629"/>
      <c r="GP156" s="628"/>
      <c r="GQ156" s="628"/>
      <c r="GR156" s="628"/>
      <c r="GS156" s="628"/>
      <c r="GT156" s="628"/>
      <c r="GU156" s="628"/>
      <c r="GV156" s="630"/>
      <c r="GW156" s="628"/>
      <c r="GX156" s="628"/>
      <c r="GY156" s="628"/>
      <c r="GZ156" s="628"/>
      <c r="HA156" s="628"/>
      <c r="HB156" s="628"/>
      <c r="HC156" s="628"/>
      <c r="HD156" s="628"/>
      <c r="HE156" s="628"/>
      <c r="HF156" s="628"/>
      <c r="HG156" s="628"/>
      <c r="HH156" s="628"/>
      <c r="HI156" s="628"/>
      <c r="HJ156" s="628"/>
      <c r="HK156" s="628"/>
      <c r="HL156" s="630"/>
      <c r="HM156" s="630"/>
      <c r="HN156" s="628"/>
      <c r="HO156" s="628"/>
      <c r="HP156" s="115"/>
      <c r="HQ156" s="115"/>
      <c r="HR156" s="115"/>
      <c r="HS156" s="115"/>
      <c r="HT156" s="115"/>
      <c r="HU156" s="115"/>
      <c r="HV156" s="115"/>
      <c r="HW156" s="115"/>
      <c r="HX156" s="115"/>
      <c r="HY156" s="115"/>
      <c r="HZ156" s="115"/>
      <c r="IA156" s="115"/>
      <c r="IB156" s="115"/>
      <c r="IC156" s="115"/>
      <c r="ID156" s="115"/>
      <c r="IE156" s="115"/>
      <c r="IF156" s="115"/>
      <c r="IG156" s="115"/>
      <c r="IH156" s="115"/>
      <c r="II156" s="115"/>
      <c r="IJ156" s="115"/>
      <c r="IK156" s="115"/>
      <c r="IL156" s="115"/>
      <c r="IM156" s="115"/>
      <c r="IN156" s="115"/>
      <c r="IO156" s="115"/>
      <c r="IP156" s="115"/>
      <c r="IQ156" s="115"/>
      <c r="IR156" s="115"/>
      <c r="IS156" s="115"/>
      <c r="IT156" s="115"/>
      <c r="IU156" s="115"/>
    </row>
    <row r="157" spans="1:255" s="108" customFormat="1" ht="15.6" customHeight="1" thickBot="1">
      <c r="A157" s="1"/>
      <c r="B157" s="1" t="s">
        <v>2069</v>
      </c>
      <c r="C157" s="1"/>
      <c r="D157" s="10"/>
      <c r="E157" s="1"/>
      <c r="F157" s="1590">
        <v>9600</v>
      </c>
      <c r="G157" s="1591"/>
      <c r="H157" s="1"/>
      <c r="I157" s="1" t="s">
        <v>1803</v>
      </c>
      <c r="J157" s="770">
        <f>K157/12/M62</f>
        <v>8.3333333333333321</v>
      </c>
      <c r="K157" s="1588">
        <v>8000</v>
      </c>
      <c r="L157" s="1589"/>
      <c r="M157" s="1"/>
      <c r="N157" s="771">
        <f>+P157/M62</f>
        <v>4209.1625000000004</v>
      </c>
      <c r="O157" s="30" t="s">
        <v>3944</v>
      </c>
      <c r="P157" s="532">
        <f>F145+F154+F165+K143+K152+K162+P144+P147</f>
        <v>336733</v>
      </c>
      <c r="T157" s="1497"/>
      <c r="U157" s="1498"/>
      <c r="V157" s="624"/>
      <c r="W157" s="624"/>
      <c r="X157" s="624"/>
      <c r="Y157" s="628"/>
      <c r="Z157" s="628"/>
      <c r="AA157" s="628"/>
      <c r="AB157" s="628"/>
      <c r="AC157" s="628"/>
      <c r="AD157" s="628"/>
      <c r="AE157" s="628"/>
      <c r="AF157" s="628"/>
      <c r="AG157" s="628"/>
      <c r="AH157" s="628"/>
      <c r="AI157" s="628"/>
      <c r="AJ157" s="628"/>
      <c r="AK157" s="628"/>
      <c r="AL157" s="628"/>
      <c r="AM157" s="628"/>
      <c r="AN157" s="628"/>
      <c r="AO157" s="628"/>
      <c r="AP157" s="628"/>
      <c r="AQ157" s="628"/>
      <c r="AR157" s="628"/>
      <c r="AS157" s="628"/>
      <c r="AT157" s="628"/>
      <c r="AU157" s="628"/>
      <c r="AV157" s="628"/>
      <c r="AW157" s="628"/>
      <c r="AX157" s="628"/>
      <c r="AY157" s="628"/>
      <c r="AZ157" s="628"/>
      <c r="BA157" s="628"/>
      <c r="BB157" s="628"/>
      <c r="BC157" s="628"/>
      <c r="BD157" s="628"/>
      <c r="BE157" s="628"/>
      <c r="BF157" s="628"/>
      <c r="BG157" s="628"/>
      <c r="BH157" s="628"/>
      <c r="BI157" s="628"/>
      <c r="BJ157" s="628"/>
      <c r="BK157" s="628"/>
      <c r="BL157" s="628"/>
      <c r="BM157" s="628"/>
      <c r="BN157" s="628"/>
      <c r="BO157" s="628"/>
      <c r="BP157" s="628"/>
      <c r="BQ157" s="628"/>
      <c r="BR157" s="628"/>
      <c r="BS157" s="628"/>
      <c r="BT157" s="628"/>
      <c r="BU157" s="628"/>
      <c r="BV157" s="628"/>
      <c r="BW157" s="628"/>
      <c r="BX157" s="628"/>
      <c r="BY157" s="628"/>
      <c r="BZ157" s="628"/>
      <c r="CA157" s="628"/>
      <c r="CB157" s="628"/>
      <c r="CC157" s="628"/>
      <c r="CD157" s="628"/>
      <c r="CE157" s="628"/>
      <c r="CF157" s="628"/>
      <c r="CG157" s="628"/>
      <c r="CH157" s="628"/>
      <c r="CI157" s="628"/>
      <c r="CJ157" s="628"/>
      <c r="CK157" s="628"/>
      <c r="CL157" s="628"/>
      <c r="CM157" s="628"/>
      <c r="CN157" s="628"/>
      <c r="CO157" s="628"/>
      <c r="CP157" s="628"/>
      <c r="CQ157" s="628"/>
      <c r="CR157" s="628"/>
      <c r="CS157" s="628"/>
      <c r="CT157" s="628"/>
      <c r="CU157" s="628"/>
      <c r="CV157" s="628"/>
      <c r="CW157" s="628"/>
      <c r="CX157" s="628"/>
      <c r="CY157" s="628"/>
      <c r="CZ157" s="628"/>
      <c r="DA157" s="628"/>
      <c r="DB157" s="628"/>
      <c r="DC157" s="628"/>
      <c r="DD157" s="628"/>
      <c r="DE157" s="628"/>
      <c r="DF157" s="628"/>
      <c r="DG157" s="628"/>
      <c r="DH157" s="628"/>
      <c r="DI157" s="628"/>
      <c r="DJ157" s="628"/>
      <c r="DK157" s="628"/>
      <c r="DL157" s="628"/>
      <c r="DM157" s="628"/>
      <c r="DN157" s="628"/>
      <c r="DO157" s="628"/>
      <c r="DP157" s="628"/>
      <c r="DQ157" s="628"/>
      <c r="DR157" s="628"/>
      <c r="DS157" s="628"/>
      <c r="DT157" s="628"/>
      <c r="DU157" s="628"/>
      <c r="DV157" s="628"/>
      <c r="DW157" s="628"/>
      <c r="DX157" s="628"/>
      <c r="DY157" s="628"/>
      <c r="DZ157" s="628"/>
      <c r="EA157" s="628"/>
      <c r="EB157" s="628"/>
      <c r="EC157" s="628"/>
      <c r="ED157" s="628"/>
      <c r="EE157" s="628"/>
      <c r="EF157" s="628"/>
      <c r="EG157" s="628"/>
      <c r="EH157" s="628"/>
      <c r="EI157" s="628"/>
      <c r="EJ157" s="628"/>
      <c r="EK157" s="628"/>
      <c r="EL157" s="628"/>
      <c r="EM157" s="628"/>
      <c r="EN157" s="628"/>
      <c r="EO157" s="628"/>
      <c r="EP157" s="628"/>
      <c r="EQ157" s="628"/>
      <c r="ER157" s="628"/>
      <c r="ES157" s="628"/>
      <c r="ET157" s="628"/>
      <c r="EU157" s="628"/>
      <c r="EV157" s="628"/>
      <c r="EW157" s="628"/>
      <c r="EX157" s="628"/>
      <c r="EY157" s="628"/>
      <c r="EZ157" s="628"/>
      <c r="FA157" s="628"/>
      <c r="FB157" s="628"/>
      <c r="FC157" s="628"/>
      <c r="FD157" s="628"/>
      <c r="FE157" s="628"/>
      <c r="FF157" s="628"/>
      <c r="FG157" s="628"/>
      <c r="FH157" s="628"/>
      <c r="FI157" s="628"/>
      <c r="FJ157" s="628"/>
      <c r="FK157" s="628"/>
      <c r="FL157" s="628"/>
      <c r="FM157" s="628"/>
      <c r="FN157" s="628"/>
      <c r="FO157" s="628"/>
      <c r="FP157" s="628"/>
      <c r="FQ157" s="628"/>
      <c r="FR157" s="628"/>
      <c r="FS157" s="628"/>
      <c r="FT157" s="628"/>
      <c r="FU157" s="628"/>
      <c r="FV157" s="628"/>
      <c r="FW157" s="628"/>
      <c r="FX157" s="628"/>
      <c r="FY157" s="629"/>
      <c r="FZ157" s="629"/>
      <c r="GA157" s="629"/>
      <c r="GB157" s="629"/>
      <c r="GC157" s="629"/>
      <c r="GD157" s="629"/>
      <c r="GE157" s="629"/>
      <c r="GF157" s="629"/>
      <c r="GG157" s="629"/>
      <c r="GH157" s="629"/>
      <c r="GI157" s="629"/>
      <c r="GJ157" s="629"/>
      <c r="GK157" s="629"/>
      <c r="GL157" s="629"/>
      <c r="GM157" s="629"/>
      <c r="GN157" s="629"/>
      <c r="GO157" s="629"/>
      <c r="GP157" s="628"/>
      <c r="GQ157" s="628"/>
      <c r="GR157" s="628"/>
      <c r="GS157" s="628"/>
      <c r="GT157" s="628"/>
      <c r="GU157" s="628"/>
      <c r="GV157" s="630"/>
      <c r="GW157" s="628"/>
      <c r="GX157" s="628"/>
      <c r="GY157" s="628"/>
      <c r="GZ157" s="628"/>
      <c r="HA157" s="628"/>
      <c r="HB157" s="628"/>
      <c r="HC157" s="628"/>
      <c r="HD157" s="628"/>
      <c r="HE157" s="628"/>
      <c r="HF157" s="628"/>
      <c r="HG157" s="628"/>
      <c r="HH157" s="628"/>
      <c r="HI157" s="628"/>
      <c r="HJ157" s="628"/>
      <c r="HK157" s="628"/>
      <c r="HL157" s="630"/>
      <c r="HM157" s="630"/>
      <c r="HN157" s="628"/>
      <c r="HO157" s="628"/>
      <c r="HP157" s="115"/>
      <c r="HQ157" s="115"/>
      <c r="HR157" s="115"/>
      <c r="HS157" s="115"/>
      <c r="HT157" s="115"/>
      <c r="HU157" s="115"/>
      <c r="HV157" s="115"/>
      <c r="HW157" s="115"/>
      <c r="HX157" s="115"/>
      <c r="HY157" s="115"/>
      <c r="HZ157" s="115"/>
      <c r="IA157" s="115"/>
      <c r="IB157" s="115"/>
      <c r="IC157" s="115"/>
      <c r="ID157" s="115"/>
      <c r="IE157" s="115"/>
      <c r="IF157" s="115"/>
      <c r="IG157" s="115"/>
      <c r="IH157" s="115"/>
      <c r="II157" s="115"/>
      <c r="IJ157" s="115"/>
      <c r="IK157" s="115"/>
      <c r="IL157" s="115"/>
      <c r="IM157" s="115"/>
      <c r="IN157" s="115"/>
      <c r="IO157" s="115"/>
      <c r="IP157" s="115"/>
      <c r="IQ157" s="115"/>
      <c r="IR157" s="115"/>
      <c r="IS157" s="115"/>
      <c r="IT157" s="115"/>
      <c r="IU157" s="115"/>
    </row>
    <row r="158" spans="1:255" s="108" customFormat="1" ht="15.6" customHeight="1">
      <c r="A158" s="1"/>
      <c r="B158" s="1" t="s">
        <v>2070</v>
      </c>
      <c r="C158" s="1"/>
      <c r="D158" s="10"/>
      <c r="E158" s="1"/>
      <c r="F158" s="1590">
        <v>11200</v>
      </c>
      <c r="G158" s="1591"/>
      <c r="H158" s="1"/>
      <c r="I158" s="1" t="s">
        <v>1804</v>
      </c>
      <c r="J158" s="770">
        <f>K158/12/M62</f>
        <v>0</v>
      </c>
      <c r="K158" s="1588"/>
      <c r="L158" s="1589"/>
      <c r="M158" s="1"/>
      <c r="N158" s="1"/>
      <c r="O158" s="1"/>
      <c r="P158" s="1"/>
      <c r="T158" s="1497"/>
      <c r="U158" s="1498"/>
      <c r="V158" s="624"/>
      <c r="W158" s="624"/>
      <c r="X158" s="624"/>
      <c r="Y158" s="628"/>
      <c r="Z158" s="628"/>
      <c r="AA158" s="628"/>
      <c r="AB158" s="628"/>
      <c r="AC158" s="628"/>
      <c r="AD158" s="628"/>
      <c r="AE158" s="628"/>
      <c r="AF158" s="628"/>
      <c r="AG158" s="628"/>
      <c r="AH158" s="628"/>
      <c r="AI158" s="628"/>
      <c r="AJ158" s="628"/>
      <c r="AK158" s="628"/>
      <c r="AL158" s="628"/>
      <c r="AM158" s="628"/>
      <c r="AN158" s="628"/>
      <c r="AO158" s="628"/>
      <c r="AP158" s="628"/>
      <c r="AQ158" s="628"/>
      <c r="AR158" s="628"/>
      <c r="AS158" s="628"/>
      <c r="AT158" s="628"/>
      <c r="AU158" s="628"/>
      <c r="AV158" s="628"/>
      <c r="AW158" s="628"/>
      <c r="AX158" s="628"/>
      <c r="AY158" s="628"/>
      <c r="AZ158" s="628"/>
      <c r="BA158" s="628"/>
      <c r="BB158" s="628"/>
      <c r="BC158" s="628"/>
      <c r="BD158" s="628"/>
      <c r="BE158" s="628"/>
      <c r="BF158" s="628"/>
      <c r="BG158" s="628"/>
      <c r="BH158" s="628"/>
      <c r="BI158" s="628"/>
      <c r="BJ158" s="628"/>
      <c r="BK158" s="628"/>
      <c r="BL158" s="628"/>
      <c r="BM158" s="628"/>
      <c r="BN158" s="628"/>
      <c r="BO158" s="628"/>
      <c r="BP158" s="628"/>
      <c r="BQ158" s="628"/>
      <c r="BR158" s="628"/>
      <c r="BS158" s="628"/>
      <c r="BT158" s="628"/>
      <c r="BU158" s="628"/>
      <c r="BV158" s="628"/>
      <c r="BW158" s="628"/>
      <c r="BX158" s="628"/>
      <c r="BY158" s="628"/>
      <c r="BZ158" s="628"/>
      <c r="CA158" s="628"/>
      <c r="CB158" s="628"/>
      <c r="CC158" s="628"/>
      <c r="CD158" s="628"/>
      <c r="CE158" s="628"/>
      <c r="CF158" s="628"/>
      <c r="CG158" s="628"/>
      <c r="CH158" s="628"/>
      <c r="CI158" s="628"/>
      <c r="CJ158" s="628"/>
      <c r="CK158" s="628"/>
      <c r="CL158" s="628"/>
      <c r="CM158" s="628"/>
      <c r="CN158" s="628"/>
      <c r="CO158" s="628"/>
      <c r="CP158" s="628"/>
      <c r="CQ158" s="628"/>
      <c r="CR158" s="628"/>
      <c r="CS158" s="628"/>
      <c r="CT158" s="628"/>
      <c r="CU158" s="628"/>
      <c r="CV158" s="628"/>
      <c r="CW158" s="628"/>
      <c r="CX158" s="628"/>
      <c r="CY158" s="628"/>
      <c r="CZ158" s="628"/>
      <c r="DA158" s="628"/>
      <c r="DB158" s="628"/>
      <c r="DC158" s="628"/>
      <c r="DD158" s="628"/>
      <c r="DE158" s="628"/>
      <c r="DF158" s="628"/>
      <c r="DG158" s="628"/>
      <c r="DH158" s="628"/>
      <c r="DI158" s="628"/>
      <c r="DJ158" s="628"/>
      <c r="DK158" s="628"/>
      <c r="DL158" s="628"/>
      <c r="DM158" s="628"/>
      <c r="DN158" s="628"/>
      <c r="DO158" s="628"/>
      <c r="DP158" s="628"/>
      <c r="DQ158" s="628"/>
      <c r="DR158" s="628"/>
      <c r="DS158" s="628"/>
      <c r="DT158" s="628"/>
      <c r="DU158" s="628"/>
      <c r="DV158" s="628"/>
      <c r="DW158" s="628"/>
      <c r="DX158" s="628"/>
      <c r="DY158" s="628"/>
      <c r="DZ158" s="628"/>
      <c r="EA158" s="628"/>
      <c r="EB158" s="628"/>
      <c r="EC158" s="628"/>
      <c r="ED158" s="628"/>
      <c r="EE158" s="628"/>
      <c r="EF158" s="628"/>
      <c r="EG158" s="628"/>
      <c r="EH158" s="628"/>
      <c r="EI158" s="628"/>
      <c r="EJ158" s="628"/>
      <c r="EK158" s="628"/>
      <c r="EL158" s="628"/>
      <c r="EM158" s="628"/>
      <c r="EN158" s="628"/>
      <c r="EO158" s="628"/>
      <c r="EP158" s="628"/>
      <c r="EQ158" s="628"/>
      <c r="ER158" s="628"/>
      <c r="ES158" s="628"/>
      <c r="ET158" s="628"/>
      <c r="EU158" s="628"/>
      <c r="EV158" s="628"/>
      <c r="EW158" s="628"/>
      <c r="EX158" s="628"/>
      <c r="EY158" s="628"/>
      <c r="EZ158" s="628"/>
      <c r="FA158" s="628"/>
      <c r="FB158" s="628"/>
      <c r="FC158" s="628"/>
      <c r="FD158" s="628"/>
      <c r="FE158" s="628"/>
      <c r="FF158" s="628"/>
      <c r="FG158" s="628"/>
      <c r="FH158" s="628"/>
      <c r="FI158" s="628"/>
      <c r="FJ158" s="628"/>
      <c r="FK158" s="628"/>
      <c r="FL158" s="628"/>
      <c r="FM158" s="628"/>
      <c r="FN158" s="628"/>
      <c r="FO158" s="628"/>
      <c r="FP158" s="628"/>
      <c r="FQ158" s="628"/>
      <c r="FR158" s="628"/>
      <c r="FS158" s="628"/>
      <c r="FT158" s="628"/>
      <c r="FU158" s="628"/>
      <c r="FV158" s="628"/>
      <c r="FW158" s="628"/>
      <c r="FX158" s="628"/>
      <c r="FY158" s="629"/>
      <c r="FZ158" s="629"/>
      <c r="GA158" s="629"/>
      <c r="GB158" s="629"/>
      <c r="GC158" s="629"/>
      <c r="GD158" s="629"/>
      <c r="GE158" s="629"/>
      <c r="GF158" s="629"/>
      <c r="GG158" s="629"/>
      <c r="GH158" s="629"/>
      <c r="GI158" s="629"/>
      <c r="GJ158" s="629"/>
      <c r="GK158" s="629"/>
      <c r="GL158" s="629"/>
      <c r="GM158" s="629"/>
      <c r="GN158" s="629"/>
      <c r="GO158" s="629"/>
      <c r="GP158" s="628"/>
      <c r="GQ158" s="628"/>
      <c r="GR158" s="628"/>
      <c r="GS158" s="628"/>
      <c r="GT158" s="628"/>
      <c r="GU158" s="628"/>
      <c r="GV158" s="630"/>
      <c r="GW158" s="628"/>
      <c r="GX158" s="628"/>
      <c r="GY158" s="628"/>
      <c r="GZ158" s="628"/>
      <c r="HA158" s="628"/>
      <c r="HB158" s="628"/>
      <c r="HC158" s="628"/>
      <c r="HD158" s="628"/>
      <c r="HE158" s="628"/>
      <c r="HF158" s="628"/>
      <c r="HG158" s="628"/>
      <c r="HH158" s="628"/>
      <c r="HI158" s="628"/>
      <c r="HJ158" s="628"/>
      <c r="HK158" s="628"/>
      <c r="HL158" s="630"/>
      <c r="HM158" s="630"/>
      <c r="HN158" s="628"/>
      <c r="HO158" s="628"/>
      <c r="HP158" s="115"/>
      <c r="HQ158" s="115"/>
      <c r="HR158" s="115"/>
      <c r="HS158" s="115"/>
      <c r="HT158" s="115"/>
      <c r="HU158" s="115"/>
      <c r="HV158" s="115"/>
      <c r="HW158" s="115"/>
      <c r="HX158" s="115"/>
      <c r="HY158" s="115"/>
      <c r="HZ158" s="115"/>
      <c r="IA158" s="115"/>
      <c r="IB158" s="115"/>
      <c r="IC158" s="115"/>
      <c r="ID158" s="115"/>
      <c r="IE158" s="115"/>
      <c r="IF158" s="115"/>
      <c r="IG158" s="115"/>
      <c r="IH158" s="115"/>
      <c r="II158" s="115"/>
      <c r="IJ158" s="115"/>
      <c r="IK158" s="115"/>
      <c r="IL158" s="115"/>
      <c r="IM158" s="115"/>
      <c r="IN158" s="115"/>
      <c r="IO158" s="115"/>
      <c r="IP158" s="115"/>
      <c r="IQ158" s="115"/>
      <c r="IR158" s="115"/>
      <c r="IS158" s="115"/>
      <c r="IT158" s="115"/>
      <c r="IU158" s="115"/>
    </row>
    <row r="159" spans="1:255" s="108" customFormat="1" ht="15.6" customHeight="1" thickBot="1">
      <c r="A159" s="1"/>
      <c r="B159" s="1" t="s">
        <v>2071</v>
      </c>
      <c r="C159" s="1"/>
      <c r="D159" s="10"/>
      <c r="E159" s="1"/>
      <c r="F159" s="1590">
        <v>20000</v>
      </c>
      <c r="G159" s="1591"/>
      <c r="H159" s="1"/>
      <c r="I159" s="1" t="s">
        <v>3105</v>
      </c>
      <c r="J159" s="770">
        <f>K159/12/M62</f>
        <v>12.5</v>
      </c>
      <c r="K159" s="1588">
        <v>12000</v>
      </c>
      <c r="L159" s="1589"/>
      <c r="M159" s="1"/>
      <c r="N159" s="1"/>
      <c r="O159" s="1"/>
      <c r="P159" s="1"/>
      <c r="T159" s="1497"/>
      <c r="U159" s="1498"/>
      <c r="V159" s="624"/>
      <c r="W159" s="624"/>
      <c r="X159" s="624"/>
      <c r="Y159" s="628"/>
      <c r="Z159" s="628"/>
      <c r="AA159" s="628"/>
      <c r="AB159" s="628"/>
      <c r="AC159" s="628"/>
      <c r="AD159" s="628"/>
      <c r="AE159" s="628"/>
      <c r="AF159" s="628"/>
      <c r="AG159" s="628"/>
      <c r="AH159" s="628"/>
      <c r="AI159" s="628"/>
      <c r="AJ159" s="628"/>
      <c r="AK159" s="628"/>
      <c r="AL159" s="628"/>
      <c r="AM159" s="628"/>
      <c r="AN159" s="628"/>
      <c r="AO159" s="628"/>
      <c r="AP159" s="628"/>
      <c r="AQ159" s="628"/>
      <c r="AR159" s="628"/>
      <c r="AS159" s="628"/>
      <c r="AT159" s="628"/>
      <c r="AU159" s="628"/>
      <c r="AV159" s="628"/>
      <c r="AW159" s="628"/>
      <c r="AX159" s="628"/>
      <c r="AY159" s="628"/>
      <c r="AZ159" s="628"/>
      <c r="BA159" s="628"/>
      <c r="BB159" s="628"/>
      <c r="BC159" s="628"/>
      <c r="BD159" s="628"/>
      <c r="BE159" s="628"/>
      <c r="BF159" s="628"/>
      <c r="BG159" s="628"/>
      <c r="BH159" s="628"/>
      <c r="BI159" s="628"/>
      <c r="BJ159" s="628"/>
      <c r="BK159" s="628"/>
      <c r="BL159" s="628"/>
      <c r="BM159" s="628"/>
      <c r="BN159" s="628"/>
      <c r="BO159" s="628"/>
      <c r="BP159" s="628"/>
      <c r="BQ159" s="628"/>
      <c r="BR159" s="628"/>
      <c r="BS159" s="628"/>
      <c r="BT159" s="628"/>
      <c r="BU159" s="628"/>
      <c r="BV159" s="628"/>
      <c r="BW159" s="628"/>
      <c r="BX159" s="628"/>
      <c r="BY159" s="628"/>
      <c r="BZ159" s="628"/>
      <c r="CA159" s="628"/>
      <c r="CB159" s="628"/>
      <c r="CC159" s="628"/>
      <c r="CD159" s="628"/>
      <c r="CE159" s="628"/>
      <c r="CF159" s="628"/>
      <c r="CG159" s="628"/>
      <c r="CH159" s="628"/>
      <c r="CI159" s="628"/>
      <c r="CJ159" s="628"/>
      <c r="CK159" s="628"/>
      <c r="CL159" s="628"/>
      <c r="CM159" s="628"/>
      <c r="CN159" s="628"/>
      <c r="CO159" s="628"/>
      <c r="CP159" s="628"/>
      <c r="CQ159" s="628"/>
      <c r="CR159" s="628"/>
      <c r="CS159" s="628"/>
      <c r="CT159" s="628"/>
      <c r="CU159" s="628"/>
      <c r="CV159" s="628"/>
      <c r="CW159" s="628"/>
      <c r="CX159" s="628"/>
      <c r="CY159" s="628"/>
      <c r="CZ159" s="628"/>
      <c r="DA159" s="628"/>
      <c r="DB159" s="628"/>
      <c r="DC159" s="628"/>
      <c r="DD159" s="628"/>
      <c r="DE159" s="628"/>
      <c r="DF159" s="628"/>
      <c r="DG159" s="628"/>
      <c r="DH159" s="628"/>
      <c r="DI159" s="628"/>
      <c r="DJ159" s="628"/>
      <c r="DK159" s="628"/>
      <c r="DL159" s="628"/>
      <c r="DM159" s="628"/>
      <c r="DN159" s="628"/>
      <c r="DO159" s="628"/>
      <c r="DP159" s="628"/>
      <c r="DQ159" s="628"/>
      <c r="DR159" s="628"/>
      <c r="DS159" s="628"/>
      <c r="DT159" s="628"/>
      <c r="DU159" s="628"/>
      <c r="DV159" s="628"/>
      <c r="DW159" s="628"/>
      <c r="DX159" s="628"/>
      <c r="DY159" s="628"/>
      <c r="DZ159" s="628"/>
      <c r="EA159" s="628"/>
      <c r="EB159" s="628"/>
      <c r="EC159" s="628"/>
      <c r="ED159" s="628"/>
      <c r="EE159" s="628"/>
      <c r="EF159" s="628"/>
      <c r="EG159" s="628"/>
      <c r="EH159" s="628"/>
      <c r="EI159" s="628"/>
      <c r="EJ159" s="628"/>
      <c r="EK159" s="628"/>
      <c r="EL159" s="628"/>
      <c r="EM159" s="628"/>
      <c r="EN159" s="628"/>
      <c r="EO159" s="628"/>
      <c r="EP159" s="628"/>
      <c r="EQ159" s="628"/>
      <c r="ER159" s="628"/>
      <c r="ES159" s="628"/>
      <c r="ET159" s="628"/>
      <c r="EU159" s="628"/>
      <c r="EV159" s="628"/>
      <c r="EW159" s="628"/>
      <c r="EX159" s="628"/>
      <c r="EY159" s="628"/>
      <c r="EZ159" s="628"/>
      <c r="FA159" s="628"/>
      <c r="FB159" s="628"/>
      <c r="FC159" s="628"/>
      <c r="FD159" s="628"/>
      <c r="FE159" s="628"/>
      <c r="FF159" s="628"/>
      <c r="FG159" s="628"/>
      <c r="FH159" s="628"/>
      <c r="FI159" s="628"/>
      <c r="FJ159" s="628"/>
      <c r="FK159" s="628"/>
      <c r="FL159" s="628"/>
      <c r="FM159" s="628"/>
      <c r="FN159" s="628"/>
      <c r="FO159" s="628"/>
      <c r="FP159" s="628"/>
      <c r="FQ159" s="628"/>
      <c r="FR159" s="628"/>
      <c r="FS159" s="628"/>
      <c r="FT159" s="628"/>
      <c r="FU159" s="628"/>
      <c r="FV159" s="628"/>
      <c r="FW159" s="628"/>
      <c r="FX159" s="628"/>
      <c r="FY159" s="629"/>
      <c r="FZ159" s="629"/>
      <c r="GA159" s="629"/>
      <c r="GB159" s="629"/>
      <c r="GC159" s="629"/>
      <c r="GD159" s="629"/>
      <c r="GE159" s="629"/>
      <c r="GF159" s="629"/>
      <c r="GG159" s="629"/>
      <c r="GH159" s="629"/>
      <c r="GI159" s="629"/>
      <c r="GJ159" s="629"/>
      <c r="GK159" s="629"/>
      <c r="GL159" s="629"/>
      <c r="GM159" s="629"/>
      <c r="GN159" s="629"/>
      <c r="GO159" s="629"/>
      <c r="GP159" s="628"/>
      <c r="GQ159" s="628"/>
      <c r="GR159" s="628"/>
      <c r="GS159" s="628"/>
      <c r="GT159" s="628"/>
      <c r="GU159" s="628"/>
      <c r="GV159" s="630"/>
      <c r="GW159" s="628"/>
      <c r="GX159" s="628"/>
      <c r="GY159" s="628"/>
      <c r="GZ159" s="628"/>
      <c r="HA159" s="628"/>
      <c r="HB159" s="628"/>
      <c r="HC159" s="628"/>
      <c r="HD159" s="628"/>
      <c r="HE159" s="628"/>
      <c r="HF159" s="628"/>
      <c r="HG159" s="628"/>
      <c r="HH159" s="628"/>
      <c r="HI159" s="628"/>
      <c r="HJ159" s="628"/>
      <c r="HK159" s="628"/>
      <c r="HL159" s="630"/>
      <c r="HM159" s="630"/>
      <c r="HN159" s="628"/>
      <c r="HO159" s="628"/>
      <c r="HP159" s="115"/>
      <c r="HQ159" s="115"/>
      <c r="HR159" s="115"/>
      <c r="HS159" s="115"/>
      <c r="HT159" s="115"/>
      <c r="HU159" s="115"/>
      <c r="HV159" s="115"/>
      <c r="HW159" s="115"/>
      <c r="HX159" s="115"/>
      <c r="HY159" s="115"/>
      <c r="HZ159" s="115"/>
      <c r="IA159" s="115"/>
      <c r="IB159" s="115"/>
      <c r="IC159" s="115"/>
      <c r="ID159" s="115"/>
      <c r="IE159" s="115"/>
      <c r="IF159" s="115"/>
      <c r="IG159" s="115"/>
      <c r="IH159" s="115"/>
      <c r="II159" s="115"/>
      <c r="IJ159" s="115"/>
      <c r="IK159" s="115"/>
      <c r="IL159" s="115"/>
      <c r="IM159" s="115"/>
      <c r="IN159" s="115"/>
      <c r="IO159" s="115"/>
      <c r="IP159" s="115"/>
      <c r="IQ159" s="115"/>
      <c r="IR159" s="115"/>
      <c r="IS159" s="115"/>
      <c r="IT159" s="115"/>
      <c r="IU159" s="115"/>
    </row>
    <row r="160" spans="1:255" s="108" customFormat="1" ht="15.6" customHeight="1" thickBot="1">
      <c r="A160" s="1"/>
      <c r="B160" s="1" t="s">
        <v>1403</v>
      </c>
      <c r="C160" s="1"/>
      <c r="D160" s="10"/>
      <c r="E160" s="1"/>
      <c r="F160" s="1575">
        <v>2680</v>
      </c>
      <c r="G160" s="1576"/>
      <c r="H160" s="1"/>
      <c r="I160" s="1" t="s">
        <v>1806</v>
      </c>
      <c r="J160" s="1"/>
      <c r="K160" s="1588">
        <v>11000</v>
      </c>
      <c r="L160" s="1589"/>
      <c r="M160" s="1"/>
      <c r="N160" s="11" t="s">
        <v>1667</v>
      </c>
      <c r="O160" s="11"/>
      <c r="P160" s="533">
        <f>P161*M62</f>
        <v>20000</v>
      </c>
      <c r="T160" s="1497"/>
      <c r="U160" s="1498"/>
      <c r="V160" s="624"/>
      <c r="W160" s="624"/>
      <c r="X160" s="624"/>
      <c r="Y160" s="628"/>
      <c r="Z160" s="628"/>
      <c r="AA160" s="628"/>
      <c r="AB160" s="628"/>
      <c r="AC160" s="628"/>
      <c r="AD160" s="628"/>
      <c r="AE160" s="628"/>
      <c r="AF160" s="628"/>
      <c r="AG160" s="628"/>
      <c r="AH160" s="628"/>
      <c r="AI160" s="628"/>
      <c r="AJ160" s="628"/>
      <c r="AK160" s="628"/>
      <c r="AL160" s="628"/>
      <c r="AM160" s="628"/>
      <c r="AN160" s="628"/>
      <c r="AO160" s="628"/>
      <c r="AP160" s="628"/>
      <c r="AQ160" s="628"/>
      <c r="AR160" s="628"/>
      <c r="AS160" s="628"/>
      <c r="AT160" s="628"/>
      <c r="AU160" s="628"/>
      <c r="AV160" s="628"/>
      <c r="AW160" s="628"/>
      <c r="AX160" s="628"/>
      <c r="AY160" s="628"/>
      <c r="AZ160" s="628"/>
      <c r="BA160" s="628"/>
      <c r="BB160" s="628"/>
      <c r="BC160" s="628"/>
      <c r="BD160" s="628"/>
      <c r="BE160" s="628"/>
      <c r="BF160" s="628"/>
      <c r="BG160" s="628"/>
      <c r="BH160" s="628"/>
      <c r="BI160" s="628"/>
      <c r="BJ160" s="628"/>
      <c r="BK160" s="628"/>
      <c r="BL160" s="628"/>
      <c r="BM160" s="628"/>
      <c r="BN160" s="628"/>
      <c r="BO160" s="628"/>
      <c r="BP160" s="628"/>
      <c r="BQ160" s="628"/>
      <c r="BR160" s="628"/>
      <c r="BS160" s="628"/>
      <c r="BT160" s="628"/>
      <c r="BU160" s="628"/>
      <c r="BV160" s="628"/>
      <c r="BW160" s="628"/>
      <c r="BX160" s="628"/>
      <c r="BY160" s="628"/>
      <c r="BZ160" s="628"/>
      <c r="CA160" s="628"/>
      <c r="CB160" s="628"/>
      <c r="CC160" s="628"/>
      <c r="CD160" s="628"/>
      <c r="CE160" s="628"/>
      <c r="CF160" s="628"/>
      <c r="CG160" s="628"/>
      <c r="CH160" s="628"/>
      <c r="CI160" s="628"/>
      <c r="CJ160" s="628"/>
      <c r="CK160" s="628"/>
      <c r="CL160" s="628"/>
      <c r="CM160" s="628"/>
      <c r="CN160" s="628"/>
      <c r="CO160" s="628"/>
      <c r="CP160" s="628"/>
      <c r="CQ160" s="628"/>
      <c r="CR160" s="628"/>
      <c r="CS160" s="628"/>
      <c r="CT160" s="628"/>
      <c r="CU160" s="628"/>
      <c r="CV160" s="628"/>
      <c r="CW160" s="628"/>
      <c r="CX160" s="628"/>
      <c r="CY160" s="628"/>
      <c r="CZ160" s="628"/>
      <c r="DA160" s="628"/>
      <c r="DB160" s="628"/>
      <c r="DC160" s="628"/>
      <c r="DD160" s="628"/>
      <c r="DE160" s="628"/>
      <c r="DF160" s="628"/>
      <c r="DG160" s="628"/>
      <c r="DH160" s="628"/>
      <c r="DI160" s="628"/>
      <c r="DJ160" s="628"/>
      <c r="DK160" s="628"/>
      <c r="DL160" s="628"/>
      <c r="DM160" s="628"/>
      <c r="DN160" s="628"/>
      <c r="DO160" s="628"/>
      <c r="DP160" s="628"/>
      <c r="DQ160" s="628"/>
      <c r="DR160" s="628"/>
      <c r="DS160" s="628"/>
      <c r="DT160" s="628"/>
      <c r="DU160" s="628"/>
      <c r="DV160" s="628"/>
      <c r="DW160" s="628"/>
      <c r="DX160" s="628"/>
      <c r="DY160" s="628"/>
      <c r="DZ160" s="628"/>
      <c r="EA160" s="628"/>
      <c r="EB160" s="628"/>
      <c r="EC160" s="628"/>
      <c r="ED160" s="628"/>
      <c r="EE160" s="628"/>
      <c r="EF160" s="628"/>
      <c r="EG160" s="628"/>
      <c r="EH160" s="628"/>
      <c r="EI160" s="628"/>
      <c r="EJ160" s="628"/>
      <c r="EK160" s="628"/>
      <c r="EL160" s="628"/>
      <c r="EM160" s="628"/>
      <c r="EN160" s="628"/>
      <c r="EO160" s="628"/>
      <c r="EP160" s="628"/>
      <c r="EQ160" s="628"/>
      <c r="ER160" s="628"/>
      <c r="ES160" s="628"/>
      <c r="ET160" s="628"/>
      <c r="EU160" s="628"/>
      <c r="EV160" s="628"/>
      <c r="EW160" s="628"/>
      <c r="EX160" s="628"/>
      <c r="EY160" s="628"/>
      <c r="EZ160" s="628"/>
      <c r="FA160" s="628"/>
      <c r="FB160" s="628"/>
      <c r="FC160" s="628"/>
      <c r="FD160" s="628"/>
      <c r="FE160" s="628"/>
      <c r="FF160" s="628"/>
      <c r="FG160" s="628"/>
      <c r="FH160" s="628"/>
      <c r="FI160" s="628"/>
      <c r="FJ160" s="628"/>
      <c r="FK160" s="628"/>
      <c r="FL160" s="628"/>
      <c r="FM160" s="628"/>
      <c r="FN160" s="628"/>
      <c r="FO160" s="628"/>
      <c r="FP160" s="628"/>
      <c r="FQ160" s="628"/>
      <c r="FR160" s="628"/>
      <c r="FS160" s="628"/>
      <c r="FT160" s="628"/>
      <c r="FU160" s="628"/>
      <c r="FV160" s="628"/>
      <c r="FW160" s="628"/>
      <c r="FX160" s="628"/>
      <c r="FY160" s="629"/>
      <c r="FZ160" s="629"/>
      <c r="GA160" s="629"/>
      <c r="GB160" s="629"/>
      <c r="GC160" s="629"/>
      <c r="GD160" s="629"/>
      <c r="GE160" s="629"/>
      <c r="GF160" s="629"/>
      <c r="GG160" s="629"/>
      <c r="GH160" s="629"/>
      <c r="GI160" s="629"/>
      <c r="GJ160" s="629"/>
      <c r="GK160" s="629"/>
      <c r="GL160" s="629"/>
      <c r="GM160" s="629"/>
      <c r="GN160" s="629"/>
      <c r="GO160" s="629"/>
      <c r="GP160" s="628"/>
      <c r="GQ160" s="628"/>
      <c r="GR160" s="628"/>
      <c r="GS160" s="628"/>
      <c r="GT160" s="628"/>
      <c r="GU160" s="628"/>
      <c r="GV160" s="630"/>
      <c r="GW160" s="628"/>
      <c r="GX160" s="628"/>
      <c r="GY160" s="628"/>
      <c r="GZ160" s="628"/>
      <c r="HA160" s="628"/>
      <c r="HB160" s="628"/>
      <c r="HC160" s="628"/>
      <c r="HD160" s="628"/>
      <c r="HE160" s="628"/>
      <c r="HF160" s="628"/>
      <c r="HG160" s="628"/>
      <c r="HH160" s="628"/>
      <c r="HI160" s="628"/>
      <c r="HJ160" s="628"/>
      <c r="HK160" s="628"/>
      <c r="HL160" s="630"/>
      <c r="HM160" s="630"/>
      <c r="HN160" s="628"/>
      <c r="HO160" s="628"/>
      <c r="HP160" s="115"/>
      <c r="HQ160" s="115"/>
      <c r="HR160" s="115"/>
      <c r="HS160" s="115"/>
      <c r="HT160" s="115"/>
      <c r="HU160" s="115"/>
      <c r="HV160" s="115"/>
      <c r="HW160" s="115"/>
      <c r="HX160" s="115"/>
      <c r="HY160" s="115"/>
      <c r="HZ160" s="115"/>
      <c r="IA160" s="115"/>
      <c r="IB160" s="115"/>
      <c r="IC160" s="115"/>
      <c r="ID160" s="115"/>
      <c r="IE160" s="115"/>
      <c r="IF160" s="115"/>
      <c r="IG160" s="115"/>
      <c r="IH160" s="115"/>
      <c r="II160" s="115"/>
      <c r="IJ160" s="115"/>
      <c r="IK160" s="115"/>
      <c r="IL160" s="115"/>
      <c r="IM160" s="115"/>
      <c r="IN160" s="115"/>
      <c r="IO160" s="115"/>
      <c r="IP160" s="115"/>
      <c r="IQ160" s="115"/>
      <c r="IR160" s="115"/>
      <c r="IS160" s="115"/>
      <c r="IT160" s="115"/>
      <c r="IU160" s="115"/>
    </row>
    <row r="161" spans="1:255" s="108" customFormat="1" ht="15.6" customHeight="1" thickBot="1">
      <c r="A161" s="1"/>
      <c r="B161" s="1" t="s">
        <v>1404</v>
      </c>
      <c r="C161" s="1"/>
      <c r="D161" s="10"/>
      <c r="E161" s="1"/>
      <c r="F161" s="1575">
        <v>7500</v>
      </c>
      <c r="G161" s="1576"/>
      <c r="H161" s="1"/>
      <c r="I161" s="1578" t="s">
        <v>55</v>
      </c>
      <c r="J161" s="1579"/>
      <c r="K161" s="1586"/>
      <c r="L161" s="1587"/>
      <c r="M161" s="1"/>
      <c r="N161" s="30" t="s">
        <v>592</v>
      </c>
      <c r="O161" s="1"/>
      <c r="P161" s="1592">
        <v>250</v>
      </c>
      <c r="T161" s="1497"/>
      <c r="U161" s="1498"/>
      <c r="V161" s="624"/>
      <c r="W161" s="624"/>
      <c r="X161" s="624"/>
      <c r="Y161" s="628"/>
      <c r="Z161" s="628"/>
      <c r="AA161" s="628"/>
      <c r="AB161" s="628"/>
      <c r="AC161" s="628"/>
      <c r="AD161" s="628"/>
      <c r="AE161" s="628"/>
      <c r="AF161" s="628"/>
      <c r="AG161" s="628"/>
      <c r="AH161" s="628"/>
      <c r="AI161" s="628"/>
      <c r="AJ161" s="628"/>
      <c r="AK161" s="628"/>
      <c r="AL161" s="628"/>
      <c r="AM161" s="628"/>
      <c r="AN161" s="628"/>
      <c r="AO161" s="628"/>
      <c r="AP161" s="628"/>
      <c r="AQ161" s="628"/>
      <c r="AR161" s="628"/>
      <c r="AS161" s="628"/>
      <c r="AT161" s="628"/>
      <c r="AU161" s="628"/>
      <c r="AV161" s="628"/>
      <c r="AW161" s="628"/>
      <c r="AX161" s="628"/>
      <c r="AY161" s="628"/>
      <c r="AZ161" s="628"/>
      <c r="BA161" s="628"/>
      <c r="BB161" s="628"/>
      <c r="BC161" s="628"/>
      <c r="BD161" s="628"/>
      <c r="BE161" s="628"/>
      <c r="BF161" s="628"/>
      <c r="BG161" s="628"/>
      <c r="BH161" s="628"/>
      <c r="BI161" s="628"/>
      <c r="BJ161" s="628"/>
      <c r="BK161" s="628"/>
      <c r="BL161" s="628"/>
      <c r="BM161" s="628"/>
      <c r="BN161" s="628"/>
      <c r="BO161" s="628"/>
      <c r="BP161" s="628"/>
      <c r="BQ161" s="628"/>
      <c r="BR161" s="628"/>
      <c r="BS161" s="628"/>
      <c r="BT161" s="628"/>
      <c r="BU161" s="628"/>
      <c r="BV161" s="628"/>
      <c r="BW161" s="628"/>
      <c r="BX161" s="628"/>
      <c r="BY161" s="628"/>
      <c r="BZ161" s="628"/>
      <c r="CA161" s="628"/>
      <c r="CB161" s="628"/>
      <c r="CC161" s="628"/>
      <c r="CD161" s="628"/>
      <c r="CE161" s="628"/>
      <c r="CF161" s="628"/>
      <c r="CG161" s="628"/>
      <c r="CH161" s="628"/>
      <c r="CI161" s="628"/>
      <c r="CJ161" s="628"/>
      <c r="CK161" s="628"/>
      <c r="CL161" s="628"/>
      <c r="CM161" s="628"/>
      <c r="CN161" s="628"/>
      <c r="CO161" s="628"/>
      <c r="CP161" s="628"/>
      <c r="CQ161" s="628"/>
      <c r="CR161" s="628"/>
      <c r="CS161" s="628"/>
      <c r="CT161" s="628"/>
      <c r="CU161" s="628"/>
      <c r="CV161" s="628"/>
      <c r="CW161" s="628"/>
      <c r="CX161" s="628"/>
      <c r="CY161" s="628"/>
      <c r="CZ161" s="628"/>
      <c r="DA161" s="628"/>
      <c r="DB161" s="628"/>
      <c r="DC161" s="628"/>
      <c r="DD161" s="628"/>
      <c r="DE161" s="628"/>
      <c r="DF161" s="628"/>
      <c r="DG161" s="628"/>
      <c r="DH161" s="628"/>
      <c r="DI161" s="628"/>
      <c r="DJ161" s="628"/>
      <c r="DK161" s="628"/>
      <c r="DL161" s="628"/>
      <c r="DM161" s="628"/>
      <c r="DN161" s="628"/>
      <c r="DO161" s="628"/>
      <c r="DP161" s="628"/>
      <c r="DQ161" s="628"/>
      <c r="DR161" s="628"/>
      <c r="DS161" s="628"/>
      <c r="DT161" s="628"/>
      <c r="DU161" s="628"/>
      <c r="DV161" s="628"/>
      <c r="DW161" s="628"/>
      <c r="DX161" s="628"/>
      <c r="DY161" s="628"/>
      <c r="DZ161" s="628"/>
      <c r="EA161" s="628"/>
      <c r="EB161" s="628"/>
      <c r="EC161" s="628"/>
      <c r="ED161" s="628"/>
      <c r="EE161" s="628"/>
      <c r="EF161" s="628"/>
      <c r="EG161" s="628"/>
      <c r="EH161" s="628"/>
      <c r="EI161" s="628"/>
      <c r="EJ161" s="628"/>
      <c r="EK161" s="628"/>
      <c r="EL161" s="628"/>
      <c r="EM161" s="628"/>
      <c r="EN161" s="628"/>
      <c r="EO161" s="628"/>
      <c r="EP161" s="628"/>
      <c r="EQ161" s="628"/>
      <c r="ER161" s="628"/>
      <c r="ES161" s="628"/>
      <c r="ET161" s="628"/>
      <c r="EU161" s="628"/>
      <c r="EV161" s="628"/>
      <c r="EW161" s="628"/>
      <c r="EX161" s="628"/>
      <c r="EY161" s="628"/>
      <c r="EZ161" s="628"/>
      <c r="FA161" s="628"/>
      <c r="FB161" s="628"/>
      <c r="FC161" s="628"/>
      <c r="FD161" s="628"/>
      <c r="FE161" s="628"/>
      <c r="FF161" s="628"/>
      <c r="FG161" s="628"/>
      <c r="FH161" s="628"/>
      <c r="FI161" s="628"/>
      <c r="FJ161" s="628"/>
      <c r="FK161" s="628"/>
      <c r="FL161" s="628"/>
      <c r="FM161" s="628"/>
      <c r="FN161" s="628"/>
      <c r="FO161" s="628"/>
      <c r="FP161" s="628"/>
      <c r="FQ161" s="628"/>
      <c r="FR161" s="628"/>
      <c r="FS161" s="628"/>
      <c r="FT161" s="628"/>
      <c r="FU161" s="628"/>
      <c r="FV161" s="628"/>
      <c r="FW161" s="628"/>
      <c r="FX161" s="628"/>
      <c r="FY161" s="629"/>
      <c r="FZ161" s="629"/>
      <c r="GA161" s="629"/>
      <c r="GB161" s="629"/>
      <c r="GC161" s="629"/>
      <c r="GD161" s="629"/>
      <c r="GE161" s="629"/>
      <c r="GF161" s="629"/>
      <c r="GG161" s="629"/>
      <c r="GH161" s="629"/>
      <c r="GI161" s="629"/>
      <c r="GJ161" s="629"/>
      <c r="GK161" s="629"/>
      <c r="GL161" s="629"/>
      <c r="GM161" s="629"/>
      <c r="GN161" s="629"/>
      <c r="GO161" s="629"/>
      <c r="GP161" s="628"/>
      <c r="GQ161" s="628"/>
      <c r="GR161" s="628"/>
      <c r="GS161" s="628"/>
      <c r="GT161" s="628"/>
      <c r="GU161" s="628"/>
      <c r="GV161" s="630"/>
      <c r="GW161" s="628"/>
      <c r="GX161" s="628"/>
      <c r="GY161" s="628"/>
      <c r="GZ161" s="628"/>
      <c r="HA161" s="628"/>
      <c r="HB161" s="628"/>
      <c r="HC161" s="628"/>
      <c r="HD161" s="628"/>
      <c r="HE161" s="628"/>
      <c r="HF161" s="628"/>
      <c r="HG161" s="628"/>
      <c r="HH161" s="628"/>
      <c r="HI161" s="628"/>
      <c r="HJ161" s="628"/>
      <c r="HK161" s="628"/>
      <c r="HL161" s="630"/>
      <c r="HM161" s="630"/>
      <c r="HN161" s="628"/>
      <c r="HO161" s="628"/>
      <c r="HP161" s="115"/>
      <c r="HQ161" s="115"/>
      <c r="HR161" s="115"/>
      <c r="HS161" s="115"/>
      <c r="HT161" s="115"/>
      <c r="HU161" s="115"/>
      <c r="HV161" s="115"/>
      <c r="HW161" s="115"/>
      <c r="HX161" s="115"/>
      <c r="HY161" s="115"/>
      <c r="HZ161" s="115"/>
      <c r="IA161" s="115"/>
      <c r="IB161" s="115"/>
      <c r="IC161" s="115"/>
      <c r="ID161" s="115"/>
      <c r="IE161" s="115"/>
      <c r="IF161" s="115"/>
      <c r="IG161" s="115"/>
      <c r="IH161" s="115"/>
      <c r="II161" s="115"/>
      <c r="IJ161" s="115"/>
      <c r="IK161" s="115"/>
      <c r="IL161" s="115"/>
      <c r="IM161" s="115"/>
      <c r="IN161" s="115"/>
      <c r="IO161" s="115"/>
      <c r="IP161" s="115"/>
      <c r="IQ161" s="115"/>
      <c r="IR161" s="115"/>
      <c r="IS161" s="115"/>
      <c r="IT161" s="115"/>
      <c r="IU161" s="115"/>
    </row>
    <row r="162" spans="1:255" s="108" customFormat="1" ht="15.6" customHeight="1" thickTop="1">
      <c r="A162" s="1"/>
      <c r="B162" s="1" t="s">
        <v>1405</v>
      </c>
      <c r="C162" s="1"/>
      <c r="D162" s="10"/>
      <c r="E162" s="1"/>
      <c r="F162" s="1575">
        <v>3600</v>
      </c>
      <c r="G162" s="1576"/>
      <c r="H162" s="1"/>
      <c r="I162" s="1"/>
      <c r="J162" s="13" t="s">
        <v>209</v>
      </c>
      <c r="K162" s="1017">
        <f>SUM(K157:K161)</f>
        <v>31000</v>
      </c>
      <c r="L162" s="1018"/>
      <c r="M162" s="1"/>
      <c r="N162" s="1"/>
      <c r="O162" s="1"/>
      <c r="T162" s="1497"/>
      <c r="U162" s="1498"/>
      <c r="V162" s="624"/>
      <c r="W162" s="624"/>
      <c r="X162" s="624"/>
      <c r="Y162" s="628"/>
      <c r="Z162" s="628"/>
      <c r="AA162" s="628"/>
      <c r="AB162" s="628"/>
      <c r="AC162" s="628"/>
      <c r="AD162" s="628"/>
      <c r="AE162" s="628"/>
      <c r="AF162" s="628"/>
      <c r="AG162" s="628"/>
      <c r="AH162" s="628"/>
      <c r="AI162" s="628"/>
      <c r="AJ162" s="628"/>
      <c r="AK162" s="628"/>
      <c r="AL162" s="628"/>
      <c r="AM162" s="628"/>
      <c r="AN162" s="628"/>
      <c r="AO162" s="628"/>
      <c r="AP162" s="628"/>
      <c r="AQ162" s="628"/>
      <c r="AR162" s="628"/>
      <c r="AS162" s="628"/>
      <c r="AT162" s="628"/>
      <c r="AU162" s="628"/>
      <c r="AV162" s="628"/>
      <c r="AW162" s="628"/>
      <c r="AX162" s="628"/>
      <c r="AY162" s="628"/>
      <c r="AZ162" s="628"/>
      <c r="BA162" s="628"/>
      <c r="BB162" s="628"/>
      <c r="BC162" s="628"/>
      <c r="BD162" s="628"/>
      <c r="BE162" s="628"/>
      <c r="BF162" s="628"/>
      <c r="BG162" s="628"/>
      <c r="BH162" s="628"/>
      <c r="BI162" s="628"/>
      <c r="BJ162" s="628"/>
      <c r="BK162" s="628"/>
      <c r="BL162" s="628"/>
      <c r="BM162" s="628"/>
      <c r="BN162" s="628"/>
      <c r="BO162" s="628"/>
      <c r="BP162" s="628"/>
      <c r="BQ162" s="628"/>
      <c r="BR162" s="628"/>
      <c r="BS162" s="628"/>
      <c r="BT162" s="628"/>
      <c r="BU162" s="628"/>
      <c r="BV162" s="628"/>
      <c r="BW162" s="628"/>
      <c r="BX162" s="628"/>
      <c r="BY162" s="628"/>
      <c r="BZ162" s="628"/>
      <c r="CA162" s="628"/>
      <c r="CB162" s="628"/>
      <c r="CC162" s="628"/>
      <c r="CD162" s="628"/>
      <c r="CE162" s="628"/>
      <c r="CF162" s="628"/>
      <c r="CG162" s="628"/>
      <c r="CH162" s="628"/>
      <c r="CI162" s="628"/>
      <c r="CJ162" s="628"/>
      <c r="CK162" s="628"/>
      <c r="CL162" s="628"/>
      <c r="CM162" s="628"/>
      <c r="CN162" s="628"/>
      <c r="CO162" s="628"/>
      <c r="CP162" s="628"/>
      <c r="CQ162" s="628"/>
      <c r="CR162" s="628"/>
      <c r="CS162" s="628"/>
      <c r="CT162" s="628"/>
      <c r="CU162" s="628"/>
      <c r="CV162" s="628"/>
      <c r="CW162" s="628"/>
      <c r="CX162" s="628"/>
      <c r="CY162" s="628"/>
      <c r="CZ162" s="628"/>
      <c r="DA162" s="628"/>
      <c r="DB162" s="628"/>
      <c r="DC162" s="628"/>
      <c r="DD162" s="628"/>
      <c r="DE162" s="628"/>
      <c r="DF162" s="628"/>
      <c r="DG162" s="628"/>
      <c r="DH162" s="628"/>
      <c r="DI162" s="628"/>
      <c r="DJ162" s="628"/>
      <c r="DK162" s="628"/>
      <c r="DL162" s="628"/>
      <c r="DM162" s="628"/>
      <c r="DN162" s="628"/>
      <c r="DO162" s="628"/>
      <c r="DP162" s="628"/>
      <c r="DQ162" s="628"/>
      <c r="DR162" s="628"/>
      <c r="DS162" s="628"/>
      <c r="DT162" s="628"/>
      <c r="DU162" s="628"/>
      <c r="DV162" s="628"/>
      <c r="DW162" s="628"/>
      <c r="DX162" s="628"/>
      <c r="DY162" s="628"/>
      <c r="DZ162" s="628"/>
      <c r="EA162" s="628"/>
      <c r="EB162" s="628"/>
      <c r="EC162" s="628"/>
      <c r="ED162" s="628"/>
      <c r="EE162" s="628"/>
      <c r="EF162" s="628"/>
      <c r="EG162" s="628"/>
      <c r="EH162" s="628"/>
      <c r="EI162" s="628"/>
      <c r="EJ162" s="628"/>
      <c r="EK162" s="628"/>
      <c r="EL162" s="628"/>
      <c r="EM162" s="628"/>
      <c r="EN162" s="628"/>
      <c r="EO162" s="628"/>
      <c r="EP162" s="628"/>
      <c r="EQ162" s="628"/>
      <c r="ER162" s="628"/>
      <c r="ES162" s="628"/>
      <c r="ET162" s="628"/>
      <c r="EU162" s="628"/>
      <c r="EV162" s="628"/>
      <c r="EW162" s="628"/>
      <c r="EX162" s="628"/>
      <c r="EY162" s="628"/>
      <c r="EZ162" s="628"/>
      <c r="FA162" s="628"/>
      <c r="FB162" s="628"/>
      <c r="FC162" s="628"/>
      <c r="FD162" s="628"/>
      <c r="FE162" s="628"/>
      <c r="FF162" s="628"/>
      <c r="FG162" s="628"/>
      <c r="FH162" s="628"/>
      <c r="FI162" s="628"/>
      <c r="FJ162" s="628"/>
      <c r="FK162" s="628"/>
      <c r="FL162" s="628"/>
      <c r="FM162" s="628"/>
      <c r="FN162" s="628"/>
      <c r="FO162" s="628"/>
      <c r="FP162" s="628"/>
      <c r="FQ162" s="628"/>
      <c r="FR162" s="628"/>
      <c r="FS162" s="628"/>
      <c r="FT162" s="628"/>
      <c r="FU162" s="628"/>
      <c r="FV162" s="628"/>
      <c r="FW162" s="628"/>
      <c r="FX162" s="628"/>
      <c r="FY162" s="629"/>
      <c r="FZ162" s="629"/>
      <c r="GA162" s="629"/>
      <c r="GB162" s="629"/>
      <c r="GC162" s="629"/>
      <c r="GD162" s="629"/>
      <c r="GE162" s="629"/>
      <c r="GF162" s="629"/>
      <c r="GG162" s="629"/>
      <c r="GH162" s="629"/>
      <c r="GI162" s="629"/>
      <c r="GJ162" s="629"/>
      <c r="GK162" s="629"/>
      <c r="GL162" s="629"/>
      <c r="GM162" s="629"/>
      <c r="GN162" s="629"/>
      <c r="GO162" s="629"/>
      <c r="GP162" s="628"/>
      <c r="GQ162" s="628"/>
      <c r="GR162" s="628"/>
      <c r="GS162" s="628"/>
      <c r="GT162" s="628"/>
      <c r="GU162" s="628"/>
      <c r="GV162" s="630"/>
      <c r="GW162" s="628"/>
      <c r="GX162" s="628"/>
      <c r="GY162" s="628"/>
      <c r="GZ162" s="628"/>
      <c r="HA162" s="628"/>
      <c r="HB162" s="628"/>
      <c r="HC162" s="628"/>
      <c r="HD162" s="628"/>
      <c r="HE162" s="628"/>
      <c r="HF162" s="628"/>
      <c r="HG162" s="628"/>
      <c r="HH162" s="628"/>
      <c r="HI162" s="628"/>
      <c r="HJ162" s="628"/>
      <c r="HK162" s="628"/>
      <c r="HL162" s="630"/>
      <c r="HM162" s="630"/>
      <c r="HN162" s="628"/>
      <c r="HO162" s="628"/>
      <c r="HP162" s="115"/>
      <c r="HQ162" s="115"/>
      <c r="HR162" s="115"/>
      <c r="HS162" s="115"/>
      <c r="HT162" s="115"/>
      <c r="HU162" s="115"/>
      <c r="HV162" s="115"/>
      <c r="HW162" s="115"/>
      <c r="HX162" s="115"/>
      <c r="HY162" s="115"/>
      <c r="HZ162" s="115"/>
      <c r="IA162" s="115"/>
      <c r="IB162" s="115"/>
      <c r="IC162" s="115"/>
      <c r="ID162" s="115"/>
      <c r="IE162" s="115"/>
      <c r="IF162" s="115"/>
      <c r="IG162" s="115"/>
      <c r="IH162" s="115"/>
      <c r="II162" s="115"/>
      <c r="IJ162" s="115"/>
      <c r="IK162" s="115"/>
      <c r="IL162" s="115"/>
      <c r="IM162" s="115"/>
      <c r="IN162" s="115"/>
      <c r="IO162" s="115"/>
      <c r="IP162" s="115"/>
      <c r="IQ162" s="115"/>
      <c r="IR162" s="115"/>
      <c r="IS162" s="115"/>
      <c r="IT162" s="115"/>
      <c r="IU162" s="115"/>
    </row>
    <row r="163" spans="1:255" s="108" customFormat="1" ht="15.6" customHeight="1">
      <c r="A163" s="1"/>
      <c r="B163" s="1" t="s">
        <v>1262</v>
      </c>
      <c r="C163" s="1"/>
      <c r="D163" s="10"/>
      <c r="E163" s="1"/>
      <c r="F163" s="1575">
        <v>8000</v>
      </c>
      <c r="G163" s="1576"/>
      <c r="H163" s="1"/>
      <c r="I163" s="1"/>
      <c r="J163" s="14"/>
      <c r="K163" s="1"/>
      <c r="L163" s="1"/>
      <c r="M163" s="1"/>
      <c r="N163" s="1"/>
      <c r="O163" s="1"/>
      <c r="T163" s="1497"/>
      <c r="U163" s="1498"/>
      <c r="V163" s="624"/>
      <c r="W163" s="624"/>
      <c r="X163" s="624"/>
      <c r="Y163" s="628"/>
      <c r="Z163" s="628"/>
      <c r="AA163" s="628"/>
      <c r="AB163" s="628"/>
      <c r="AC163" s="628"/>
      <c r="AD163" s="628"/>
      <c r="AE163" s="628"/>
      <c r="AF163" s="628"/>
      <c r="AG163" s="628"/>
      <c r="AH163" s="628"/>
      <c r="AI163" s="628"/>
      <c r="AJ163" s="628"/>
      <c r="AK163" s="628"/>
      <c r="AL163" s="628"/>
      <c r="AM163" s="628"/>
      <c r="AN163" s="628"/>
      <c r="AO163" s="628"/>
      <c r="AP163" s="628"/>
      <c r="AQ163" s="628"/>
      <c r="AR163" s="628"/>
      <c r="AS163" s="628"/>
      <c r="AT163" s="628"/>
      <c r="AU163" s="628"/>
      <c r="AV163" s="628"/>
      <c r="AW163" s="628"/>
      <c r="AX163" s="628"/>
      <c r="AY163" s="628"/>
      <c r="AZ163" s="628"/>
      <c r="BA163" s="628"/>
      <c r="BB163" s="628"/>
      <c r="BC163" s="628"/>
      <c r="BD163" s="628"/>
      <c r="BE163" s="628"/>
      <c r="BF163" s="628"/>
      <c r="BG163" s="628"/>
      <c r="BH163" s="628"/>
      <c r="BI163" s="628"/>
      <c r="BJ163" s="628"/>
      <c r="BK163" s="628"/>
      <c r="BL163" s="628"/>
      <c r="BM163" s="628"/>
      <c r="BN163" s="628"/>
      <c r="BO163" s="628"/>
      <c r="BP163" s="628"/>
      <c r="BQ163" s="628"/>
      <c r="BR163" s="628"/>
      <c r="BS163" s="628"/>
      <c r="BT163" s="628"/>
      <c r="BU163" s="628"/>
      <c r="BV163" s="628"/>
      <c r="BW163" s="628"/>
      <c r="BX163" s="628"/>
      <c r="BY163" s="628"/>
      <c r="BZ163" s="628"/>
      <c r="CA163" s="628"/>
      <c r="CB163" s="628"/>
      <c r="CC163" s="628"/>
      <c r="CD163" s="628"/>
      <c r="CE163" s="628"/>
      <c r="CF163" s="628"/>
      <c r="CG163" s="628"/>
      <c r="CH163" s="628"/>
      <c r="CI163" s="628"/>
      <c r="CJ163" s="628"/>
      <c r="CK163" s="628"/>
      <c r="CL163" s="628"/>
      <c r="CM163" s="628"/>
      <c r="CN163" s="628"/>
      <c r="CO163" s="628"/>
      <c r="CP163" s="628"/>
      <c r="CQ163" s="628"/>
      <c r="CR163" s="628"/>
      <c r="CS163" s="628"/>
      <c r="CT163" s="628"/>
      <c r="CU163" s="628"/>
      <c r="CV163" s="628"/>
      <c r="CW163" s="628"/>
      <c r="CX163" s="628"/>
      <c r="CY163" s="628"/>
      <c r="CZ163" s="628"/>
      <c r="DA163" s="628"/>
      <c r="DB163" s="628"/>
      <c r="DC163" s="628"/>
      <c r="DD163" s="628"/>
      <c r="DE163" s="628"/>
      <c r="DF163" s="628"/>
      <c r="DG163" s="628"/>
      <c r="DH163" s="628"/>
      <c r="DI163" s="628"/>
      <c r="DJ163" s="628"/>
      <c r="DK163" s="628"/>
      <c r="DL163" s="628"/>
      <c r="DM163" s="628"/>
      <c r="DN163" s="628"/>
      <c r="DO163" s="628"/>
      <c r="DP163" s="628"/>
      <c r="DQ163" s="628"/>
      <c r="DR163" s="628"/>
      <c r="DS163" s="628"/>
      <c r="DT163" s="628"/>
      <c r="DU163" s="628"/>
      <c r="DV163" s="628"/>
      <c r="DW163" s="628"/>
      <c r="DX163" s="628"/>
      <c r="DY163" s="628"/>
      <c r="DZ163" s="628"/>
      <c r="EA163" s="628"/>
      <c r="EB163" s="628"/>
      <c r="EC163" s="628"/>
      <c r="ED163" s="628"/>
      <c r="EE163" s="628"/>
      <c r="EF163" s="628"/>
      <c r="EG163" s="628"/>
      <c r="EH163" s="628"/>
      <c r="EI163" s="628"/>
      <c r="EJ163" s="628"/>
      <c r="EK163" s="628"/>
      <c r="EL163" s="628"/>
      <c r="EM163" s="628"/>
      <c r="EN163" s="628"/>
      <c r="EO163" s="628"/>
      <c r="EP163" s="628"/>
      <c r="EQ163" s="628"/>
      <c r="ER163" s="628"/>
      <c r="ES163" s="628"/>
      <c r="ET163" s="628"/>
      <c r="EU163" s="628"/>
      <c r="EV163" s="628"/>
      <c r="EW163" s="628"/>
      <c r="EX163" s="628"/>
      <c r="EY163" s="628"/>
      <c r="EZ163" s="628"/>
      <c r="FA163" s="628"/>
      <c r="FB163" s="628"/>
      <c r="FC163" s="628"/>
      <c r="FD163" s="628"/>
      <c r="FE163" s="628"/>
      <c r="FF163" s="628"/>
      <c r="FG163" s="628"/>
      <c r="FH163" s="628"/>
      <c r="FI163" s="628"/>
      <c r="FJ163" s="628"/>
      <c r="FK163" s="628"/>
      <c r="FL163" s="628"/>
      <c r="FM163" s="628"/>
      <c r="FN163" s="628"/>
      <c r="FO163" s="628"/>
      <c r="FP163" s="628"/>
      <c r="FQ163" s="628"/>
      <c r="FR163" s="628"/>
      <c r="FS163" s="628"/>
      <c r="FT163" s="628"/>
      <c r="FU163" s="628"/>
      <c r="FV163" s="628"/>
      <c r="FW163" s="628"/>
      <c r="FX163" s="628"/>
      <c r="FY163" s="629"/>
      <c r="FZ163" s="629"/>
      <c r="GA163" s="629"/>
      <c r="GB163" s="629"/>
      <c r="GC163" s="629"/>
      <c r="GD163" s="629"/>
      <c r="GE163" s="629"/>
      <c r="GF163" s="629"/>
      <c r="GG163" s="629"/>
      <c r="GH163" s="629"/>
      <c r="GI163" s="629"/>
      <c r="GJ163" s="629"/>
      <c r="GK163" s="629"/>
      <c r="GL163" s="629"/>
      <c r="GM163" s="629"/>
      <c r="GN163" s="629"/>
      <c r="GO163" s="629"/>
      <c r="GP163" s="628"/>
      <c r="GQ163" s="628"/>
      <c r="GR163" s="628"/>
      <c r="GS163" s="628"/>
      <c r="GT163" s="628"/>
      <c r="GU163" s="628"/>
      <c r="GV163" s="630"/>
      <c r="GW163" s="628"/>
      <c r="GX163" s="628"/>
      <c r="GY163" s="628"/>
      <c r="GZ163" s="628"/>
      <c r="HA163" s="628"/>
      <c r="HB163" s="628"/>
      <c r="HC163" s="628"/>
      <c r="HD163" s="628"/>
      <c r="HE163" s="628"/>
      <c r="HF163" s="628"/>
      <c r="HG163" s="628"/>
      <c r="HH163" s="628"/>
      <c r="HI163" s="628"/>
      <c r="HJ163" s="628"/>
      <c r="HK163" s="628"/>
      <c r="HL163" s="630"/>
      <c r="HM163" s="630"/>
      <c r="HN163" s="628"/>
      <c r="HO163" s="628"/>
      <c r="HP163" s="115"/>
      <c r="HQ163" s="115"/>
      <c r="HR163" s="115"/>
      <c r="HS163" s="115"/>
      <c r="HT163" s="115"/>
      <c r="HU163" s="115"/>
      <c r="HV163" s="115"/>
      <c r="HW163" s="115"/>
      <c r="HX163" s="115"/>
      <c r="HY163" s="115"/>
      <c r="HZ163" s="115"/>
      <c r="IA163" s="115"/>
      <c r="IB163" s="115"/>
      <c r="IC163" s="115"/>
      <c r="ID163" s="115"/>
      <c r="IE163" s="115"/>
      <c r="IF163" s="115"/>
      <c r="IG163" s="115"/>
      <c r="IH163" s="115"/>
      <c r="II163" s="115"/>
      <c r="IJ163" s="115"/>
      <c r="IK163" s="115"/>
      <c r="IL163" s="115"/>
      <c r="IM163" s="115"/>
      <c r="IN163" s="115"/>
      <c r="IO163" s="115"/>
      <c r="IP163" s="115"/>
      <c r="IQ163" s="115"/>
      <c r="IR163" s="115"/>
      <c r="IS163" s="115"/>
      <c r="IT163" s="115"/>
      <c r="IU163" s="115"/>
    </row>
    <row r="164" spans="1:255" s="108" customFormat="1" ht="15.6" customHeight="1" thickBot="1">
      <c r="A164" s="1"/>
      <c r="B164" s="1581" t="s">
        <v>55</v>
      </c>
      <c r="C164" s="1582"/>
      <c r="D164" s="1582"/>
      <c r="E164" s="1583"/>
      <c r="F164" s="1584"/>
      <c r="G164" s="1585"/>
      <c r="H164" s="1"/>
      <c r="I164" s="1"/>
      <c r="J164" s="14"/>
      <c r="K164" s="1"/>
      <c r="L164" s="1"/>
      <c r="M164" s="1"/>
      <c r="N164" s="11" t="s">
        <v>2905</v>
      </c>
      <c r="O164" s="11"/>
      <c r="P164" s="11"/>
      <c r="T164" s="1497"/>
      <c r="U164" s="1498"/>
      <c r="V164" s="624"/>
      <c r="W164" s="624"/>
      <c r="X164" s="624"/>
      <c r="Y164" s="628"/>
      <c r="Z164" s="628"/>
      <c r="AA164" s="628"/>
      <c r="AB164" s="628"/>
      <c r="AC164" s="628"/>
      <c r="AD164" s="628"/>
      <c r="AE164" s="628"/>
      <c r="AF164" s="628"/>
      <c r="AG164" s="628"/>
      <c r="AH164" s="628"/>
      <c r="AI164" s="628"/>
      <c r="AJ164" s="628"/>
      <c r="AK164" s="628"/>
      <c r="AL164" s="628"/>
      <c r="AM164" s="628"/>
      <c r="AN164" s="628"/>
      <c r="AO164" s="628"/>
      <c r="AP164" s="628"/>
      <c r="AQ164" s="628"/>
      <c r="AR164" s="628"/>
      <c r="AS164" s="628"/>
      <c r="AT164" s="628"/>
      <c r="AU164" s="628"/>
      <c r="AV164" s="628"/>
      <c r="AW164" s="628"/>
      <c r="AX164" s="628"/>
      <c r="AY164" s="628"/>
      <c r="AZ164" s="628"/>
      <c r="BA164" s="628"/>
      <c r="BB164" s="628"/>
      <c r="BC164" s="628"/>
      <c r="BD164" s="628"/>
      <c r="BE164" s="628"/>
      <c r="BF164" s="628"/>
      <c r="BG164" s="628"/>
      <c r="BH164" s="628"/>
      <c r="BI164" s="628"/>
      <c r="BJ164" s="628"/>
      <c r="BK164" s="628"/>
      <c r="BL164" s="628"/>
      <c r="BM164" s="628"/>
      <c r="BN164" s="628"/>
      <c r="BO164" s="628"/>
      <c r="BP164" s="628"/>
      <c r="BQ164" s="628"/>
      <c r="BR164" s="628"/>
      <c r="BS164" s="628"/>
      <c r="BT164" s="628"/>
      <c r="BU164" s="628"/>
      <c r="BV164" s="628"/>
      <c r="BW164" s="628"/>
      <c r="BX164" s="628"/>
      <c r="BY164" s="628"/>
      <c r="BZ164" s="628"/>
      <c r="CA164" s="628"/>
      <c r="CB164" s="628"/>
      <c r="CC164" s="628"/>
      <c r="CD164" s="628"/>
      <c r="CE164" s="628"/>
      <c r="CF164" s="628"/>
      <c r="CG164" s="628"/>
      <c r="CH164" s="628"/>
      <c r="CI164" s="628"/>
      <c r="CJ164" s="628"/>
      <c r="CK164" s="628"/>
      <c r="CL164" s="628"/>
      <c r="CM164" s="628"/>
      <c r="CN164" s="628"/>
      <c r="CO164" s="628"/>
      <c r="CP164" s="628"/>
      <c r="CQ164" s="628"/>
      <c r="CR164" s="628"/>
      <c r="CS164" s="628"/>
      <c r="CT164" s="628"/>
      <c r="CU164" s="628"/>
      <c r="CV164" s="628"/>
      <c r="CW164" s="628"/>
      <c r="CX164" s="628"/>
      <c r="CY164" s="628"/>
      <c r="CZ164" s="628"/>
      <c r="DA164" s="628"/>
      <c r="DB164" s="628"/>
      <c r="DC164" s="628"/>
      <c r="DD164" s="628"/>
      <c r="DE164" s="628"/>
      <c r="DF164" s="628"/>
      <c r="DG164" s="628"/>
      <c r="DH164" s="628"/>
      <c r="DI164" s="628"/>
      <c r="DJ164" s="628"/>
      <c r="DK164" s="628"/>
      <c r="DL164" s="628"/>
      <c r="DM164" s="628"/>
      <c r="DN164" s="628"/>
      <c r="DO164" s="628"/>
      <c r="DP164" s="628"/>
      <c r="DQ164" s="628"/>
      <c r="DR164" s="628"/>
      <c r="DS164" s="628"/>
      <c r="DT164" s="628"/>
      <c r="DU164" s="628"/>
      <c r="DV164" s="628"/>
      <c r="DW164" s="628"/>
      <c r="DX164" s="628"/>
      <c r="DY164" s="628"/>
      <c r="DZ164" s="628"/>
      <c r="EA164" s="628"/>
      <c r="EB164" s="628"/>
      <c r="EC164" s="628"/>
      <c r="ED164" s="628"/>
      <c r="EE164" s="628"/>
      <c r="EF164" s="628"/>
      <c r="EG164" s="628"/>
      <c r="EH164" s="628"/>
      <c r="EI164" s="628"/>
      <c r="EJ164" s="628"/>
      <c r="EK164" s="628"/>
      <c r="EL164" s="628"/>
      <c r="EM164" s="628"/>
      <c r="EN164" s="628"/>
      <c r="EO164" s="628"/>
      <c r="EP164" s="628"/>
      <c r="EQ164" s="628"/>
      <c r="ER164" s="628"/>
      <c r="ES164" s="628"/>
      <c r="ET164" s="628"/>
      <c r="EU164" s="628"/>
      <c r="EV164" s="628"/>
      <c r="EW164" s="628"/>
      <c r="EX164" s="628"/>
      <c r="EY164" s="628"/>
      <c r="EZ164" s="628"/>
      <c r="FA164" s="628"/>
      <c r="FB164" s="628"/>
      <c r="FC164" s="628"/>
      <c r="FD164" s="628"/>
      <c r="FE164" s="628"/>
      <c r="FF164" s="628"/>
      <c r="FG164" s="628"/>
      <c r="FH164" s="628"/>
      <c r="FI164" s="628"/>
      <c r="FJ164" s="628"/>
      <c r="FK164" s="628"/>
      <c r="FL164" s="628"/>
      <c r="FM164" s="628"/>
      <c r="FN164" s="628"/>
      <c r="FO164" s="628"/>
      <c r="FP164" s="628"/>
      <c r="FQ164" s="628"/>
      <c r="FR164" s="628"/>
      <c r="FS164" s="628"/>
      <c r="FT164" s="628"/>
      <c r="FU164" s="628"/>
      <c r="FV164" s="628"/>
      <c r="FW164" s="628"/>
      <c r="FX164" s="628"/>
      <c r="FY164" s="629"/>
      <c r="FZ164" s="629"/>
      <c r="GA164" s="629"/>
      <c r="GB164" s="629"/>
      <c r="GC164" s="629"/>
      <c r="GD164" s="629"/>
      <c r="GE164" s="629"/>
      <c r="GF164" s="629"/>
      <c r="GG164" s="629"/>
      <c r="GH164" s="629"/>
      <c r="GI164" s="629"/>
      <c r="GJ164" s="629"/>
      <c r="GK164" s="629"/>
      <c r="GL164" s="629"/>
      <c r="GM164" s="629"/>
      <c r="GN164" s="629"/>
      <c r="GO164" s="629"/>
      <c r="GP164" s="628"/>
      <c r="GQ164" s="628"/>
      <c r="GR164" s="628"/>
      <c r="GS164" s="628"/>
      <c r="GT164" s="628"/>
      <c r="GU164" s="628"/>
      <c r="GV164" s="630"/>
      <c r="GW164" s="628"/>
      <c r="GX164" s="628"/>
      <c r="GY164" s="628"/>
      <c r="GZ164" s="628"/>
      <c r="HA164" s="628"/>
      <c r="HB164" s="628"/>
      <c r="HC164" s="628"/>
      <c r="HD164" s="628"/>
      <c r="HE164" s="628"/>
      <c r="HF164" s="628"/>
      <c r="HG164" s="628"/>
      <c r="HH164" s="628"/>
      <c r="HI164" s="628"/>
      <c r="HJ164" s="628"/>
      <c r="HK164" s="628"/>
      <c r="HL164" s="630"/>
      <c r="HM164" s="630"/>
      <c r="HN164" s="628"/>
      <c r="HO164" s="628"/>
      <c r="HP164" s="115"/>
      <c r="HQ164" s="115"/>
      <c r="HR164" s="115"/>
      <c r="HS164" s="115"/>
      <c r="HT164" s="115"/>
      <c r="HU164" s="115"/>
      <c r="HV164" s="115"/>
      <c r="HW164" s="115"/>
      <c r="HX164" s="115"/>
      <c r="HY164" s="115"/>
      <c r="HZ164" s="115"/>
      <c r="IA164" s="115"/>
      <c r="IB164" s="115"/>
      <c r="IC164" s="115"/>
      <c r="ID164" s="115"/>
      <c r="IE164" s="115"/>
      <c r="IF164" s="115"/>
      <c r="IG164" s="115"/>
      <c r="IH164" s="115"/>
      <c r="II164" s="115"/>
      <c r="IJ164" s="115"/>
      <c r="IK164" s="115"/>
      <c r="IL164" s="115"/>
      <c r="IM164" s="115"/>
      <c r="IN164" s="115"/>
      <c r="IO164" s="115"/>
      <c r="IP164" s="115"/>
      <c r="IQ164" s="115"/>
      <c r="IR164" s="115"/>
      <c r="IS164" s="115"/>
      <c r="IT164" s="115"/>
      <c r="IU164" s="115"/>
    </row>
    <row r="165" spans="1:255" s="108" customFormat="1" ht="15.6" customHeight="1" thickTop="1" thickBot="1">
      <c r="A165" s="1"/>
      <c r="B165" s="11"/>
      <c r="C165" s="13" t="s">
        <v>209</v>
      </c>
      <c r="D165" s="1"/>
      <c r="E165" s="1"/>
      <c r="F165" s="1015">
        <f>SUM(F157:G164)</f>
        <v>62580</v>
      </c>
      <c r="G165" s="1016"/>
      <c r="H165" s="1"/>
      <c r="I165" s="1"/>
      <c r="J165" s="14"/>
      <c r="K165" s="1"/>
      <c r="L165" s="1"/>
      <c r="M165" s="1"/>
      <c r="N165" s="1"/>
      <c r="O165" s="1"/>
      <c r="P165" s="532">
        <f>P157+P160</f>
        <v>356733</v>
      </c>
      <c r="T165" s="1500"/>
      <c r="U165" s="1501"/>
      <c r="V165" s="624"/>
      <c r="W165" s="624"/>
      <c r="X165" s="624"/>
      <c r="Y165" s="628"/>
      <c r="Z165" s="628"/>
      <c r="AA165" s="628"/>
      <c r="AB165" s="628"/>
      <c r="AC165" s="628"/>
      <c r="AD165" s="628"/>
      <c r="AE165" s="628"/>
      <c r="AF165" s="628"/>
      <c r="AG165" s="628"/>
      <c r="AH165" s="628"/>
      <c r="AI165" s="628"/>
      <c r="AJ165" s="628"/>
      <c r="AK165" s="628"/>
      <c r="AL165" s="628"/>
      <c r="AM165" s="628"/>
      <c r="AN165" s="628"/>
      <c r="AO165" s="628"/>
      <c r="AP165" s="628"/>
      <c r="AQ165" s="628"/>
      <c r="AR165" s="628"/>
      <c r="AS165" s="628"/>
      <c r="AT165" s="628"/>
      <c r="AU165" s="628"/>
      <c r="AV165" s="628"/>
      <c r="AW165" s="628"/>
      <c r="AX165" s="628"/>
      <c r="AY165" s="628"/>
      <c r="AZ165" s="628"/>
      <c r="BA165" s="628"/>
      <c r="BB165" s="628"/>
      <c r="BC165" s="628"/>
      <c r="BD165" s="628"/>
      <c r="BE165" s="628"/>
      <c r="BF165" s="628"/>
      <c r="BG165" s="628"/>
      <c r="BH165" s="628"/>
      <c r="BI165" s="628"/>
      <c r="BJ165" s="628"/>
      <c r="BK165" s="628"/>
      <c r="BL165" s="628"/>
      <c r="BM165" s="628"/>
      <c r="BN165" s="628"/>
      <c r="BO165" s="628"/>
      <c r="BP165" s="628"/>
      <c r="BQ165" s="628"/>
      <c r="BR165" s="628"/>
      <c r="BS165" s="628"/>
      <c r="BT165" s="628"/>
      <c r="BU165" s="628"/>
      <c r="BV165" s="628"/>
      <c r="BW165" s="628"/>
      <c r="BX165" s="628"/>
      <c r="BY165" s="628"/>
      <c r="BZ165" s="628"/>
      <c r="CA165" s="628"/>
      <c r="CB165" s="628"/>
      <c r="CC165" s="628"/>
      <c r="CD165" s="628"/>
      <c r="CE165" s="628"/>
      <c r="CF165" s="628"/>
      <c r="CG165" s="628"/>
      <c r="CH165" s="628"/>
      <c r="CI165" s="628"/>
      <c r="CJ165" s="628"/>
      <c r="CK165" s="628"/>
      <c r="CL165" s="628"/>
      <c r="CM165" s="628"/>
      <c r="CN165" s="628"/>
      <c r="CO165" s="628"/>
      <c r="CP165" s="628"/>
      <c r="CQ165" s="628"/>
      <c r="CR165" s="628"/>
      <c r="CS165" s="628"/>
      <c r="CT165" s="628"/>
      <c r="CU165" s="628"/>
      <c r="CV165" s="628"/>
      <c r="CW165" s="628"/>
      <c r="CX165" s="628"/>
      <c r="CY165" s="628"/>
      <c r="CZ165" s="628"/>
      <c r="DA165" s="628"/>
      <c r="DB165" s="628"/>
      <c r="DC165" s="628"/>
      <c r="DD165" s="628"/>
      <c r="DE165" s="628"/>
      <c r="DF165" s="628"/>
      <c r="DG165" s="628"/>
      <c r="DH165" s="628"/>
      <c r="DI165" s="628"/>
      <c r="DJ165" s="628"/>
      <c r="DK165" s="628"/>
      <c r="DL165" s="628"/>
      <c r="DM165" s="628"/>
      <c r="DN165" s="628"/>
      <c r="DO165" s="628"/>
      <c r="DP165" s="628"/>
      <c r="DQ165" s="628"/>
      <c r="DR165" s="628"/>
      <c r="DS165" s="628"/>
      <c r="DT165" s="628"/>
      <c r="DU165" s="628"/>
      <c r="DV165" s="628"/>
      <c r="DW165" s="628"/>
      <c r="DX165" s="628"/>
      <c r="DY165" s="628"/>
      <c r="DZ165" s="628"/>
      <c r="EA165" s="628"/>
      <c r="EB165" s="628"/>
      <c r="EC165" s="628"/>
      <c r="ED165" s="628"/>
      <c r="EE165" s="628"/>
      <c r="EF165" s="628"/>
      <c r="EG165" s="628"/>
      <c r="EH165" s="628"/>
      <c r="EI165" s="628"/>
      <c r="EJ165" s="628"/>
      <c r="EK165" s="628"/>
      <c r="EL165" s="628"/>
      <c r="EM165" s="628"/>
      <c r="EN165" s="628"/>
      <c r="EO165" s="628"/>
      <c r="EP165" s="628"/>
      <c r="EQ165" s="628"/>
      <c r="ER165" s="628"/>
      <c r="ES165" s="628"/>
      <c r="ET165" s="628"/>
      <c r="EU165" s="628"/>
      <c r="EV165" s="628"/>
      <c r="EW165" s="628"/>
      <c r="EX165" s="628"/>
      <c r="EY165" s="628"/>
      <c r="EZ165" s="628"/>
      <c r="FA165" s="628"/>
      <c r="FB165" s="628"/>
      <c r="FC165" s="628"/>
      <c r="FD165" s="628"/>
      <c r="FE165" s="628"/>
      <c r="FF165" s="628"/>
      <c r="FG165" s="628"/>
      <c r="FH165" s="628"/>
      <c r="FI165" s="628"/>
      <c r="FJ165" s="628"/>
      <c r="FK165" s="628"/>
      <c r="FL165" s="628"/>
      <c r="FM165" s="628"/>
      <c r="FN165" s="628"/>
      <c r="FO165" s="628"/>
      <c r="FP165" s="628"/>
      <c r="FQ165" s="628"/>
      <c r="FR165" s="628"/>
      <c r="FS165" s="628"/>
      <c r="FT165" s="628"/>
      <c r="FU165" s="628"/>
      <c r="FV165" s="628"/>
      <c r="FW165" s="628"/>
      <c r="FX165" s="628"/>
      <c r="FY165" s="629"/>
      <c r="FZ165" s="629"/>
      <c r="GA165" s="629"/>
      <c r="GB165" s="629"/>
      <c r="GC165" s="629"/>
      <c r="GD165" s="629"/>
      <c r="GE165" s="629"/>
      <c r="GF165" s="629"/>
      <c r="GG165" s="629"/>
      <c r="GH165" s="629"/>
      <c r="GI165" s="629"/>
      <c r="GJ165" s="629"/>
      <c r="GK165" s="629"/>
      <c r="GL165" s="629"/>
      <c r="GM165" s="629"/>
      <c r="GN165" s="629"/>
      <c r="GO165" s="629"/>
      <c r="GP165" s="628"/>
      <c r="GQ165" s="628"/>
      <c r="GR165" s="628"/>
      <c r="GS165" s="628"/>
      <c r="GT165" s="628"/>
      <c r="GU165" s="628"/>
      <c r="GV165" s="630"/>
      <c r="GW165" s="628"/>
      <c r="GX165" s="628"/>
      <c r="GY165" s="628"/>
      <c r="GZ165" s="628"/>
      <c r="HA165" s="628"/>
      <c r="HB165" s="628"/>
      <c r="HC165" s="628"/>
      <c r="HD165" s="628"/>
      <c r="HE165" s="628"/>
      <c r="HF165" s="628"/>
      <c r="HG165" s="628"/>
      <c r="HH165" s="628"/>
      <c r="HI165" s="628"/>
      <c r="HJ165" s="628"/>
      <c r="HK165" s="628"/>
      <c r="HL165" s="630"/>
      <c r="HM165" s="630"/>
      <c r="HN165" s="628"/>
      <c r="HO165" s="628"/>
      <c r="HP165" s="115"/>
      <c r="HQ165" s="115"/>
      <c r="HR165" s="115"/>
      <c r="HS165" s="115"/>
      <c r="HT165" s="115"/>
      <c r="HU165" s="115"/>
      <c r="HV165" s="115"/>
      <c r="HW165" s="115"/>
      <c r="HX165" s="115"/>
      <c r="HY165" s="115"/>
      <c r="HZ165" s="115"/>
      <c r="IA165" s="115"/>
      <c r="IB165" s="115"/>
      <c r="IC165" s="115"/>
      <c r="ID165" s="115"/>
      <c r="IE165" s="115"/>
      <c r="IF165" s="115"/>
      <c r="IG165" s="115"/>
      <c r="IH165" s="115"/>
      <c r="II165" s="115"/>
      <c r="IJ165" s="115"/>
      <c r="IK165" s="115"/>
      <c r="IL165" s="115"/>
      <c r="IM165" s="115"/>
      <c r="IN165" s="115"/>
      <c r="IO165" s="115"/>
      <c r="IP165" s="115"/>
      <c r="IQ165" s="115"/>
      <c r="IR165" s="115"/>
      <c r="IS165" s="115"/>
      <c r="IT165" s="115"/>
      <c r="IU165" s="115"/>
    </row>
    <row r="166" spans="1:255" s="108" customFormat="1" ht="10.9" customHeight="1">
      <c r="A166" s="1"/>
      <c r="B166" s="11"/>
      <c r="C166" s="1"/>
      <c r="D166" s="13"/>
      <c r="E166" s="1"/>
      <c r="F166" s="14"/>
      <c r="G166" s="14"/>
      <c r="H166" s="1"/>
      <c r="I166" s="1"/>
      <c r="J166" s="6"/>
      <c r="K166" s="1"/>
      <c r="L166" s="1"/>
      <c r="M166" s="1"/>
      <c r="N166" s="1"/>
      <c r="O166" s="1"/>
      <c r="V166" s="628"/>
      <c r="W166" s="628"/>
      <c r="X166" s="628"/>
      <c r="Y166" s="628"/>
      <c r="Z166" s="628"/>
      <c r="AA166" s="628"/>
      <c r="AB166" s="628"/>
      <c r="AC166" s="628"/>
      <c r="AD166" s="628"/>
      <c r="AE166" s="628"/>
      <c r="AF166" s="628"/>
      <c r="AG166" s="628"/>
      <c r="AH166" s="628"/>
      <c r="AI166" s="628"/>
      <c r="AJ166" s="628"/>
      <c r="AK166" s="628"/>
      <c r="AL166" s="628"/>
      <c r="AM166" s="628"/>
      <c r="AN166" s="628"/>
      <c r="AO166" s="628"/>
      <c r="AP166" s="628"/>
      <c r="AQ166" s="628"/>
      <c r="AR166" s="628"/>
      <c r="AS166" s="628"/>
      <c r="AT166" s="628"/>
      <c r="AU166" s="628"/>
      <c r="AV166" s="628"/>
      <c r="AW166" s="628"/>
      <c r="AX166" s="628"/>
      <c r="AY166" s="628"/>
      <c r="AZ166" s="628"/>
      <c r="BA166" s="628"/>
      <c r="BB166" s="628"/>
      <c r="BC166" s="628"/>
      <c r="BD166" s="628"/>
      <c r="BE166" s="628"/>
      <c r="BF166" s="628"/>
      <c r="BG166" s="628"/>
      <c r="BH166" s="628"/>
      <c r="BI166" s="628"/>
      <c r="BJ166" s="628"/>
      <c r="BK166" s="628"/>
      <c r="BL166" s="628"/>
      <c r="BM166" s="628"/>
      <c r="BN166" s="628"/>
      <c r="BO166" s="628"/>
      <c r="BP166" s="628"/>
      <c r="BQ166" s="628"/>
      <c r="BR166" s="628"/>
      <c r="BS166" s="628"/>
      <c r="BT166" s="628"/>
      <c r="BU166" s="628"/>
      <c r="BV166" s="628"/>
      <c r="BW166" s="628"/>
      <c r="BX166" s="628"/>
      <c r="BY166" s="628"/>
      <c r="BZ166" s="628"/>
      <c r="CA166" s="628"/>
      <c r="CB166" s="628"/>
      <c r="CC166" s="628"/>
      <c r="CD166" s="628"/>
      <c r="CE166" s="628"/>
      <c r="CF166" s="628"/>
      <c r="CG166" s="628"/>
      <c r="CH166" s="628"/>
      <c r="CI166" s="628"/>
      <c r="CJ166" s="628"/>
      <c r="CK166" s="628"/>
      <c r="CL166" s="628"/>
      <c r="CM166" s="628"/>
      <c r="CN166" s="628"/>
      <c r="CO166" s="628"/>
      <c r="CP166" s="628"/>
      <c r="CQ166" s="628"/>
      <c r="CR166" s="628"/>
      <c r="CS166" s="628"/>
      <c r="CT166" s="628"/>
      <c r="CU166" s="628"/>
      <c r="CV166" s="628"/>
      <c r="CW166" s="628"/>
      <c r="CX166" s="628"/>
      <c r="CY166" s="628"/>
      <c r="CZ166" s="628"/>
      <c r="DA166" s="628"/>
      <c r="DB166" s="628"/>
      <c r="DC166" s="628"/>
      <c r="DD166" s="628"/>
      <c r="DE166" s="628"/>
      <c r="DF166" s="628"/>
      <c r="DG166" s="628"/>
      <c r="DH166" s="628"/>
      <c r="DI166" s="628"/>
      <c r="DJ166" s="628"/>
      <c r="DK166" s="628"/>
      <c r="DL166" s="628"/>
      <c r="DM166" s="628"/>
      <c r="DN166" s="628"/>
      <c r="DO166" s="628"/>
      <c r="DP166" s="628"/>
      <c r="DQ166" s="628"/>
      <c r="DR166" s="628"/>
      <c r="DS166" s="628"/>
      <c r="DT166" s="628"/>
      <c r="DU166" s="628"/>
      <c r="DV166" s="628"/>
      <c r="DW166" s="628"/>
      <c r="DX166" s="628"/>
      <c r="DY166" s="628"/>
      <c r="DZ166" s="628"/>
      <c r="EA166" s="628"/>
      <c r="EB166" s="628"/>
      <c r="EC166" s="628"/>
      <c r="ED166" s="628"/>
      <c r="EE166" s="628"/>
      <c r="EF166" s="628"/>
      <c r="EG166" s="628"/>
      <c r="EH166" s="628"/>
      <c r="EI166" s="628"/>
      <c r="EJ166" s="628"/>
      <c r="EK166" s="628"/>
      <c r="EL166" s="628"/>
      <c r="EM166" s="628"/>
      <c r="EN166" s="628"/>
      <c r="EO166" s="628"/>
      <c r="EP166" s="628"/>
      <c r="EQ166" s="628"/>
      <c r="ER166" s="628"/>
      <c r="ES166" s="628"/>
      <c r="ET166" s="628"/>
      <c r="EU166" s="628"/>
      <c r="EV166" s="628"/>
      <c r="EW166" s="628"/>
      <c r="EX166" s="628"/>
      <c r="EY166" s="628"/>
      <c r="EZ166" s="628"/>
      <c r="FA166" s="628"/>
      <c r="FB166" s="628"/>
      <c r="FC166" s="628"/>
      <c r="FD166" s="628"/>
      <c r="FE166" s="628"/>
      <c r="FF166" s="628"/>
      <c r="FG166" s="628"/>
      <c r="FH166" s="628"/>
      <c r="FI166" s="628"/>
      <c r="FJ166" s="628"/>
      <c r="FK166" s="628"/>
      <c r="FL166" s="628"/>
      <c r="FM166" s="628"/>
      <c r="FN166" s="628"/>
      <c r="FO166" s="628"/>
      <c r="FP166" s="628"/>
      <c r="FQ166" s="628"/>
      <c r="FR166" s="628"/>
      <c r="FS166" s="628"/>
      <c r="FT166" s="628"/>
      <c r="FU166" s="628"/>
      <c r="FV166" s="628"/>
      <c r="FW166" s="628"/>
      <c r="FX166" s="628"/>
      <c r="FY166" s="629"/>
      <c r="FZ166" s="629"/>
      <c r="GA166" s="629"/>
      <c r="GB166" s="629"/>
      <c r="GC166" s="629"/>
      <c r="GD166" s="629"/>
      <c r="GE166" s="629"/>
      <c r="GF166" s="629"/>
      <c r="GG166" s="629"/>
      <c r="GH166" s="629"/>
      <c r="GI166" s="629"/>
      <c r="GJ166" s="629"/>
      <c r="GK166" s="629"/>
      <c r="GL166" s="629"/>
      <c r="GM166" s="629"/>
      <c r="GN166" s="629"/>
      <c r="GO166" s="629"/>
      <c r="GP166" s="628"/>
      <c r="GQ166" s="628"/>
      <c r="GR166" s="628"/>
      <c r="GS166" s="628"/>
      <c r="GT166" s="628"/>
      <c r="GU166" s="628"/>
      <c r="GV166" s="630"/>
      <c r="GW166" s="628"/>
      <c r="GX166" s="628"/>
      <c r="GY166" s="628"/>
      <c r="GZ166" s="628"/>
      <c r="HA166" s="628"/>
      <c r="HB166" s="628"/>
      <c r="HC166" s="628"/>
      <c r="HD166" s="628"/>
      <c r="HE166" s="628"/>
      <c r="HF166" s="628"/>
      <c r="HG166" s="628"/>
      <c r="HH166" s="628"/>
      <c r="HI166" s="628"/>
      <c r="HJ166" s="628"/>
      <c r="HK166" s="628"/>
      <c r="HL166" s="630"/>
      <c r="HM166" s="630"/>
      <c r="HN166" s="628"/>
      <c r="HO166" s="628"/>
      <c r="HP166" s="115"/>
      <c r="HQ166" s="115"/>
      <c r="HR166" s="115"/>
      <c r="HS166" s="115"/>
      <c r="HT166" s="115"/>
      <c r="HU166" s="115"/>
      <c r="HV166" s="115"/>
      <c r="HW166" s="115"/>
      <c r="HX166" s="115"/>
      <c r="HY166" s="115"/>
      <c r="HZ166" s="115"/>
      <c r="IA166" s="115"/>
      <c r="IB166" s="115"/>
      <c r="IC166" s="115"/>
      <c r="ID166" s="115"/>
      <c r="IE166" s="115"/>
      <c r="IF166" s="115"/>
      <c r="IG166" s="115"/>
      <c r="IH166" s="115"/>
      <c r="II166" s="115"/>
      <c r="IJ166" s="115"/>
      <c r="IK166" s="115"/>
      <c r="IL166" s="115"/>
      <c r="IM166" s="115"/>
      <c r="IN166" s="115"/>
      <c r="IO166" s="115"/>
      <c r="IP166" s="115"/>
      <c r="IQ166" s="115"/>
      <c r="IR166" s="115"/>
      <c r="IS166" s="115"/>
      <c r="IT166" s="115"/>
      <c r="IU166" s="115"/>
    </row>
    <row r="167" spans="1:255" ht="12" customHeight="1">
      <c r="A167" s="16" t="s">
        <v>2490</v>
      </c>
      <c r="B167" s="16" t="s">
        <v>744</v>
      </c>
      <c r="K167" s="16" t="s">
        <v>697</v>
      </c>
      <c r="L167" s="16" t="s">
        <v>2549</v>
      </c>
    </row>
    <row r="168" spans="1:255" ht="170.25" customHeight="1">
      <c r="A168" s="1375" t="s">
        <v>4181</v>
      </c>
      <c r="B168" s="1376"/>
      <c r="C168" s="1376"/>
      <c r="D168" s="1376"/>
      <c r="E168" s="1376"/>
      <c r="F168" s="1376"/>
      <c r="G168" s="1376"/>
      <c r="H168" s="1376"/>
      <c r="I168" s="1376"/>
      <c r="J168" s="1377"/>
      <c r="K168" s="1378"/>
      <c r="L168" s="1379"/>
      <c r="M168" s="1379"/>
      <c r="N168" s="1379"/>
      <c r="O168" s="1379"/>
      <c r="P168" s="1380"/>
      <c r="T168" s="915" t="s">
        <v>3595</v>
      </c>
      <c r="U168" s="915"/>
    </row>
    <row r="169" spans="1:255" ht="11.25" customHeight="1"/>
    <row r="170" spans="1:255" ht="12" customHeight="1"/>
    <row r="171" spans="1:255" ht="12" customHeight="1"/>
    <row r="172" spans="1:255" ht="13.9" customHeight="1"/>
    <row r="173" spans="1:255" s="108" customFormat="1" ht="13.9" customHeight="1">
      <c r="A173" s="1"/>
      <c r="B173" s="1"/>
      <c r="C173" s="1"/>
      <c r="D173" s="1"/>
      <c r="E173" s="1"/>
      <c r="F173" s="1"/>
      <c r="G173" s="1"/>
      <c r="H173" s="1"/>
      <c r="I173" s="1"/>
      <c r="J173" s="1"/>
      <c r="K173" s="1"/>
      <c r="L173" s="1"/>
      <c r="M173" s="1"/>
      <c r="N173" s="1"/>
      <c r="O173" s="1"/>
      <c r="V173" s="628"/>
      <c r="W173" s="628"/>
      <c r="X173" s="628"/>
      <c r="Y173" s="628"/>
      <c r="Z173" s="628"/>
      <c r="AA173" s="628"/>
      <c r="AB173" s="628"/>
      <c r="AC173" s="628"/>
      <c r="AD173" s="628"/>
      <c r="AE173" s="628"/>
      <c r="AF173" s="628"/>
      <c r="AG173" s="628"/>
      <c r="AH173" s="628"/>
      <c r="AI173" s="628"/>
      <c r="AJ173" s="628"/>
      <c r="AK173" s="628"/>
      <c r="AL173" s="628"/>
      <c r="AM173" s="628"/>
      <c r="AN173" s="628"/>
      <c r="AO173" s="628"/>
      <c r="AP173" s="628"/>
      <c r="AQ173" s="628"/>
      <c r="AR173" s="628"/>
      <c r="AS173" s="628"/>
      <c r="AT173" s="628"/>
      <c r="AU173" s="628"/>
      <c r="AV173" s="628"/>
      <c r="AW173" s="628"/>
      <c r="AX173" s="628"/>
      <c r="AY173" s="628"/>
      <c r="AZ173" s="628"/>
      <c r="BA173" s="628"/>
      <c r="BB173" s="628"/>
      <c r="BC173" s="628"/>
      <c r="BD173" s="628"/>
      <c r="BE173" s="628"/>
      <c r="BF173" s="628"/>
      <c r="BG173" s="628"/>
      <c r="BH173" s="628"/>
      <c r="BI173" s="628"/>
      <c r="BJ173" s="628"/>
      <c r="BK173" s="628"/>
      <c r="BL173" s="628"/>
      <c r="BM173" s="628"/>
      <c r="BN173" s="628"/>
      <c r="BO173" s="628"/>
      <c r="BP173" s="628"/>
      <c r="BQ173" s="628"/>
      <c r="BR173" s="628"/>
      <c r="BS173" s="628"/>
      <c r="BT173" s="628"/>
      <c r="BU173" s="628"/>
      <c r="BV173" s="628"/>
      <c r="BW173" s="628"/>
      <c r="BX173" s="628"/>
      <c r="BY173" s="628"/>
      <c r="BZ173" s="628"/>
      <c r="CA173" s="628"/>
      <c r="CB173" s="628"/>
      <c r="CC173" s="628"/>
      <c r="CD173" s="628"/>
      <c r="CE173" s="628"/>
      <c r="CF173" s="628"/>
      <c r="CG173" s="628"/>
      <c r="CH173" s="628"/>
      <c r="CI173" s="628"/>
      <c r="CJ173" s="628"/>
      <c r="CK173" s="628"/>
      <c r="CL173" s="628"/>
      <c r="CM173" s="628"/>
      <c r="CN173" s="628"/>
      <c r="CO173" s="628"/>
      <c r="CP173" s="628"/>
      <c r="CQ173" s="628"/>
      <c r="CR173" s="628"/>
      <c r="CS173" s="628"/>
      <c r="CT173" s="628"/>
      <c r="CU173" s="628"/>
      <c r="CV173" s="628"/>
      <c r="CW173" s="628"/>
      <c r="CX173" s="628"/>
      <c r="CY173" s="628"/>
      <c r="CZ173" s="628"/>
      <c r="DA173" s="628"/>
      <c r="DB173" s="628"/>
      <c r="DC173" s="628"/>
      <c r="DD173" s="628"/>
      <c r="DE173" s="628"/>
      <c r="DF173" s="628"/>
      <c r="DG173" s="628"/>
      <c r="DH173" s="628"/>
      <c r="DI173" s="628"/>
      <c r="DJ173" s="628"/>
      <c r="DK173" s="628"/>
      <c r="DL173" s="628"/>
      <c r="DM173" s="628"/>
      <c r="DN173" s="628"/>
      <c r="DO173" s="628"/>
      <c r="DP173" s="628"/>
      <c r="DQ173" s="628"/>
      <c r="DR173" s="628"/>
      <c r="DS173" s="628"/>
      <c r="DT173" s="628"/>
      <c r="DU173" s="628"/>
      <c r="DV173" s="628"/>
      <c r="DW173" s="628"/>
      <c r="DX173" s="628"/>
      <c r="DY173" s="628"/>
      <c r="DZ173" s="628"/>
      <c r="EA173" s="628"/>
      <c r="EB173" s="628"/>
      <c r="EC173" s="628"/>
      <c r="ED173" s="628"/>
      <c r="EE173" s="628"/>
      <c r="EF173" s="628"/>
      <c r="EG173" s="628"/>
      <c r="EH173" s="628"/>
      <c r="EI173" s="628"/>
      <c r="EJ173" s="628"/>
      <c r="EK173" s="628"/>
      <c r="EL173" s="628"/>
      <c r="EM173" s="628"/>
      <c r="EN173" s="628"/>
      <c r="EO173" s="628"/>
      <c r="EP173" s="628"/>
      <c r="EQ173" s="628"/>
      <c r="ER173" s="628"/>
      <c r="ES173" s="628"/>
      <c r="ET173" s="628"/>
      <c r="EU173" s="628"/>
      <c r="EV173" s="628"/>
      <c r="EW173" s="628"/>
      <c r="EX173" s="628"/>
      <c r="EY173" s="628"/>
      <c r="EZ173" s="628"/>
      <c r="FA173" s="628"/>
      <c r="FB173" s="628"/>
      <c r="FC173" s="628"/>
      <c r="FD173" s="628"/>
      <c r="FE173" s="628"/>
      <c r="FF173" s="628"/>
      <c r="FG173" s="628"/>
      <c r="FH173" s="628"/>
      <c r="FI173" s="628"/>
      <c r="FJ173" s="628"/>
      <c r="FK173" s="628"/>
      <c r="FL173" s="628"/>
      <c r="FM173" s="628"/>
      <c r="FN173" s="628"/>
      <c r="FO173" s="628"/>
      <c r="FP173" s="628"/>
      <c r="FQ173" s="628"/>
      <c r="FR173" s="628"/>
      <c r="FS173" s="628"/>
      <c r="FT173" s="628"/>
      <c r="FU173" s="628"/>
      <c r="FV173" s="628"/>
      <c r="FW173" s="628"/>
      <c r="FX173" s="628"/>
      <c r="FY173" s="629"/>
      <c r="FZ173" s="629"/>
      <c r="GA173" s="629"/>
      <c r="GB173" s="629"/>
      <c r="GC173" s="629"/>
      <c r="GD173" s="629"/>
      <c r="GE173" s="629"/>
      <c r="GF173" s="629"/>
      <c r="GG173" s="629"/>
      <c r="GH173" s="629"/>
      <c r="GI173" s="629"/>
      <c r="GJ173" s="629"/>
      <c r="GK173" s="629"/>
      <c r="GL173" s="629"/>
      <c r="GM173" s="629"/>
      <c r="GN173" s="629"/>
      <c r="GO173" s="629"/>
      <c r="GP173" s="628"/>
      <c r="GQ173" s="628"/>
      <c r="GR173" s="628"/>
      <c r="GS173" s="628"/>
      <c r="GT173" s="628"/>
      <c r="GU173" s="628"/>
      <c r="GV173" s="630"/>
      <c r="GW173" s="628"/>
      <c r="GX173" s="628"/>
      <c r="GY173" s="628"/>
      <c r="GZ173" s="628"/>
      <c r="HA173" s="628"/>
      <c r="HB173" s="628"/>
      <c r="HC173" s="628"/>
      <c r="HD173" s="628"/>
      <c r="HE173" s="628"/>
      <c r="HF173" s="628"/>
      <c r="HG173" s="628"/>
      <c r="HH173" s="628"/>
      <c r="HI173" s="628"/>
      <c r="HJ173" s="628"/>
      <c r="HK173" s="628"/>
      <c r="HL173" s="630"/>
      <c r="HM173" s="630"/>
      <c r="HN173" s="628"/>
      <c r="HO173" s="628"/>
      <c r="HP173" s="115"/>
      <c r="HQ173" s="115"/>
      <c r="HR173" s="115"/>
      <c r="HS173" s="115"/>
      <c r="HT173" s="115"/>
      <c r="HU173" s="115"/>
      <c r="HV173" s="115"/>
      <c r="HW173" s="115"/>
      <c r="HX173" s="115"/>
      <c r="HY173" s="115"/>
      <c r="HZ173" s="115"/>
      <c r="IA173" s="115"/>
      <c r="IB173" s="115"/>
      <c r="IC173" s="115"/>
      <c r="ID173" s="115"/>
      <c r="IE173" s="115"/>
      <c r="IF173" s="115"/>
      <c r="IG173" s="115"/>
      <c r="IH173" s="115"/>
      <c r="II173" s="115"/>
      <c r="IJ173" s="115"/>
      <c r="IK173" s="115"/>
      <c r="IL173" s="115"/>
      <c r="IM173" s="115"/>
      <c r="IN173" s="115"/>
      <c r="IO173" s="115"/>
      <c r="IP173" s="115"/>
      <c r="IQ173" s="115"/>
      <c r="IR173" s="115"/>
      <c r="IS173" s="115"/>
      <c r="IT173" s="115"/>
      <c r="IU173" s="115"/>
    </row>
    <row r="174" spans="1:255" s="108" customFormat="1" ht="13.9" customHeight="1">
      <c r="A174" s="1"/>
      <c r="B174" s="1"/>
      <c r="C174" s="1"/>
      <c r="D174" s="1"/>
      <c r="E174" s="1"/>
      <c r="F174" s="1"/>
      <c r="G174" s="1"/>
      <c r="H174" s="1"/>
      <c r="I174" s="1"/>
      <c r="J174" s="1"/>
      <c r="K174" s="1"/>
      <c r="L174" s="1"/>
      <c r="M174" s="1"/>
      <c r="N174" s="1"/>
      <c r="O174" s="1"/>
      <c r="V174" s="628"/>
      <c r="W174" s="628"/>
      <c r="X174" s="628"/>
      <c r="Y174" s="628"/>
      <c r="Z174" s="628"/>
      <c r="AA174" s="628"/>
      <c r="AB174" s="628"/>
      <c r="AC174" s="628"/>
      <c r="AD174" s="628"/>
      <c r="AE174" s="628"/>
      <c r="AF174" s="628"/>
      <c r="AG174" s="628"/>
      <c r="AH174" s="628"/>
      <c r="AI174" s="628"/>
      <c r="AJ174" s="628"/>
      <c r="AK174" s="628"/>
      <c r="AL174" s="628"/>
      <c r="AM174" s="628"/>
      <c r="AN174" s="628"/>
      <c r="AO174" s="628"/>
      <c r="AP174" s="628"/>
      <c r="AQ174" s="628"/>
      <c r="AR174" s="628"/>
      <c r="AS174" s="628"/>
      <c r="AT174" s="628"/>
      <c r="AU174" s="628"/>
      <c r="AV174" s="628"/>
      <c r="AW174" s="628"/>
      <c r="AX174" s="628"/>
      <c r="AY174" s="628"/>
      <c r="AZ174" s="628"/>
      <c r="BA174" s="628"/>
      <c r="BB174" s="628"/>
      <c r="BC174" s="628"/>
      <c r="BD174" s="628"/>
      <c r="BE174" s="628"/>
      <c r="BF174" s="628"/>
      <c r="BG174" s="628"/>
      <c r="BH174" s="628"/>
      <c r="BI174" s="628"/>
      <c r="BJ174" s="628"/>
      <c r="BK174" s="628"/>
      <c r="BL174" s="628"/>
      <c r="BM174" s="628"/>
      <c r="BN174" s="628"/>
      <c r="BO174" s="628"/>
      <c r="BP174" s="628"/>
      <c r="BQ174" s="628"/>
      <c r="BR174" s="628"/>
      <c r="BS174" s="628"/>
      <c r="BT174" s="628"/>
      <c r="BU174" s="628"/>
      <c r="BV174" s="628"/>
      <c r="BW174" s="628"/>
      <c r="BX174" s="628"/>
      <c r="BY174" s="628"/>
      <c r="BZ174" s="628"/>
      <c r="CA174" s="628"/>
      <c r="CB174" s="628"/>
      <c r="CC174" s="628"/>
      <c r="CD174" s="628"/>
      <c r="CE174" s="628"/>
      <c r="CF174" s="628"/>
      <c r="CG174" s="628"/>
      <c r="CH174" s="628"/>
      <c r="CI174" s="628"/>
      <c r="CJ174" s="628"/>
      <c r="CK174" s="628"/>
      <c r="CL174" s="628"/>
      <c r="CM174" s="628"/>
      <c r="CN174" s="628"/>
      <c r="CO174" s="628"/>
      <c r="CP174" s="628"/>
      <c r="CQ174" s="628"/>
      <c r="CR174" s="628"/>
      <c r="CS174" s="628"/>
      <c r="CT174" s="628"/>
      <c r="CU174" s="628"/>
      <c r="CV174" s="628"/>
      <c r="CW174" s="628"/>
      <c r="CX174" s="628"/>
      <c r="CY174" s="628"/>
      <c r="CZ174" s="628"/>
      <c r="DA174" s="628"/>
      <c r="DB174" s="628"/>
      <c r="DC174" s="628"/>
      <c r="DD174" s="628"/>
      <c r="DE174" s="628"/>
      <c r="DF174" s="628"/>
      <c r="DG174" s="628"/>
      <c r="DH174" s="628"/>
      <c r="DI174" s="628"/>
      <c r="DJ174" s="628"/>
      <c r="DK174" s="628"/>
      <c r="DL174" s="628"/>
      <c r="DM174" s="628"/>
      <c r="DN174" s="628"/>
      <c r="DO174" s="628"/>
      <c r="DP174" s="628"/>
      <c r="DQ174" s="628"/>
      <c r="DR174" s="628"/>
      <c r="DS174" s="628"/>
      <c r="DT174" s="628"/>
      <c r="DU174" s="628"/>
      <c r="DV174" s="628"/>
      <c r="DW174" s="628"/>
      <c r="DX174" s="628"/>
      <c r="DY174" s="628"/>
      <c r="DZ174" s="628"/>
      <c r="EA174" s="628"/>
      <c r="EB174" s="628"/>
      <c r="EC174" s="628"/>
      <c r="ED174" s="628"/>
      <c r="EE174" s="628"/>
      <c r="EF174" s="628"/>
      <c r="EG174" s="628"/>
      <c r="EH174" s="628"/>
      <c r="EI174" s="628"/>
      <c r="EJ174" s="628"/>
      <c r="EK174" s="628"/>
      <c r="EL174" s="628"/>
      <c r="EM174" s="628"/>
      <c r="EN174" s="628"/>
      <c r="EO174" s="628"/>
      <c r="EP174" s="628"/>
      <c r="EQ174" s="628"/>
      <c r="ER174" s="628"/>
      <c r="ES174" s="628"/>
      <c r="ET174" s="628"/>
      <c r="EU174" s="628"/>
      <c r="EV174" s="628"/>
      <c r="EW174" s="628"/>
      <c r="EX174" s="628"/>
      <c r="EY174" s="628"/>
      <c r="EZ174" s="628"/>
      <c r="FA174" s="628"/>
      <c r="FB174" s="628"/>
      <c r="FC174" s="628"/>
      <c r="FD174" s="628"/>
      <c r="FE174" s="628"/>
      <c r="FF174" s="628"/>
      <c r="FG174" s="628"/>
      <c r="FH174" s="628"/>
      <c r="FI174" s="628"/>
      <c r="FJ174" s="628"/>
      <c r="FK174" s="628"/>
      <c r="FL174" s="628"/>
      <c r="FM174" s="628"/>
      <c r="FN174" s="628"/>
      <c r="FO174" s="628"/>
      <c r="FP174" s="628"/>
      <c r="FQ174" s="628"/>
      <c r="FR174" s="628"/>
      <c r="FS174" s="628"/>
      <c r="FT174" s="628"/>
      <c r="FU174" s="628"/>
      <c r="FV174" s="628"/>
      <c r="FW174" s="628"/>
      <c r="FX174" s="628"/>
      <c r="FY174" s="629"/>
      <c r="FZ174" s="629"/>
      <c r="GA174" s="629"/>
      <c r="GB174" s="629"/>
      <c r="GC174" s="629"/>
      <c r="GD174" s="629"/>
      <c r="GE174" s="629"/>
      <c r="GF174" s="629"/>
      <c r="GG174" s="629"/>
      <c r="GH174" s="629"/>
      <c r="GI174" s="629"/>
      <c r="GJ174" s="629"/>
      <c r="GK174" s="629"/>
      <c r="GL174" s="629"/>
      <c r="GM174" s="629"/>
      <c r="GN174" s="629"/>
      <c r="GO174" s="629"/>
      <c r="GP174" s="628"/>
      <c r="GQ174" s="628"/>
      <c r="GR174" s="628"/>
      <c r="GS174" s="628"/>
      <c r="GT174" s="628"/>
      <c r="GU174" s="628"/>
      <c r="GV174" s="630"/>
      <c r="GW174" s="628"/>
      <c r="GX174" s="628"/>
      <c r="GY174" s="628"/>
      <c r="GZ174" s="628"/>
      <c r="HA174" s="628"/>
      <c r="HB174" s="628"/>
      <c r="HC174" s="628"/>
      <c r="HD174" s="628"/>
      <c r="HE174" s="628"/>
      <c r="HF174" s="628"/>
      <c r="HG174" s="628"/>
      <c r="HH174" s="628"/>
      <c r="HI174" s="628"/>
      <c r="HJ174" s="628"/>
      <c r="HK174" s="628"/>
      <c r="HL174" s="630"/>
      <c r="HM174" s="630"/>
      <c r="HN174" s="628"/>
      <c r="HO174" s="628"/>
      <c r="HP174" s="115"/>
      <c r="HQ174" s="115"/>
      <c r="HR174" s="115"/>
      <c r="HS174" s="115"/>
      <c r="HT174" s="115"/>
      <c r="HU174" s="115"/>
      <c r="HV174" s="115"/>
      <c r="HW174" s="115"/>
      <c r="HX174" s="115"/>
      <c r="HY174" s="115"/>
      <c r="HZ174" s="115"/>
      <c r="IA174" s="115"/>
      <c r="IB174" s="115"/>
      <c r="IC174" s="115"/>
      <c r="ID174" s="115"/>
      <c r="IE174" s="115"/>
      <c r="IF174" s="115"/>
      <c r="IG174" s="115"/>
      <c r="IH174" s="115"/>
      <c r="II174" s="115"/>
      <c r="IJ174" s="115"/>
      <c r="IK174" s="115"/>
      <c r="IL174" s="115"/>
      <c r="IM174" s="115"/>
      <c r="IN174" s="115"/>
      <c r="IO174" s="115"/>
      <c r="IP174" s="115"/>
      <c r="IQ174" s="115"/>
      <c r="IR174" s="115"/>
      <c r="IS174" s="115"/>
      <c r="IT174" s="115"/>
      <c r="IU174" s="115"/>
    </row>
    <row r="175" spans="1:255" s="108" customFormat="1" ht="13.9" customHeight="1">
      <c r="A175" s="1"/>
      <c r="B175" s="1"/>
      <c r="C175" s="1"/>
      <c r="D175" s="1"/>
      <c r="E175" s="1"/>
      <c r="F175" s="1"/>
      <c r="G175" s="1"/>
      <c r="H175" s="1"/>
      <c r="I175" s="1"/>
      <c r="J175" s="1"/>
      <c r="K175" s="1"/>
      <c r="L175" s="1"/>
      <c r="M175" s="1"/>
      <c r="N175" s="1"/>
      <c r="O175" s="1"/>
      <c r="V175" s="628"/>
      <c r="W175" s="628"/>
      <c r="X175" s="628"/>
      <c r="Y175" s="628"/>
      <c r="Z175" s="628"/>
      <c r="AA175" s="628"/>
      <c r="AB175" s="628"/>
      <c r="AC175" s="628"/>
      <c r="AD175" s="628"/>
      <c r="AE175" s="628"/>
      <c r="AF175" s="628"/>
      <c r="AG175" s="628"/>
      <c r="AH175" s="628"/>
      <c r="AI175" s="628"/>
      <c r="AJ175" s="628"/>
      <c r="AK175" s="628"/>
      <c r="AL175" s="628"/>
      <c r="AM175" s="628"/>
      <c r="AN175" s="628"/>
      <c r="AO175" s="628"/>
      <c r="AP175" s="628"/>
      <c r="AQ175" s="628"/>
      <c r="AR175" s="628"/>
      <c r="AS175" s="628"/>
      <c r="AT175" s="628"/>
      <c r="AU175" s="628"/>
      <c r="AV175" s="628"/>
      <c r="AW175" s="628"/>
      <c r="AX175" s="628"/>
      <c r="AY175" s="628"/>
      <c r="AZ175" s="628"/>
      <c r="BA175" s="628"/>
      <c r="BB175" s="628"/>
      <c r="BC175" s="628"/>
      <c r="BD175" s="628"/>
      <c r="BE175" s="628"/>
      <c r="BF175" s="628"/>
      <c r="BG175" s="628"/>
      <c r="BH175" s="628"/>
      <c r="BI175" s="628"/>
      <c r="BJ175" s="628"/>
      <c r="BK175" s="628"/>
      <c r="BL175" s="628"/>
      <c r="BM175" s="628"/>
      <c r="BN175" s="628"/>
      <c r="BO175" s="628"/>
      <c r="BP175" s="628"/>
      <c r="BQ175" s="628"/>
      <c r="BR175" s="628"/>
      <c r="BS175" s="628"/>
      <c r="BT175" s="628"/>
      <c r="BU175" s="628"/>
      <c r="BV175" s="628"/>
      <c r="BW175" s="628"/>
      <c r="BX175" s="628"/>
      <c r="BY175" s="628"/>
      <c r="BZ175" s="628"/>
      <c r="CA175" s="628"/>
      <c r="CB175" s="628"/>
      <c r="CC175" s="628"/>
      <c r="CD175" s="628"/>
      <c r="CE175" s="628"/>
      <c r="CF175" s="628"/>
      <c r="CG175" s="628"/>
      <c r="CH175" s="628"/>
      <c r="CI175" s="628"/>
      <c r="CJ175" s="628"/>
      <c r="CK175" s="628"/>
      <c r="CL175" s="628"/>
      <c r="CM175" s="628"/>
      <c r="CN175" s="628"/>
      <c r="CO175" s="628"/>
      <c r="CP175" s="628"/>
      <c r="CQ175" s="628"/>
      <c r="CR175" s="628"/>
      <c r="CS175" s="628"/>
      <c r="CT175" s="628"/>
      <c r="CU175" s="628"/>
      <c r="CV175" s="628"/>
      <c r="CW175" s="628"/>
      <c r="CX175" s="628"/>
      <c r="CY175" s="628"/>
      <c r="CZ175" s="628"/>
      <c r="DA175" s="628"/>
      <c r="DB175" s="628"/>
      <c r="DC175" s="628"/>
      <c r="DD175" s="628"/>
      <c r="DE175" s="628"/>
      <c r="DF175" s="628"/>
      <c r="DG175" s="628"/>
      <c r="DH175" s="628"/>
      <c r="DI175" s="628"/>
      <c r="DJ175" s="628"/>
      <c r="DK175" s="628"/>
      <c r="DL175" s="628"/>
      <c r="DM175" s="628"/>
      <c r="DN175" s="628"/>
      <c r="DO175" s="628"/>
      <c r="DP175" s="628"/>
      <c r="DQ175" s="628"/>
      <c r="DR175" s="628"/>
      <c r="DS175" s="628"/>
      <c r="DT175" s="628"/>
      <c r="DU175" s="628"/>
      <c r="DV175" s="628"/>
      <c r="DW175" s="628"/>
      <c r="DX175" s="628"/>
      <c r="DY175" s="628"/>
      <c r="DZ175" s="628"/>
      <c r="EA175" s="628"/>
      <c r="EB175" s="628"/>
      <c r="EC175" s="628"/>
      <c r="ED175" s="628"/>
      <c r="EE175" s="628"/>
      <c r="EF175" s="628"/>
      <c r="EG175" s="628"/>
      <c r="EH175" s="628"/>
      <c r="EI175" s="628"/>
      <c r="EJ175" s="628"/>
      <c r="EK175" s="628"/>
      <c r="EL175" s="628"/>
      <c r="EM175" s="628"/>
      <c r="EN175" s="628"/>
      <c r="EO175" s="628"/>
      <c r="EP175" s="628"/>
      <c r="EQ175" s="628"/>
      <c r="ER175" s="628"/>
      <c r="ES175" s="628"/>
      <c r="ET175" s="628"/>
      <c r="EU175" s="628"/>
      <c r="EV175" s="628"/>
      <c r="EW175" s="628"/>
      <c r="EX175" s="628"/>
      <c r="EY175" s="628"/>
      <c r="EZ175" s="628"/>
      <c r="FA175" s="628"/>
      <c r="FB175" s="628"/>
      <c r="FC175" s="628"/>
      <c r="FD175" s="628"/>
      <c r="FE175" s="628"/>
      <c r="FF175" s="628"/>
      <c r="FG175" s="628"/>
      <c r="FH175" s="628"/>
      <c r="FI175" s="628"/>
      <c r="FJ175" s="628"/>
      <c r="FK175" s="628"/>
      <c r="FL175" s="628"/>
      <c r="FM175" s="628"/>
      <c r="FN175" s="628"/>
      <c r="FO175" s="628"/>
      <c r="FP175" s="628"/>
      <c r="FQ175" s="628"/>
      <c r="FR175" s="628"/>
      <c r="FS175" s="628"/>
      <c r="FT175" s="628"/>
      <c r="FU175" s="628"/>
      <c r="FV175" s="628"/>
      <c r="FW175" s="628"/>
      <c r="FX175" s="628"/>
      <c r="FY175" s="629"/>
      <c r="FZ175" s="629"/>
      <c r="GA175" s="629"/>
      <c r="GB175" s="629"/>
      <c r="GC175" s="629"/>
      <c r="GD175" s="629"/>
      <c r="GE175" s="629"/>
      <c r="GF175" s="629"/>
      <c r="GG175" s="629"/>
      <c r="GH175" s="629"/>
      <c r="GI175" s="629"/>
      <c r="GJ175" s="629"/>
      <c r="GK175" s="629"/>
      <c r="GL175" s="629"/>
      <c r="GM175" s="629"/>
      <c r="GN175" s="629"/>
      <c r="GO175" s="629"/>
      <c r="GP175" s="628"/>
      <c r="GQ175" s="628"/>
      <c r="GR175" s="628"/>
      <c r="GS175" s="628"/>
      <c r="GT175" s="628"/>
      <c r="GU175" s="628"/>
      <c r="GV175" s="630"/>
      <c r="GW175" s="628"/>
      <c r="GX175" s="628"/>
      <c r="GY175" s="628"/>
      <c r="GZ175" s="628"/>
      <c r="HA175" s="628"/>
      <c r="HB175" s="628"/>
      <c r="HC175" s="628"/>
      <c r="HD175" s="628"/>
      <c r="HE175" s="628"/>
      <c r="HF175" s="628"/>
      <c r="HG175" s="628"/>
      <c r="HH175" s="628"/>
      <c r="HI175" s="628"/>
      <c r="HJ175" s="628"/>
      <c r="HK175" s="628"/>
      <c r="HL175" s="630"/>
      <c r="HM175" s="630"/>
      <c r="HN175" s="628"/>
      <c r="HO175" s="628"/>
      <c r="HP175" s="115"/>
      <c r="HQ175" s="115"/>
      <c r="HR175" s="115"/>
      <c r="HS175" s="115"/>
      <c r="HT175" s="115"/>
      <c r="HU175" s="115"/>
      <c r="HV175" s="115"/>
      <c r="HW175" s="115"/>
      <c r="HX175" s="115"/>
      <c r="HY175" s="115"/>
      <c r="HZ175" s="115"/>
      <c r="IA175" s="115"/>
      <c r="IB175" s="115"/>
      <c r="IC175" s="115"/>
      <c r="ID175" s="115"/>
      <c r="IE175" s="115"/>
      <c r="IF175" s="115"/>
      <c r="IG175" s="115"/>
      <c r="IH175" s="115"/>
      <c r="II175" s="115"/>
      <c r="IJ175" s="115"/>
      <c r="IK175" s="115"/>
      <c r="IL175" s="115"/>
      <c r="IM175" s="115"/>
      <c r="IN175" s="115"/>
      <c r="IO175" s="115"/>
      <c r="IP175" s="115"/>
      <c r="IQ175" s="115"/>
      <c r="IR175" s="115"/>
      <c r="IS175" s="115"/>
      <c r="IT175" s="115"/>
      <c r="IU175" s="115"/>
    </row>
    <row r="176" spans="1:255" s="108" customFormat="1" ht="13.9" customHeight="1">
      <c r="A176" s="36"/>
      <c r="B176" s="1"/>
      <c r="C176" s="1"/>
      <c r="D176" s="1"/>
      <c r="E176" s="1"/>
      <c r="F176" s="1"/>
      <c r="G176" s="1"/>
      <c r="H176" s="1"/>
      <c r="I176" s="1"/>
      <c r="J176" s="1"/>
      <c r="K176" s="1"/>
      <c r="L176" s="1"/>
      <c r="M176" s="1"/>
      <c r="N176" s="1"/>
      <c r="O176" s="1"/>
      <c r="V176" s="628"/>
      <c r="W176" s="628"/>
      <c r="X176" s="628"/>
      <c r="Y176" s="628"/>
      <c r="Z176" s="628"/>
      <c r="AA176" s="628"/>
      <c r="AB176" s="628"/>
      <c r="AC176" s="628"/>
      <c r="AD176" s="628"/>
      <c r="AE176" s="628"/>
      <c r="AF176" s="628"/>
      <c r="AG176" s="628"/>
      <c r="AH176" s="628"/>
      <c r="AI176" s="628"/>
      <c r="AJ176" s="628"/>
      <c r="AK176" s="628"/>
      <c r="AL176" s="628"/>
      <c r="AM176" s="628"/>
      <c r="AN176" s="628"/>
      <c r="AO176" s="628"/>
      <c r="AP176" s="628"/>
      <c r="AQ176" s="628"/>
      <c r="AR176" s="628"/>
      <c r="AS176" s="628"/>
      <c r="AT176" s="628"/>
      <c r="AU176" s="628"/>
      <c r="AV176" s="628"/>
      <c r="AW176" s="628"/>
      <c r="AX176" s="628"/>
      <c r="AY176" s="628"/>
      <c r="AZ176" s="628"/>
      <c r="BA176" s="628"/>
      <c r="BB176" s="628"/>
      <c r="BC176" s="628"/>
      <c r="BD176" s="628"/>
      <c r="BE176" s="628"/>
      <c r="BF176" s="628"/>
      <c r="BG176" s="628"/>
      <c r="BH176" s="628"/>
      <c r="BI176" s="628"/>
      <c r="BJ176" s="628"/>
      <c r="BK176" s="628"/>
      <c r="BL176" s="628"/>
      <c r="BM176" s="628"/>
      <c r="BN176" s="628"/>
      <c r="BO176" s="628"/>
      <c r="BP176" s="628"/>
      <c r="BQ176" s="628"/>
      <c r="BR176" s="628"/>
      <c r="BS176" s="628"/>
      <c r="BT176" s="628"/>
      <c r="BU176" s="628"/>
      <c r="BV176" s="628"/>
      <c r="BW176" s="628"/>
      <c r="BX176" s="628"/>
      <c r="BY176" s="628"/>
      <c r="BZ176" s="628"/>
      <c r="CA176" s="628"/>
      <c r="CB176" s="628"/>
      <c r="CC176" s="628"/>
      <c r="CD176" s="628"/>
      <c r="CE176" s="628"/>
      <c r="CF176" s="628"/>
      <c r="CG176" s="628"/>
      <c r="CH176" s="628"/>
      <c r="CI176" s="628"/>
      <c r="CJ176" s="628"/>
      <c r="CK176" s="628"/>
      <c r="CL176" s="628"/>
      <c r="CM176" s="628"/>
      <c r="CN176" s="628"/>
      <c r="CO176" s="628"/>
      <c r="CP176" s="628"/>
      <c r="CQ176" s="628"/>
      <c r="CR176" s="628"/>
      <c r="CS176" s="628"/>
      <c r="CT176" s="628"/>
      <c r="CU176" s="628"/>
      <c r="CV176" s="628"/>
      <c r="CW176" s="628"/>
      <c r="CX176" s="628"/>
      <c r="CY176" s="628"/>
      <c r="CZ176" s="628"/>
      <c r="DA176" s="628"/>
      <c r="DB176" s="628"/>
      <c r="DC176" s="628"/>
      <c r="DD176" s="628"/>
      <c r="DE176" s="628"/>
      <c r="DF176" s="628"/>
      <c r="DG176" s="628"/>
      <c r="DH176" s="628"/>
      <c r="DI176" s="628"/>
      <c r="DJ176" s="628"/>
      <c r="DK176" s="628"/>
      <c r="DL176" s="628"/>
      <c r="DM176" s="628"/>
      <c r="DN176" s="628"/>
      <c r="DO176" s="628"/>
      <c r="DP176" s="628"/>
      <c r="DQ176" s="628"/>
      <c r="DR176" s="628"/>
      <c r="DS176" s="628"/>
      <c r="DT176" s="628"/>
      <c r="DU176" s="628"/>
      <c r="DV176" s="628"/>
      <c r="DW176" s="628"/>
      <c r="DX176" s="628"/>
      <c r="DY176" s="628"/>
      <c r="DZ176" s="628"/>
      <c r="EA176" s="628"/>
      <c r="EB176" s="628"/>
      <c r="EC176" s="628"/>
      <c r="ED176" s="628"/>
      <c r="EE176" s="628"/>
      <c r="EF176" s="628"/>
      <c r="EG176" s="628"/>
      <c r="EH176" s="628"/>
      <c r="EI176" s="628"/>
      <c r="EJ176" s="628"/>
      <c r="EK176" s="628"/>
      <c r="EL176" s="628"/>
      <c r="EM176" s="628"/>
      <c r="EN176" s="628"/>
      <c r="EO176" s="628"/>
      <c r="EP176" s="628"/>
      <c r="EQ176" s="628"/>
      <c r="ER176" s="628"/>
      <c r="ES176" s="628"/>
      <c r="ET176" s="628"/>
      <c r="EU176" s="628"/>
      <c r="EV176" s="628"/>
      <c r="EW176" s="628"/>
      <c r="EX176" s="628"/>
      <c r="EY176" s="628"/>
      <c r="EZ176" s="628"/>
      <c r="FA176" s="628"/>
      <c r="FB176" s="628"/>
      <c r="FC176" s="628"/>
      <c r="FD176" s="628"/>
      <c r="FE176" s="628"/>
      <c r="FF176" s="628"/>
      <c r="FG176" s="628"/>
      <c r="FH176" s="628"/>
      <c r="FI176" s="628"/>
      <c r="FJ176" s="628"/>
      <c r="FK176" s="628"/>
      <c r="FL176" s="628"/>
      <c r="FM176" s="628"/>
      <c r="FN176" s="628"/>
      <c r="FO176" s="628"/>
      <c r="FP176" s="628"/>
      <c r="FQ176" s="628"/>
      <c r="FR176" s="628"/>
      <c r="FS176" s="628"/>
      <c r="FT176" s="628"/>
      <c r="FU176" s="628"/>
      <c r="FV176" s="628"/>
      <c r="FW176" s="628"/>
      <c r="FX176" s="628"/>
      <c r="FY176" s="629"/>
      <c r="FZ176" s="629"/>
      <c r="GA176" s="629"/>
      <c r="GB176" s="629"/>
      <c r="GC176" s="629"/>
      <c r="GD176" s="629"/>
      <c r="GE176" s="629"/>
      <c r="GF176" s="629"/>
      <c r="GG176" s="629"/>
      <c r="GH176" s="629"/>
      <c r="GI176" s="629"/>
      <c r="GJ176" s="629"/>
      <c r="GK176" s="629"/>
      <c r="GL176" s="629"/>
      <c r="GM176" s="629"/>
      <c r="GN176" s="629"/>
      <c r="GO176" s="629"/>
      <c r="GP176" s="628"/>
      <c r="GQ176" s="628"/>
      <c r="GR176" s="628"/>
      <c r="GS176" s="628"/>
      <c r="GT176" s="628"/>
      <c r="GU176" s="628"/>
      <c r="GV176" s="630"/>
      <c r="GW176" s="628"/>
      <c r="GX176" s="628"/>
      <c r="GY176" s="628"/>
      <c r="GZ176" s="628"/>
      <c r="HA176" s="628"/>
      <c r="HB176" s="628"/>
      <c r="HC176" s="628"/>
      <c r="HD176" s="628"/>
      <c r="HE176" s="628"/>
      <c r="HF176" s="628"/>
      <c r="HG176" s="628"/>
      <c r="HH176" s="628"/>
      <c r="HI176" s="628"/>
      <c r="HJ176" s="628"/>
      <c r="HK176" s="628"/>
      <c r="HL176" s="630"/>
      <c r="HM176" s="630"/>
      <c r="HN176" s="628"/>
      <c r="HO176" s="628"/>
      <c r="HP176" s="115"/>
      <c r="HQ176" s="115"/>
      <c r="HR176" s="115"/>
      <c r="HS176" s="115"/>
      <c r="HT176" s="115"/>
      <c r="HU176" s="115"/>
      <c r="HV176" s="115"/>
      <c r="HW176" s="115"/>
      <c r="HX176" s="115"/>
      <c r="HY176" s="115"/>
      <c r="HZ176" s="115"/>
      <c r="IA176" s="115"/>
      <c r="IB176" s="115"/>
      <c r="IC176" s="115"/>
      <c r="ID176" s="115"/>
      <c r="IE176" s="115"/>
      <c r="IF176" s="115"/>
      <c r="IG176" s="115"/>
      <c r="IH176" s="115"/>
      <c r="II176" s="115"/>
      <c r="IJ176" s="115"/>
      <c r="IK176" s="115"/>
      <c r="IL176" s="115"/>
      <c r="IM176" s="115"/>
      <c r="IN176" s="115"/>
      <c r="IO176" s="115"/>
      <c r="IP176" s="115"/>
      <c r="IQ176" s="115"/>
      <c r="IR176" s="115"/>
      <c r="IS176" s="115"/>
      <c r="IT176" s="115"/>
      <c r="IU176" s="115"/>
    </row>
    <row r="177" spans="1:255" s="108" customFormat="1" ht="13.9" customHeight="1">
      <c r="A177" s="36"/>
      <c r="B177" s="1"/>
      <c r="C177" s="1"/>
      <c r="D177" s="1"/>
      <c r="E177" s="1"/>
      <c r="F177" s="1"/>
      <c r="G177" s="1"/>
      <c r="H177" s="1"/>
      <c r="I177" s="1"/>
      <c r="J177" s="1"/>
      <c r="K177" s="1"/>
      <c r="L177" s="1"/>
      <c r="M177" s="1"/>
      <c r="N177" s="1"/>
      <c r="O177" s="1"/>
      <c r="V177" s="628"/>
      <c r="W177" s="628"/>
      <c r="X177" s="628"/>
      <c r="Y177" s="628"/>
      <c r="Z177" s="628"/>
      <c r="AA177" s="628"/>
      <c r="AB177" s="628"/>
      <c r="AC177" s="628"/>
      <c r="AD177" s="628"/>
      <c r="AE177" s="628"/>
      <c r="AF177" s="628"/>
      <c r="AG177" s="628"/>
      <c r="AH177" s="628"/>
      <c r="AI177" s="628"/>
      <c r="AJ177" s="628"/>
      <c r="AK177" s="628"/>
      <c r="AL177" s="628"/>
      <c r="AM177" s="628"/>
      <c r="AN177" s="628"/>
      <c r="AO177" s="628"/>
      <c r="AP177" s="628"/>
      <c r="AQ177" s="628"/>
      <c r="AR177" s="628"/>
      <c r="AS177" s="628"/>
      <c r="AT177" s="628"/>
      <c r="AU177" s="628"/>
      <c r="AV177" s="628"/>
      <c r="AW177" s="628"/>
      <c r="AX177" s="628"/>
      <c r="AY177" s="628"/>
      <c r="AZ177" s="628"/>
      <c r="BA177" s="628"/>
      <c r="BB177" s="628"/>
      <c r="BC177" s="628"/>
      <c r="BD177" s="628"/>
      <c r="BE177" s="628"/>
      <c r="BF177" s="628"/>
      <c r="BG177" s="628"/>
      <c r="BH177" s="628"/>
      <c r="BI177" s="628"/>
      <c r="BJ177" s="628"/>
      <c r="BK177" s="628"/>
      <c r="BL177" s="628"/>
      <c r="BM177" s="628"/>
      <c r="BN177" s="628"/>
      <c r="BO177" s="628"/>
      <c r="BP177" s="628"/>
      <c r="BQ177" s="628"/>
      <c r="BR177" s="628"/>
      <c r="BS177" s="628"/>
      <c r="BT177" s="628"/>
      <c r="BU177" s="628"/>
      <c r="BV177" s="628"/>
      <c r="BW177" s="628"/>
      <c r="BX177" s="628"/>
      <c r="BY177" s="628"/>
      <c r="BZ177" s="628"/>
      <c r="CA177" s="628"/>
      <c r="CB177" s="628"/>
      <c r="CC177" s="628"/>
      <c r="CD177" s="628"/>
      <c r="CE177" s="628"/>
      <c r="CF177" s="628"/>
      <c r="CG177" s="628"/>
      <c r="CH177" s="628"/>
      <c r="CI177" s="628"/>
      <c r="CJ177" s="628"/>
      <c r="CK177" s="628"/>
      <c r="CL177" s="628"/>
      <c r="CM177" s="628"/>
      <c r="CN177" s="628"/>
      <c r="CO177" s="628"/>
      <c r="CP177" s="628"/>
      <c r="CQ177" s="628"/>
      <c r="CR177" s="628"/>
      <c r="CS177" s="628"/>
      <c r="CT177" s="628"/>
      <c r="CU177" s="628"/>
      <c r="CV177" s="628"/>
      <c r="CW177" s="628"/>
      <c r="CX177" s="628"/>
      <c r="CY177" s="628"/>
      <c r="CZ177" s="628"/>
      <c r="DA177" s="628"/>
      <c r="DB177" s="628"/>
      <c r="DC177" s="628"/>
      <c r="DD177" s="628"/>
      <c r="DE177" s="628"/>
      <c r="DF177" s="628"/>
      <c r="DG177" s="628"/>
      <c r="DH177" s="628"/>
      <c r="DI177" s="628"/>
      <c r="DJ177" s="628"/>
      <c r="DK177" s="628"/>
      <c r="DL177" s="628"/>
      <c r="DM177" s="628"/>
      <c r="DN177" s="628"/>
      <c r="DO177" s="628"/>
      <c r="DP177" s="628"/>
      <c r="DQ177" s="628"/>
      <c r="DR177" s="628"/>
      <c r="DS177" s="628"/>
      <c r="DT177" s="628"/>
      <c r="DU177" s="628"/>
      <c r="DV177" s="628"/>
      <c r="DW177" s="628"/>
      <c r="DX177" s="628"/>
      <c r="DY177" s="628"/>
      <c r="DZ177" s="628"/>
      <c r="EA177" s="628"/>
      <c r="EB177" s="628"/>
      <c r="EC177" s="628"/>
      <c r="ED177" s="628"/>
      <c r="EE177" s="628"/>
      <c r="EF177" s="628"/>
      <c r="EG177" s="628"/>
      <c r="EH177" s="628"/>
      <c r="EI177" s="628"/>
      <c r="EJ177" s="628"/>
      <c r="EK177" s="628"/>
      <c r="EL177" s="628"/>
      <c r="EM177" s="628"/>
      <c r="EN177" s="628"/>
      <c r="EO177" s="628"/>
      <c r="EP177" s="628"/>
      <c r="EQ177" s="628"/>
      <c r="ER177" s="628"/>
      <c r="ES177" s="628"/>
      <c r="ET177" s="628"/>
      <c r="EU177" s="628"/>
      <c r="EV177" s="628"/>
      <c r="EW177" s="628"/>
      <c r="EX177" s="628"/>
      <c r="EY177" s="628"/>
      <c r="EZ177" s="628"/>
      <c r="FA177" s="628"/>
      <c r="FB177" s="628"/>
      <c r="FC177" s="628"/>
      <c r="FD177" s="628"/>
      <c r="FE177" s="628"/>
      <c r="FF177" s="628"/>
      <c r="FG177" s="628"/>
      <c r="FH177" s="628"/>
      <c r="FI177" s="628"/>
      <c r="FJ177" s="628"/>
      <c r="FK177" s="628"/>
      <c r="FL177" s="628"/>
      <c r="FM177" s="628"/>
      <c r="FN177" s="628"/>
      <c r="FO177" s="628"/>
      <c r="FP177" s="628"/>
      <c r="FQ177" s="628"/>
      <c r="FR177" s="628"/>
      <c r="FS177" s="628"/>
      <c r="FT177" s="628"/>
      <c r="FU177" s="628"/>
      <c r="FV177" s="628"/>
      <c r="FW177" s="628"/>
      <c r="FX177" s="628"/>
      <c r="FY177" s="629"/>
      <c r="FZ177" s="629"/>
      <c r="GA177" s="629"/>
      <c r="GB177" s="629"/>
      <c r="GC177" s="629"/>
      <c r="GD177" s="629"/>
      <c r="GE177" s="629"/>
      <c r="GF177" s="629"/>
      <c r="GG177" s="629"/>
      <c r="GH177" s="629"/>
      <c r="GI177" s="629"/>
      <c r="GJ177" s="629"/>
      <c r="GK177" s="629"/>
      <c r="GL177" s="629"/>
      <c r="GM177" s="629"/>
      <c r="GN177" s="629"/>
      <c r="GO177" s="629"/>
      <c r="GP177" s="628"/>
      <c r="GQ177" s="628"/>
      <c r="GR177" s="628"/>
      <c r="GS177" s="628"/>
      <c r="GT177" s="628"/>
      <c r="GU177" s="628"/>
      <c r="GV177" s="630"/>
      <c r="GW177" s="628"/>
      <c r="GX177" s="628"/>
      <c r="GY177" s="628"/>
      <c r="GZ177" s="628"/>
      <c r="HA177" s="628"/>
      <c r="HB177" s="628"/>
      <c r="HC177" s="628"/>
      <c r="HD177" s="628"/>
      <c r="HE177" s="628"/>
      <c r="HF177" s="628"/>
      <c r="HG177" s="628"/>
      <c r="HH177" s="628"/>
      <c r="HI177" s="628"/>
      <c r="HJ177" s="628"/>
      <c r="HK177" s="628"/>
      <c r="HL177" s="630"/>
      <c r="HM177" s="630"/>
      <c r="HN177" s="628"/>
      <c r="HO177" s="628"/>
      <c r="HP177" s="115"/>
      <c r="HQ177" s="115"/>
      <c r="HR177" s="115"/>
      <c r="HS177" s="115"/>
      <c r="HT177" s="115"/>
      <c r="HU177" s="115"/>
      <c r="HV177" s="115"/>
      <c r="HW177" s="115"/>
      <c r="HX177" s="115"/>
      <c r="HY177" s="115"/>
      <c r="HZ177" s="115"/>
      <c r="IA177" s="115"/>
      <c r="IB177" s="115"/>
      <c r="IC177" s="115"/>
      <c r="ID177" s="115"/>
      <c r="IE177" s="115"/>
      <c r="IF177" s="115"/>
      <c r="IG177" s="115"/>
      <c r="IH177" s="115"/>
      <c r="II177" s="115"/>
      <c r="IJ177" s="115"/>
      <c r="IK177" s="115"/>
      <c r="IL177" s="115"/>
      <c r="IM177" s="115"/>
      <c r="IN177" s="115"/>
      <c r="IO177" s="115"/>
      <c r="IP177" s="115"/>
      <c r="IQ177" s="115"/>
      <c r="IR177" s="115"/>
      <c r="IS177" s="115"/>
      <c r="IT177" s="115"/>
      <c r="IU177" s="115"/>
    </row>
    <row r="178" spans="1:255" s="108" customFormat="1" ht="13.9" customHeight="1">
      <c r="A178" s="2"/>
      <c r="B178" s="1"/>
      <c r="C178" s="1"/>
      <c r="D178" s="1"/>
      <c r="E178" s="1"/>
      <c r="F178" s="1"/>
      <c r="G178" s="1"/>
      <c r="H178" s="1"/>
      <c r="I178" s="1"/>
      <c r="J178" s="1"/>
      <c r="K178" s="1"/>
      <c r="L178" s="1"/>
      <c r="M178" s="1"/>
      <c r="N178" s="1"/>
      <c r="O178" s="1"/>
      <c r="V178" s="628"/>
      <c r="W178" s="628"/>
      <c r="X178" s="628"/>
      <c r="Y178" s="628"/>
      <c r="Z178" s="628"/>
      <c r="AA178" s="628"/>
      <c r="AB178" s="628"/>
      <c r="AC178" s="628"/>
      <c r="AD178" s="628"/>
      <c r="AE178" s="628"/>
      <c r="AF178" s="628"/>
      <c r="AG178" s="628"/>
      <c r="AH178" s="628"/>
      <c r="AI178" s="628"/>
      <c r="AJ178" s="628"/>
      <c r="AK178" s="628"/>
      <c r="AL178" s="628"/>
      <c r="AM178" s="628"/>
      <c r="AN178" s="628"/>
      <c r="AO178" s="628"/>
      <c r="AP178" s="628"/>
      <c r="AQ178" s="628"/>
      <c r="AR178" s="628"/>
      <c r="AS178" s="628"/>
      <c r="AT178" s="628"/>
      <c r="AU178" s="628"/>
      <c r="AV178" s="628"/>
      <c r="AW178" s="628"/>
      <c r="AX178" s="628"/>
      <c r="AY178" s="628"/>
      <c r="AZ178" s="628"/>
      <c r="BA178" s="628"/>
      <c r="BB178" s="628"/>
      <c r="BC178" s="628"/>
      <c r="BD178" s="628"/>
      <c r="BE178" s="628"/>
      <c r="BF178" s="628"/>
      <c r="BG178" s="628"/>
      <c r="BH178" s="628"/>
      <c r="BI178" s="628"/>
      <c r="BJ178" s="628"/>
      <c r="BK178" s="628"/>
      <c r="BL178" s="628"/>
      <c r="BM178" s="628"/>
      <c r="BN178" s="628"/>
      <c r="BO178" s="628"/>
      <c r="BP178" s="628"/>
      <c r="BQ178" s="628"/>
      <c r="BR178" s="628"/>
      <c r="BS178" s="628"/>
      <c r="BT178" s="628"/>
      <c r="BU178" s="628"/>
      <c r="BV178" s="628"/>
      <c r="BW178" s="628"/>
      <c r="BX178" s="628"/>
      <c r="BY178" s="628"/>
      <c r="BZ178" s="628"/>
      <c r="CA178" s="628"/>
      <c r="CB178" s="628"/>
      <c r="CC178" s="628"/>
      <c r="CD178" s="628"/>
      <c r="CE178" s="628"/>
      <c r="CF178" s="628"/>
      <c r="CG178" s="628"/>
      <c r="CH178" s="628"/>
      <c r="CI178" s="628"/>
      <c r="CJ178" s="628"/>
      <c r="CK178" s="628"/>
      <c r="CL178" s="628"/>
      <c r="CM178" s="628"/>
      <c r="CN178" s="628"/>
      <c r="CO178" s="628"/>
      <c r="CP178" s="628"/>
      <c r="CQ178" s="628"/>
      <c r="CR178" s="628"/>
      <c r="CS178" s="628"/>
      <c r="CT178" s="628"/>
      <c r="CU178" s="628"/>
      <c r="CV178" s="628"/>
      <c r="CW178" s="628"/>
      <c r="CX178" s="628"/>
      <c r="CY178" s="628"/>
      <c r="CZ178" s="628"/>
      <c r="DA178" s="628"/>
      <c r="DB178" s="628"/>
      <c r="DC178" s="628"/>
      <c r="DD178" s="628"/>
      <c r="DE178" s="628"/>
      <c r="DF178" s="628"/>
      <c r="DG178" s="628"/>
      <c r="DH178" s="628"/>
      <c r="DI178" s="628"/>
      <c r="DJ178" s="628"/>
      <c r="DK178" s="628"/>
      <c r="DL178" s="628"/>
      <c r="DM178" s="628"/>
      <c r="DN178" s="628"/>
      <c r="DO178" s="628"/>
      <c r="DP178" s="628"/>
      <c r="DQ178" s="628"/>
      <c r="DR178" s="628"/>
      <c r="DS178" s="628"/>
      <c r="DT178" s="628"/>
      <c r="DU178" s="628"/>
      <c r="DV178" s="628"/>
      <c r="DW178" s="628"/>
      <c r="DX178" s="628"/>
      <c r="DY178" s="628"/>
      <c r="DZ178" s="628"/>
      <c r="EA178" s="628"/>
      <c r="EB178" s="628"/>
      <c r="EC178" s="628"/>
      <c r="ED178" s="628"/>
      <c r="EE178" s="628"/>
      <c r="EF178" s="628"/>
      <c r="EG178" s="628"/>
      <c r="EH178" s="628"/>
      <c r="EI178" s="628"/>
      <c r="EJ178" s="628"/>
      <c r="EK178" s="628"/>
      <c r="EL178" s="628"/>
      <c r="EM178" s="628"/>
      <c r="EN178" s="628"/>
      <c r="EO178" s="628"/>
      <c r="EP178" s="628"/>
      <c r="EQ178" s="628"/>
      <c r="ER178" s="628"/>
      <c r="ES178" s="628"/>
      <c r="ET178" s="628"/>
      <c r="EU178" s="628"/>
      <c r="EV178" s="628"/>
      <c r="EW178" s="628"/>
      <c r="EX178" s="628"/>
      <c r="EY178" s="628"/>
      <c r="EZ178" s="628"/>
      <c r="FA178" s="628"/>
      <c r="FB178" s="628"/>
      <c r="FC178" s="628"/>
      <c r="FD178" s="628"/>
      <c r="FE178" s="628"/>
      <c r="FF178" s="628"/>
      <c r="FG178" s="628"/>
      <c r="FH178" s="628"/>
      <c r="FI178" s="628"/>
      <c r="FJ178" s="628"/>
      <c r="FK178" s="628"/>
      <c r="FL178" s="628"/>
      <c r="FM178" s="628"/>
      <c r="FN178" s="628"/>
      <c r="FO178" s="628"/>
      <c r="FP178" s="628"/>
      <c r="FQ178" s="628"/>
      <c r="FR178" s="628"/>
      <c r="FS178" s="628"/>
      <c r="FT178" s="628"/>
      <c r="FU178" s="628"/>
      <c r="FV178" s="628"/>
      <c r="FW178" s="628"/>
      <c r="FX178" s="628"/>
      <c r="FY178" s="629"/>
      <c r="FZ178" s="629"/>
      <c r="GA178" s="629"/>
      <c r="GB178" s="629"/>
      <c r="GC178" s="629"/>
      <c r="GD178" s="629"/>
      <c r="GE178" s="629"/>
      <c r="GF178" s="629"/>
      <c r="GG178" s="629"/>
      <c r="GH178" s="629"/>
      <c r="GI178" s="629"/>
      <c r="GJ178" s="629"/>
      <c r="GK178" s="629"/>
      <c r="GL178" s="629"/>
      <c r="GM178" s="629"/>
      <c r="GN178" s="629"/>
      <c r="GO178" s="629"/>
      <c r="GP178" s="628"/>
      <c r="GQ178" s="628"/>
      <c r="GR178" s="628"/>
      <c r="GS178" s="628"/>
      <c r="GT178" s="628"/>
      <c r="GU178" s="628"/>
      <c r="GV178" s="630"/>
      <c r="GW178" s="628"/>
      <c r="GX178" s="628"/>
      <c r="GY178" s="628"/>
      <c r="GZ178" s="628"/>
      <c r="HA178" s="628"/>
      <c r="HB178" s="628"/>
      <c r="HC178" s="628"/>
      <c r="HD178" s="628"/>
      <c r="HE178" s="628"/>
      <c r="HF178" s="628"/>
      <c r="HG178" s="628"/>
      <c r="HH178" s="628"/>
      <c r="HI178" s="628"/>
      <c r="HJ178" s="628"/>
      <c r="HK178" s="628"/>
      <c r="HL178" s="630"/>
      <c r="HM178" s="630"/>
      <c r="HN178" s="628"/>
      <c r="HO178" s="628"/>
      <c r="HP178" s="115"/>
      <c r="HQ178" s="115"/>
      <c r="HR178" s="115"/>
      <c r="HS178" s="115"/>
      <c r="HT178" s="115"/>
      <c r="HU178" s="115"/>
      <c r="HV178" s="115"/>
      <c r="HW178" s="115"/>
      <c r="HX178" s="115"/>
      <c r="HY178" s="115"/>
      <c r="HZ178" s="115"/>
      <c r="IA178" s="115"/>
      <c r="IB178" s="115"/>
      <c r="IC178" s="115"/>
      <c r="ID178" s="115"/>
      <c r="IE178" s="115"/>
      <c r="IF178" s="115"/>
      <c r="IG178" s="115"/>
      <c r="IH178" s="115"/>
      <c r="II178" s="115"/>
      <c r="IJ178" s="115"/>
      <c r="IK178" s="115"/>
      <c r="IL178" s="115"/>
      <c r="IM178" s="115"/>
      <c r="IN178" s="115"/>
      <c r="IO178" s="115"/>
      <c r="IP178" s="115"/>
      <c r="IQ178" s="115"/>
      <c r="IR178" s="115"/>
      <c r="IS178" s="115"/>
      <c r="IT178" s="115"/>
      <c r="IU178" s="115"/>
    </row>
    <row r="179" spans="1:255" s="108" customFormat="1" ht="13.9" customHeight="1">
      <c r="A179" s="1"/>
      <c r="B179" s="1"/>
      <c r="C179" s="1"/>
      <c r="D179" s="1"/>
      <c r="E179" s="1"/>
      <c r="F179" s="1"/>
      <c r="G179" s="1"/>
      <c r="H179" s="1"/>
      <c r="I179" s="1"/>
      <c r="J179" s="1"/>
      <c r="K179" s="1"/>
      <c r="L179" s="1"/>
      <c r="M179" s="1"/>
      <c r="N179" s="1"/>
      <c r="O179" s="1"/>
      <c r="V179" s="628"/>
      <c r="W179" s="628"/>
      <c r="X179" s="628"/>
      <c r="Y179" s="628"/>
      <c r="Z179" s="628"/>
      <c r="AA179" s="628"/>
      <c r="AB179" s="628"/>
      <c r="AC179" s="628"/>
      <c r="AD179" s="628"/>
      <c r="AE179" s="628"/>
      <c r="AF179" s="628"/>
      <c r="AG179" s="628"/>
      <c r="AH179" s="628"/>
      <c r="AI179" s="628"/>
      <c r="AJ179" s="628"/>
      <c r="AK179" s="628"/>
      <c r="AL179" s="628"/>
      <c r="AM179" s="628"/>
      <c r="AN179" s="628"/>
      <c r="AO179" s="628"/>
      <c r="AP179" s="628"/>
      <c r="AQ179" s="628"/>
      <c r="AR179" s="628"/>
      <c r="AS179" s="628"/>
      <c r="AT179" s="628"/>
      <c r="AU179" s="628"/>
      <c r="AV179" s="628"/>
      <c r="AW179" s="628"/>
      <c r="AX179" s="628"/>
      <c r="AY179" s="628"/>
      <c r="AZ179" s="628"/>
      <c r="BA179" s="628"/>
      <c r="BB179" s="628"/>
      <c r="BC179" s="628"/>
      <c r="BD179" s="628"/>
      <c r="BE179" s="628"/>
      <c r="BF179" s="628"/>
      <c r="BG179" s="628"/>
      <c r="BH179" s="628"/>
      <c r="BI179" s="628"/>
      <c r="BJ179" s="628"/>
      <c r="BK179" s="628"/>
      <c r="BL179" s="628"/>
      <c r="BM179" s="628"/>
      <c r="BN179" s="628"/>
      <c r="BO179" s="628"/>
      <c r="BP179" s="628"/>
      <c r="BQ179" s="628"/>
      <c r="BR179" s="628"/>
      <c r="BS179" s="628"/>
      <c r="BT179" s="628"/>
      <c r="BU179" s="628"/>
      <c r="BV179" s="628"/>
      <c r="BW179" s="628"/>
      <c r="BX179" s="628"/>
      <c r="BY179" s="628"/>
      <c r="BZ179" s="628"/>
      <c r="CA179" s="628"/>
      <c r="CB179" s="628"/>
      <c r="CC179" s="628"/>
      <c r="CD179" s="628"/>
      <c r="CE179" s="628"/>
      <c r="CF179" s="628"/>
      <c r="CG179" s="628"/>
      <c r="CH179" s="628"/>
      <c r="CI179" s="628"/>
      <c r="CJ179" s="628"/>
      <c r="CK179" s="628"/>
      <c r="CL179" s="628"/>
      <c r="CM179" s="628"/>
      <c r="CN179" s="628"/>
      <c r="CO179" s="628"/>
      <c r="CP179" s="628"/>
      <c r="CQ179" s="628"/>
      <c r="CR179" s="628"/>
      <c r="CS179" s="628"/>
      <c r="CT179" s="628"/>
      <c r="CU179" s="628"/>
      <c r="CV179" s="628"/>
      <c r="CW179" s="628"/>
      <c r="CX179" s="628"/>
      <c r="CY179" s="628"/>
      <c r="CZ179" s="628"/>
      <c r="DA179" s="628"/>
      <c r="DB179" s="628"/>
      <c r="DC179" s="628"/>
      <c r="DD179" s="628"/>
      <c r="DE179" s="628"/>
      <c r="DF179" s="628"/>
      <c r="DG179" s="628"/>
      <c r="DH179" s="628"/>
      <c r="DI179" s="628"/>
      <c r="DJ179" s="628"/>
      <c r="DK179" s="628"/>
      <c r="DL179" s="628"/>
      <c r="DM179" s="628"/>
      <c r="DN179" s="628"/>
      <c r="DO179" s="628"/>
      <c r="DP179" s="628"/>
      <c r="DQ179" s="628"/>
      <c r="DR179" s="628"/>
      <c r="DS179" s="628"/>
      <c r="DT179" s="628"/>
      <c r="DU179" s="628"/>
      <c r="DV179" s="628"/>
      <c r="DW179" s="628"/>
      <c r="DX179" s="628"/>
      <c r="DY179" s="628"/>
      <c r="DZ179" s="628"/>
      <c r="EA179" s="628"/>
      <c r="EB179" s="628"/>
      <c r="EC179" s="628"/>
      <c r="ED179" s="628"/>
      <c r="EE179" s="628"/>
      <c r="EF179" s="628"/>
      <c r="EG179" s="628"/>
      <c r="EH179" s="628"/>
      <c r="EI179" s="628"/>
      <c r="EJ179" s="628"/>
      <c r="EK179" s="628"/>
      <c r="EL179" s="628"/>
      <c r="EM179" s="628"/>
      <c r="EN179" s="628"/>
      <c r="EO179" s="628"/>
      <c r="EP179" s="628"/>
      <c r="EQ179" s="628"/>
      <c r="ER179" s="628"/>
      <c r="ES179" s="628"/>
      <c r="ET179" s="628"/>
      <c r="EU179" s="628"/>
      <c r="EV179" s="628"/>
      <c r="EW179" s="628"/>
      <c r="EX179" s="628"/>
      <c r="EY179" s="628"/>
      <c r="EZ179" s="628"/>
      <c r="FA179" s="628"/>
      <c r="FB179" s="628"/>
      <c r="FC179" s="628"/>
      <c r="FD179" s="628"/>
      <c r="FE179" s="628"/>
      <c r="FF179" s="628"/>
      <c r="FG179" s="628"/>
      <c r="FH179" s="628"/>
      <c r="FI179" s="628"/>
      <c r="FJ179" s="628"/>
      <c r="FK179" s="628"/>
      <c r="FL179" s="628"/>
      <c r="FM179" s="628"/>
      <c r="FN179" s="628"/>
      <c r="FO179" s="628"/>
      <c r="FP179" s="628"/>
      <c r="FQ179" s="628"/>
      <c r="FR179" s="628"/>
      <c r="FS179" s="628"/>
      <c r="FT179" s="628"/>
      <c r="FU179" s="628"/>
      <c r="FV179" s="628"/>
      <c r="FW179" s="628"/>
      <c r="FX179" s="628"/>
      <c r="FY179" s="629"/>
      <c r="FZ179" s="629"/>
      <c r="GA179" s="629"/>
      <c r="GB179" s="629"/>
      <c r="GC179" s="629"/>
      <c r="GD179" s="629"/>
      <c r="GE179" s="629"/>
      <c r="GF179" s="629"/>
      <c r="GG179" s="629"/>
      <c r="GH179" s="629"/>
      <c r="GI179" s="629"/>
      <c r="GJ179" s="629"/>
      <c r="GK179" s="629"/>
      <c r="GL179" s="629"/>
      <c r="GM179" s="629"/>
      <c r="GN179" s="629"/>
      <c r="GO179" s="629"/>
      <c r="GP179" s="628"/>
      <c r="GQ179" s="628"/>
      <c r="GR179" s="628"/>
      <c r="GS179" s="628"/>
      <c r="GT179" s="628"/>
      <c r="GU179" s="628"/>
      <c r="GV179" s="630"/>
      <c r="GW179" s="628"/>
      <c r="GX179" s="628"/>
      <c r="GY179" s="628"/>
      <c r="GZ179" s="628"/>
      <c r="HA179" s="628"/>
      <c r="HB179" s="628"/>
      <c r="HC179" s="628"/>
      <c r="HD179" s="628"/>
      <c r="HE179" s="628"/>
      <c r="HF179" s="628"/>
      <c r="HG179" s="628"/>
      <c r="HH179" s="628"/>
      <c r="HI179" s="628"/>
      <c r="HJ179" s="628"/>
      <c r="HK179" s="628"/>
      <c r="HL179" s="630"/>
      <c r="HM179" s="630"/>
      <c r="HN179" s="628"/>
      <c r="HO179" s="628"/>
      <c r="HP179" s="115"/>
      <c r="HQ179" s="115"/>
      <c r="HR179" s="115"/>
      <c r="HS179" s="115"/>
      <c r="HT179" s="115"/>
      <c r="HU179" s="115"/>
      <c r="HV179" s="115"/>
      <c r="HW179" s="115"/>
      <c r="HX179" s="115"/>
      <c r="HY179" s="115"/>
      <c r="HZ179" s="115"/>
      <c r="IA179" s="115"/>
      <c r="IB179" s="115"/>
      <c r="IC179" s="115"/>
      <c r="ID179" s="115"/>
      <c r="IE179" s="115"/>
      <c r="IF179" s="115"/>
      <c r="IG179" s="115"/>
      <c r="IH179" s="115"/>
      <c r="II179" s="115"/>
      <c r="IJ179" s="115"/>
      <c r="IK179" s="115"/>
      <c r="IL179" s="115"/>
      <c r="IM179" s="115"/>
      <c r="IN179" s="115"/>
      <c r="IO179" s="115"/>
      <c r="IP179" s="115"/>
      <c r="IQ179" s="115"/>
      <c r="IR179" s="115"/>
      <c r="IS179" s="115"/>
      <c r="IT179" s="115"/>
      <c r="IU179" s="115"/>
    </row>
    <row r="180" spans="1:255" ht="13.9" customHeight="1"/>
    <row r="181" spans="1:255" ht="13.9" customHeight="1"/>
    <row r="182" spans="1:255" ht="13.9" customHeight="1"/>
    <row r="183" spans="1:255" ht="13.9" customHeight="1"/>
    <row r="184" spans="1:255" s="108" customFormat="1" ht="13.9" customHeight="1">
      <c r="A184" s="36"/>
      <c r="B184" s="1"/>
      <c r="C184" s="1"/>
      <c r="D184" s="1"/>
      <c r="E184" s="1"/>
      <c r="F184" s="1"/>
      <c r="G184" s="1"/>
      <c r="H184" s="1"/>
      <c r="I184" s="1"/>
      <c r="J184" s="1"/>
      <c r="K184" s="1"/>
      <c r="L184" s="1"/>
      <c r="M184" s="1"/>
      <c r="N184" s="1"/>
      <c r="O184" s="1"/>
      <c r="V184" s="628"/>
      <c r="W184" s="628"/>
      <c r="X184" s="628"/>
      <c r="Y184" s="628"/>
      <c r="Z184" s="628"/>
      <c r="AA184" s="628"/>
      <c r="AB184" s="628"/>
      <c r="AC184" s="628"/>
      <c r="AD184" s="628"/>
      <c r="AE184" s="628"/>
      <c r="AF184" s="628"/>
      <c r="AG184" s="628"/>
      <c r="AH184" s="628"/>
      <c r="AI184" s="628"/>
      <c r="AJ184" s="628"/>
      <c r="AK184" s="628"/>
      <c r="AL184" s="628"/>
      <c r="AM184" s="628"/>
      <c r="AN184" s="628"/>
      <c r="AO184" s="628"/>
      <c r="AP184" s="628"/>
      <c r="AQ184" s="628"/>
      <c r="AR184" s="628"/>
      <c r="AS184" s="628"/>
      <c r="AT184" s="628"/>
      <c r="AU184" s="628"/>
      <c r="AV184" s="628"/>
      <c r="AW184" s="628"/>
      <c r="AX184" s="628"/>
      <c r="AY184" s="628"/>
      <c r="AZ184" s="628"/>
      <c r="BA184" s="628"/>
      <c r="BB184" s="628"/>
      <c r="BC184" s="628"/>
      <c r="BD184" s="628"/>
      <c r="BE184" s="628"/>
      <c r="BF184" s="628"/>
      <c r="BG184" s="628"/>
      <c r="BH184" s="628"/>
      <c r="BI184" s="628"/>
      <c r="BJ184" s="628"/>
      <c r="BK184" s="628"/>
      <c r="BL184" s="628"/>
      <c r="BM184" s="628"/>
      <c r="BN184" s="628"/>
      <c r="BO184" s="628"/>
      <c r="BP184" s="628"/>
      <c r="BQ184" s="628"/>
      <c r="BR184" s="628"/>
      <c r="BS184" s="628"/>
      <c r="BT184" s="628"/>
      <c r="BU184" s="628"/>
      <c r="BV184" s="628"/>
      <c r="BW184" s="628"/>
      <c r="BX184" s="628"/>
      <c r="BY184" s="628"/>
      <c r="BZ184" s="628"/>
      <c r="CA184" s="628"/>
      <c r="CB184" s="628"/>
      <c r="CC184" s="628"/>
      <c r="CD184" s="628"/>
      <c r="CE184" s="628"/>
      <c r="CF184" s="628"/>
      <c r="CG184" s="628"/>
      <c r="CH184" s="628"/>
      <c r="CI184" s="628"/>
      <c r="CJ184" s="628"/>
      <c r="CK184" s="628"/>
      <c r="CL184" s="628"/>
      <c r="CM184" s="628"/>
      <c r="CN184" s="628"/>
      <c r="CO184" s="628"/>
      <c r="CP184" s="628"/>
      <c r="CQ184" s="628"/>
      <c r="CR184" s="628"/>
      <c r="CS184" s="628"/>
      <c r="CT184" s="628"/>
      <c r="CU184" s="628"/>
      <c r="CV184" s="628"/>
      <c r="CW184" s="628"/>
      <c r="CX184" s="628"/>
      <c r="CY184" s="628"/>
      <c r="CZ184" s="628"/>
      <c r="DA184" s="628"/>
      <c r="DB184" s="628"/>
      <c r="DC184" s="628"/>
      <c r="DD184" s="628"/>
      <c r="DE184" s="628"/>
      <c r="DF184" s="628"/>
      <c r="DG184" s="628"/>
      <c r="DH184" s="628"/>
      <c r="DI184" s="628"/>
      <c r="DJ184" s="628"/>
      <c r="DK184" s="628"/>
      <c r="DL184" s="628"/>
      <c r="DM184" s="628"/>
      <c r="DN184" s="628"/>
      <c r="DO184" s="628"/>
      <c r="DP184" s="628"/>
      <c r="DQ184" s="628"/>
      <c r="DR184" s="628"/>
      <c r="DS184" s="628"/>
      <c r="DT184" s="628"/>
      <c r="DU184" s="628"/>
      <c r="DV184" s="628"/>
      <c r="DW184" s="628"/>
      <c r="DX184" s="628"/>
      <c r="DY184" s="628"/>
      <c r="DZ184" s="628"/>
      <c r="EA184" s="628"/>
      <c r="EB184" s="628"/>
      <c r="EC184" s="628"/>
      <c r="ED184" s="628"/>
      <c r="EE184" s="628"/>
      <c r="EF184" s="628"/>
      <c r="EG184" s="628"/>
      <c r="EH184" s="628"/>
      <c r="EI184" s="628"/>
      <c r="EJ184" s="628"/>
      <c r="EK184" s="628"/>
      <c r="EL184" s="628"/>
      <c r="EM184" s="628"/>
      <c r="EN184" s="628"/>
      <c r="EO184" s="628"/>
      <c r="EP184" s="628"/>
      <c r="EQ184" s="628"/>
      <c r="ER184" s="628"/>
      <c r="ES184" s="628"/>
      <c r="ET184" s="628"/>
      <c r="EU184" s="628"/>
      <c r="EV184" s="628"/>
      <c r="EW184" s="628"/>
      <c r="EX184" s="628"/>
      <c r="EY184" s="628"/>
      <c r="EZ184" s="628"/>
      <c r="FA184" s="628"/>
      <c r="FB184" s="628"/>
      <c r="FC184" s="628"/>
      <c r="FD184" s="628"/>
      <c r="FE184" s="628"/>
      <c r="FF184" s="628"/>
      <c r="FG184" s="628"/>
      <c r="FH184" s="628"/>
      <c r="FI184" s="628"/>
      <c r="FJ184" s="628"/>
      <c r="FK184" s="628"/>
      <c r="FL184" s="628"/>
      <c r="FM184" s="628"/>
      <c r="FN184" s="628"/>
      <c r="FO184" s="628"/>
      <c r="FP184" s="628"/>
      <c r="FQ184" s="628"/>
      <c r="FR184" s="628"/>
      <c r="FS184" s="628"/>
      <c r="FT184" s="628"/>
      <c r="FU184" s="628"/>
      <c r="FV184" s="628"/>
      <c r="FW184" s="628"/>
      <c r="FX184" s="628"/>
      <c r="FY184" s="629"/>
      <c r="FZ184" s="629"/>
      <c r="GA184" s="629"/>
      <c r="GB184" s="629"/>
      <c r="GC184" s="629"/>
      <c r="GD184" s="629"/>
      <c r="GE184" s="629"/>
      <c r="GF184" s="629"/>
      <c r="GG184" s="629"/>
      <c r="GH184" s="629"/>
      <c r="GI184" s="629"/>
      <c r="GJ184" s="629"/>
      <c r="GK184" s="629"/>
      <c r="GL184" s="629"/>
      <c r="GM184" s="629"/>
      <c r="GN184" s="629"/>
      <c r="GO184" s="629"/>
      <c r="GP184" s="628"/>
      <c r="GQ184" s="628"/>
      <c r="GR184" s="628"/>
      <c r="GS184" s="628"/>
      <c r="GT184" s="628"/>
      <c r="GU184" s="628"/>
      <c r="GV184" s="630"/>
      <c r="GW184" s="628"/>
      <c r="GX184" s="628"/>
      <c r="GY184" s="628"/>
      <c r="GZ184" s="628"/>
      <c r="HA184" s="628"/>
      <c r="HB184" s="628"/>
      <c r="HC184" s="628"/>
      <c r="HD184" s="628"/>
      <c r="HE184" s="628"/>
      <c r="HF184" s="628"/>
      <c r="HG184" s="628"/>
      <c r="HH184" s="628"/>
      <c r="HI184" s="628"/>
      <c r="HJ184" s="628"/>
      <c r="HK184" s="628"/>
      <c r="HL184" s="630"/>
      <c r="HM184" s="630"/>
      <c r="HN184" s="628"/>
      <c r="HO184" s="628"/>
      <c r="HP184" s="115"/>
      <c r="HQ184" s="115"/>
      <c r="HR184" s="115"/>
      <c r="HS184" s="115"/>
      <c r="HT184" s="115"/>
      <c r="HU184" s="115"/>
      <c r="HV184" s="115"/>
      <c r="HW184" s="115"/>
      <c r="HX184" s="115"/>
      <c r="HY184" s="115"/>
      <c r="HZ184" s="115"/>
      <c r="IA184" s="115"/>
      <c r="IB184" s="115"/>
      <c r="IC184" s="115"/>
      <c r="ID184" s="115"/>
      <c r="IE184" s="115"/>
      <c r="IF184" s="115"/>
      <c r="IG184" s="115"/>
      <c r="IH184" s="115"/>
      <c r="II184" s="115"/>
      <c r="IJ184" s="115"/>
      <c r="IK184" s="115"/>
      <c r="IL184" s="115"/>
      <c r="IM184" s="115"/>
      <c r="IN184" s="115"/>
      <c r="IO184" s="115"/>
      <c r="IP184" s="115"/>
      <c r="IQ184" s="115"/>
      <c r="IR184" s="115"/>
      <c r="IS184" s="115"/>
      <c r="IT184" s="115"/>
      <c r="IU184" s="115"/>
    </row>
    <row r="185" spans="1:255" s="108" customFormat="1" ht="13.9" customHeight="1">
      <c r="A185" s="36"/>
      <c r="B185" s="1"/>
      <c r="C185" s="1"/>
      <c r="D185" s="1"/>
      <c r="E185" s="1"/>
      <c r="F185" s="1"/>
      <c r="G185" s="1"/>
      <c r="H185" s="1"/>
      <c r="I185" s="1"/>
      <c r="J185" s="1"/>
      <c r="K185" s="1"/>
      <c r="L185" s="1"/>
      <c r="M185" s="1"/>
      <c r="N185" s="1"/>
      <c r="O185" s="1"/>
      <c r="V185" s="628"/>
      <c r="W185" s="628"/>
      <c r="X185" s="628"/>
      <c r="Y185" s="628"/>
      <c r="Z185" s="628"/>
      <c r="AA185" s="628"/>
      <c r="AB185" s="628"/>
      <c r="AC185" s="628"/>
      <c r="AD185" s="628"/>
      <c r="AE185" s="628"/>
      <c r="AF185" s="628"/>
      <c r="AG185" s="628"/>
      <c r="AH185" s="628"/>
      <c r="AI185" s="628"/>
      <c r="AJ185" s="628"/>
      <c r="AK185" s="628"/>
      <c r="AL185" s="628"/>
      <c r="AM185" s="628"/>
      <c r="AN185" s="628"/>
      <c r="AO185" s="628"/>
      <c r="AP185" s="628"/>
      <c r="AQ185" s="628"/>
      <c r="AR185" s="628"/>
      <c r="AS185" s="628"/>
      <c r="AT185" s="628"/>
      <c r="AU185" s="628"/>
      <c r="AV185" s="628"/>
      <c r="AW185" s="628"/>
      <c r="AX185" s="628"/>
      <c r="AY185" s="628"/>
      <c r="AZ185" s="628"/>
      <c r="BA185" s="628"/>
      <c r="BB185" s="628"/>
      <c r="BC185" s="628"/>
      <c r="BD185" s="628"/>
      <c r="BE185" s="628"/>
      <c r="BF185" s="628"/>
      <c r="BG185" s="628"/>
      <c r="BH185" s="628"/>
      <c r="BI185" s="628"/>
      <c r="BJ185" s="628"/>
      <c r="BK185" s="628"/>
      <c r="BL185" s="628"/>
      <c r="BM185" s="628"/>
      <c r="BN185" s="628"/>
      <c r="BO185" s="628"/>
      <c r="BP185" s="628"/>
      <c r="BQ185" s="628"/>
      <c r="BR185" s="628"/>
      <c r="BS185" s="628"/>
      <c r="BT185" s="628"/>
      <c r="BU185" s="628"/>
      <c r="BV185" s="628"/>
      <c r="BW185" s="628"/>
      <c r="BX185" s="628"/>
      <c r="BY185" s="628"/>
      <c r="BZ185" s="628"/>
      <c r="CA185" s="628"/>
      <c r="CB185" s="628"/>
      <c r="CC185" s="628"/>
      <c r="CD185" s="628"/>
      <c r="CE185" s="628"/>
      <c r="CF185" s="628"/>
      <c r="CG185" s="628"/>
      <c r="CH185" s="628"/>
      <c r="CI185" s="628"/>
      <c r="CJ185" s="628"/>
      <c r="CK185" s="628"/>
      <c r="CL185" s="628"/>
      <c r="CM185" s="628"/>
      <c r="CN185" s="628"/>
      <c r="CO185" s="628"/>
      <c r="CP185" s="628"/>
      <c r="CQ185" s="628"/>
      <c r="CR185" s="628"/>
      <c r="CS185" s="628"/>
      <c r="CT185" s="628"/>
      <c r="CU185" s="628"/>
      <c r="CV185" s="628"/>
      <c r="CW185" s="628"/>
      <c r="CX185" s="628"/>
      <c r="CY185" s="628"/>
      <c r="CZ185" s="628"/>
      <c r="DA185" s="628"/>
      <c r="DB185" s="628"/>
      <c r="DC185" s="628"/>
      <c r="DD185" s="628"/>
      <c r="DE185" s="628"/>
      <c r="DF185" s="628"/>
      <c r="DG185" s="628"/>
      <c r="DH185" s="628"/>
      <c r="DI185" s="628"/>
      <c r="DJ185" s="628"/>
      <c r="DK185" s="628"/>
      <c r="DL185" s="628"/>
      <c r="DM185" s="628"/>
      <c r="DN185" s="628"/>
      <c r="DO185" s="628"/>
      <c r="DP185" s="628"/>
      <c r="DQ185" s="628"/>
      <c r="DR185" s="628"/>
      <c r="DS185" s="628"/>
      <c r="DT185" s="628"/>
      <c r="DU185" s="628"/>
      <c r="DV185" s="628"/>
      <c r="DW185" s="628"/>
      <c r="DX185" s="628"/>
      <c r="DY185" s="628"/>
      <c r="DZ185" s="628"/>
      <c r="EA185" s="628"/>
      <c r="EB185" s="628"/>
      <c r="EC185" s="628"/>
      <c r="ED185" s="628"/>
      <c r="EE185" s="628"/>
      <c r="EF185" s="628"/>
      <c r="EG185" s="628"/>
      <c r="EH185" s="628"/>
      <c r="EI185" s="628"/>
      <c r="EJ185" s="628"/>
      <c r="EK185" s="628"/>
      <c r="EL185" s="628"/>
      <c r="EM185" s="628"/>
      <c r="EN185" s="628"/>
      <c r="EO185" s="628"/>
      <c r="EP185" s="628"/>
      <c r="EQ185" s="628"/>
      <c r="ER185" s="628"/>
      <c r="ES185" s="628"/>
      <c r="ET185" s="628"/>
      <c r="EU185" s="628"/>
      <c r="EV185" s="628"/>
      <c r="EW185" s="628"/>
      <c r="EX185" s="628"/>
      <c r="EY185" s="628"/>
      <c r="EZ185" s="628"/>
      <c r="FA185" s="628"/>
      <c r="FB185" s="628"/>
      <c r="FC185" s="628"/>
      <c r="FD185" s="628"/>
      <c r="FE185" s="628"/>
      <c r="FF185" s="628"/>
      <c r="FG185" s="628"/>
      <c r="FH185" s="628"/>
      <c r="FI185" s="628"/>
      <c r="FJ185" s="628"/>
      <c r="FK185" s="628"/>
      <c r="FL185" s="628"/>
      <c r="FM185" s="628"/>
      <c r="FN185" s="628"/>
      <c r="FO185" s="628"/>
      <c r="FP185" s="628"/>
      <c r="FQ185" s="628"/>
      <c r="FR185" s="628"/>
      <c r="FS185" s="628"/>
      <c r="FT185" s="628"/>
      <c r="FU185" s="628"/>
      <c r="FV185" s="628"/>
      <c r="FW185" s="628"/>
      <c r="FX185" s="628"/>
      <c r="FY185" s="629"/>
      <c r="FZ185" s="629"/>
      <c r="GA185" s="629"/>
      <c r="GB185" s="629"/>
      <c r="GC185" s="629"/>
      <c r="GD185" s="629"/>
      <c r="GE185" s="629"/>
      <c r="GF185" s="629"/>
      <c r="GG185" s="629"/>
      <c r="GH185" s="629"/>
      <c r="GI185" s="629"/>
      <c r="GJ185" s="629"/>
      <c r="GK185" s="629"/>
      <c r="GL185" s="629"/>
      <c r="GM185" s="629"/>
      <c r="GN185" s="629"/>
      <c r="GO185" s="629"/>
      <c r="GP185" s="628"/>
      <c r="GQ185" s="628"/>
      <c r="GR185" s="628"/>
      <c r="GS185" s="628"/>
      <c r="GT185" s="628"/>
      <c r="GU185" s="628"/>
      <c r="GV185" s="630"/>
      <c r="GW185" s="628"/>
      <c r="GX185" s="628"/>
      <c r="GY185" s="628"/>
      <c r="GZ185" s="628"/>
      <c r="HA185" s="628"/>
      <c r="HB185" s="628"/>
      <c r="HC185" s="628"/>
      <c r="HD185" s="628"/>
      <c r="HE185" s="628"/>
      <c r="HF185" s="628"/>
      <c r="HG185" s="628"/>
      <c r="HH185" s="628"/>
      <c r="HI185" s="628"/>
      <c r="HJ185" s="628"/>
      <c r="HK185" s="628"/>
      <c r="HL185" s="630"/>
      <c r="HM185" s="630"/>
      <c r="HN185" s="628"/>
      <c r="HO185" s="628"/>
      <c r="HP185" s="115"/>
      <c r="HQ185" s="115"/>
      <c r="HR185" s="115"/>
      <c r="HS185" s="115"/>
      <c r="HT185" s="115"/>
      <c r="HU185" s="115"/>
      <c r="HV185" s="115"/>
      <c r="HW185" s="115"/>
      <c r="HX185" s="115"/>
      <c r="HY185" s="115"/>
      <c r="HZ185" s="115"/>
      <c r="IA185" s="115"/>
      <c r="IB185" s="115"/>
      <c r="IC185" s="115"/>
      <c r="ID185" s="115"/>
      <c r="IE185" s="115"/>
      <c r="IF185" s="115"/>
      <c r="IG185" s="115"/>
      <c r="IH185" s="115"/>
      <c r="II185" s="115"/>
      <c r="IJ185" s="115"/>
      <c r="IK185" s="115"/>
      <c r="IL185" s="115"/>
      <c r="IM185" s="115"/>
      <c r="IN185" s="115"/>
      <c r="IO185" s="115"/>
      <c r="IP185" s="115"/>
      <c r="IQ185" s="115"/>
      <c r="IR185" s="115"/>
      <c r="IS185" s="115"/>
      <c r="IT185" s="115"/>
      <c r="IU185" s="115"/>
    </row>
    <row r="186" spans="1:255" s="108" customFormat="1" ht="13.9" customHeight="1">
      <c r="A186" s="2"/>
      <c r="B186" s="1"/>
      <c r="C186" s="1"/>
      <c r="D186" s="1"/>
      <c r="E186" s="1"/>
      <c r="F186" s="1"/>
      <c r="G186" s="1"/>
      <c r="H186" s="1"/>
      <c r="I186" s="1"/>
      <c r="J186" s="1"/>
      <c r="K186" s="1"/>
      <c r="L186" s="1"/>
      <c r="M186" s="1"/>
      <c r="N186" s="1"/>
      <c r="O186" s="1"/>
      <c r="V186" s="628"/>
      <c r="W186" s="628"/>
      <c r="X186" s="628"/>
      <c r="Y186" s="628"/>
      <c r="Z186" s="628"/>
      <c r="AA186" s="628"/>
      <c r="AB186" s="628"/>
      <c r="AC186" s="628"/>
      <c r="AD186" s="628"/>
      <c r="AE186" s="628"/>
      <c r="AF186" s="628"/>
      <c r="AG186" s="628"/>
      <c r="AH186" s="628"/>
      <c r="AI186" s="628"/>
      <c r="AJ186" s="628"/>
      <c r="AK186" s="628"/>
      <c r="AL186" s="628"/>
      <c r="AM186" s="628"/>
      <c r="AN186" s="628"/>
      <c r="AO186" s="628"/>
      <c r="AP186" s="628"/>
      <c r="AQ186" s="628"/>
      <c r="AR186" s="628"/>
      <c r="AS186" s="628"/>
      <c r="AT186" s="628"/>
      <c r="AU186" s="628"/>
      <c r="AV186" s="628"/>
      <c r="AW186" s="628"/>
      <c r="AX186" s="628"/>
      <c r="AY186" s="628"/>
      <c r="AZ186" s="628"/>
      <c r="BA186" s="628"/>
      <c r="BB186" s="628"/>
      <c r="BC186" s="628"/>
      <c r="BD186" s="628"/>
      <c r="BE186" s="628"/>
      <c r="BF186" s="628"/>
      <c r="BG186" s="628"/>
      <c r="BH186" s="628"/>
      <c r="BI186" s="628"/>
      <c r="BJ186" s="628"/>
      <c r="BK186" s="628"/>
      <c r="BL186" s="628"/>
      <c r="BM186" s="628"/>
      <c r="BN186" s="628"/>
      <c r="BO186" s="628"/>
      <c r="BP186" s="628"/>
      <c r="BQ186" s="628"/>
      <c r="BR186" s="628"/>
      <c r="BS186" s="628"/>
      <c r="BT186" s="628"/>
      <c r="BU186" s="628"/>
      <c r="BV186" s="628"/>
      <c r="BW186" s="628"/>
      <c r="BX186" s="628"/>
      <c r="BY186" s="628"/>
      <c r="BZ186" s="628"/>
      <c r="CA186" s="628"/>
      <c r="CB186" s="628"/>
      <c r="CC186" s="628"/>
      <c r="CD186" s="628"/>
      <c r="CE186" s="628"/>
      <c r="CF186" s="628"/>
      <c r="CG186" s="628"/>
      <c r="CH186" s="628"/>
      <c r="CI186" s="628"/>
      <c r="CJ186" s="628"/>
      <c r="CK186" s="628"/>
      <c r="CL186" s="628"/>
      <c r="CM186" s="628"/>
      <c r="CN186" s="628"/>
      <c r="CO186" s="628"/>
      <c r="CP186" s="628"/>
      <c r="CQ186" s="628"/>
      <c r="CR186" s="628"/>
      <c r="CS186" s="628"/>
      <c r="CT186" s="628"/>
      <c r="CU186" s="628"/>
      <c r="CV186" s="628"/>
      <c r="CW186" s="628"/>
      <c r="CX186" s="628"/>
      <c r="CY186" s="628"/>
      <c r="CZ186" s="628"/>
      <c r="DA186" s="628"/>
      <c r="DB186" s="628"/>
      <c r="DC186" s="628"/>
      <c r="DD186" s="628"/>
      <c r="DE186" s="628"/>
      <c r="DF186" s="628"/>
      <c r="DG186" s="628"/>
      <c r="DH186" s="628"/>
      <c r="DI186" s="628"/>
      <c r="DJ186" s="628"/>
      <c r="DK186" s="628"/>
      <c r="DL186" s="628"/>
      <c r="DM186" s="628"/>
      <c r="DN186" s="628"/>
      <c r="DO186" s="628"/>
      <c r="DP186" s="628"/>
      <c r="DQ186" s="628"/>
      <c r="DR186" s="628"/>
      <c r="DS186" s="628"/>
      <c r="DT186" s="628"/>
      <c r="DU186" s="628"/>
      <c r="DV186" s="628"/>
      <c r="DW186" s="628"/>
      <c r="DX186" s="628"/>
      <c r="DY186" s="628"/>
      <c r="DZ186" s="628"/>
      <c r="EA186" s="628"/>
      <c r="EB186" s="628"/>
      <c r="EC186" s="628"/>
      <c r="ED186" s="628"/>
      <c r="EE186" s="628"/>
      <c r="EF186" s="628"/>
      <c r="EG186" s="628"/>
      <c r="EH186" s="628"/>
      <c r="EI186" s="628"/>
      <c r="EJ186" s="628"/>
      <c r="EK186" s="628"/>
      <c r="EL186" s="628"/>
      <c r="EM186" s="628"/>
      <c r="EN186" s="628"/>
      <c r="EO186" s="628"/>
      <c r="EP186" s="628"/>
      <c r="EQ186" s="628"/>
      <c r="ER186" s="628"/>
      <c r="ES186" s="628"/>
      <c r="ET186" s="628"/>
      <c r="EU186" s="628"/>
      <c r="EV186" s="628"/>
      <c r="EW186" s="628"/>
      <c r="EX186" s="628"/>
      <c r="EY186" s="628"/>
      <c r="EZ186" s="628"/>
      <c r="FA186" s="628"/>
      <c r="FB186" s="628"/>
      <c r="FC186" s="628"/>
      <c r="FD186" s="628"/>
      <c r="FE186" s="628"/>
      <c r="FF186" s="628"/>
      <c r="FG186" s="628"/>
      <c r="FH186" s="628"/>
      <c r="FI186" s="628"/>
      <c r="FJ186" s="628"/>
      <c r="FK186" s="628"/>
      <c r="FL186" s="628"/>
      <c r="FM186" s="628"/>
      <c r="FN186" s="628"/>
      <c r="FO186" s="628"/>
      <c r="FP186" s="628"/>
      <c r="FQ186" s="628"/>
      <c r="FR186" s="628"/>
      <c r="FS186" s="628"/>
      <c r="FT186" s="628"/>
      <c r="FU186" s="628"/>
      <c r="FV186" s="628"/>
      <c r="FW186" s="628"/>
      <c r="FX186" s="628"/>
      <c r="FY186" s="629"/>
      <c r="FZ186" s="629"/>
      <c r="GA186" s="629"/>
      <c r="GB186" s="629"/>
      <c r="GC186" s="629"/>
      <c r="GD186" s="629"/>
      <c r="GE186" s="629"/>
      <c r="GF186" s="629"/>
      <c r="GG186" s="629"/>
      <c r="GH186" s="629"/>
      <c r="GI186" s="629"/>
      <c r="GJ186" s="629"/>
      <c r="GK186" s="629"/>
      <c r="GL186" s="629"/>
      <c r="GM186" s="629"/>
      <c r="GN186" s="629"/>
      <c r="GO186" s="629"/>
      <c r="GP186" s="628"/>
      <c r="GQ186" s="628"/>
      <c r="GR186" s="628"/>
      <c r="GS186" s="628"/>
      <c r="GT186" s="628"/>
      <c r="GU186" s="628"/>
      <c r="GV186" s="630"/>
      <c r="GW186" s="628"/>
      <c r="GX186" s="628"/>
      <c r="GY186" s="628"/>
      <c r="GZ186" s="628"/>
      <c r="HA186" s="628"/>
      <c r="HB186" s="628"/>
      <c r="HC186" s="628"/>
      <c r="HD186" s="628"/>
      <c r="HE186" s="628"/>
      <c r="HF186" s="628"/>
      <c r="HG186" s="628"/>
      <c r="HH186" s="628"/>
      <c r="HI186" s="628"/>
      <c r="HJ186" s="628"/>
      <c r="HK186" s="628"/>
      <c r="HL186" s="630"/>
      <c r="HM186" s="630"/>
      <c r="HN186" s="628"/>
      <c r="HO186" s="628"/>
      <c r="HP186" s="115"/>
      <c r="HQ186" s="115"/>
      <c r="HR186" s="115"/>
      <c r="HS186" s="115"/>
      <c r="HT186" s="115"/>
      <c r="HU186" s="115"/>
      <c r="HV186" s="115"/>
      <c r="HW186" s="115"/>
      <c r="HX186" s="115"/>
      <c r="HY186" s="115"/>
      <c r="HZ186" s="115"/>
      <c r="IA186" s="115"/>
      <c r="IB186" s="115"/>
      <c r="IC186" s="115"/>
      <c r="ID186" s="115"/>
      <c r="IE186" s="115"/>
      <c r="IF186" s="115"/>
      <c r="IG186" s="115"/>
      <c r="IH186" s="115"/>
      <c r="II186" s="115"/>
      <c r="IJ186" s="115"/>
      <c r="IK186" s="115"/>
      <c r="IL186" s="115"/>
      <c r="IM186" s="115"/>
      <c r="IN186" s="115"/>
      <c r="IO186" s="115"/>
      <c r="IP186" s="115"/>
      <c r="IQ186" s="115"/>
      <c r="IR186" s="115"/>
      <c r="IS186" s="115"/>
      <c r="IT186" s="115"/>
      <c r="IU186" s="115"/>
    </row>
    <row r="187" spans="1:255" s="108" customFormat="1" ht="13.9" customHeight="1">
      <c r="A187" s="1"/>
      <c r="B187" s="1"/>
      <c r="C187" s="1"/>
      <c r="D187" s="1"/>
      <c r="E187" s="1"/>
      <c r="F187" s="1"/>
      <c r="G187" s="1"/>
      <c r="H187" s="1"/>
      <c r="I187" s="1"/>
      <c r="J187" s="1"/>
      <c r="K187" s="1"/>
      <c r="L187" s="1"/>
      <c r="M187" s="1"/>
      <c r="N187" s="1"/>
      <c r="O187" s="1"/>
      <c r="V187" s="628"/>
      <c r="W187" s="628"/>
      <c r="X187" s="628"/>
      <c r="Y187" s="628"/>
      <c r="Z187" s="628"/>
      <c r="AA187" s="628"/>
      <c r="AB187" s="628"/>
      <c r="AC187" s="628"/>
      <c r="AD187" s="628"/>
      <c r="AE187" s="628"/>
      <c r="AF187" s="628"/>
      <c r="AG187" s="628"/>
      <c r="AH187" s="628"/>
      <c r="AI187" s="628"/>
      <c r="AJ187" s="628"/>
      <c r="AK187" s="628"/>
      <c r="AL187" s="628"/>
      <c r="AM187" s="628"/>
      <c r="AN187" s="628"/>
      <c r="AO187" s="628"/>
      <c r="AP187" s="628"/>
      <c r="AQ187" s="628"/>
      <c r="AR187" s="628"/>
      <c r="AS187" s="628"/>
      <c r="AT187" s="628"/>
      <c r="AU187" s="628"/>
      <c r="AV187" s="628"/>
      <c r="AW187" s="628"/>
      <c r="AX187" s="628"/>
      <c r="AY187" s="628"/>
      <c r="AZ187" s="628"/>
      <c r="BA187" s="628"/>
      <c r="BB187" s="628"/>
      <c r="BC187" s="628"/>
      <c r="BD187" s="628"/>
      <c r="BE187" s="628"/>
      <c r="BF187" s="628"/>
      <c r="BG187" s="628"/>
      <c r="BH187" s="628"/>
      <c r="BI187" s="628"/>
      <c r="BJ187" s="628"/>
      <c r="BK187" s="628"/>
      <c r="BL187" s="628"/>
      <c r="BM187" s="628"/>
      <c r="BN187" s="628"/>
      <c r="BO187" s="628"/>
      <c r="BP187" s="628"/>
      <c r="BQ187" s="628"/>
      <c r="BR187" s="628"/>
      <c r="BS187" s="628"/>
      <c r="BT187" s="628"/>
      <c r="BU187" s="628"/>
      <c r="BV187" s="628"/>
      <c r="BW187" s="628"/>
      <c r="BX187" s="628"/>
      <c r="BY187" s="628"/>
      <c r="BZ187" s="628"/>
      <c r="CA187" s="628"/>
      <c r="CB187" s="628"/>
      <c r="CC187" s="628"/>
      <c r="CD187" s="628"/>
      <c r="CE187" s="628"/>
      <c r="CF187" s="628"/>
      <c r="CG187" s="628"/>
      <c r="CH187" s="628"/>
      <c r="CI187" s="628"/>
      <c r="CJ187" s="628"/>
      <c r="CK187" s="628"/>
      <c r="CL187" s="628"/>
      <c r="CM187" s="628"/>
      <c r="CN187" s="628"/>
      <c r="CO187" s="628"/>
      <c r="CP187" s="628"/>
      <c r="CQ187" s="628"/>
      <c r="CR187" s="628"/>
      <c r="CS187" s="628"/>
      <c r="CT187" s="628"/>
      <c r="CU187" s="628"/>
      <c r="CV187" s="628"/>
      <c r="CW187" s="628"/>
      <c r="CX187" s="628"/>
      <c r="CY187" s="628"/>
      <c r="CZ187" s="628"/>
      <c r="DA187" s="628"/>
      <c r="DB187" s="628"/>
      <c r="DC187" s="628"/>
      <c r="DD187" s="628"/>
      <c r="DE187" s="628"/>
      <c r="DF187" s="628"/>
      <c r="DG187" s="628"/>
      <c r="DH187" s="628"/>
      <c r="DI187" s="628"/>
      <c r="DJ187" s="628"/>
      <c r="DK187" s="628"/>
      <c r="DL187" s="628"/>
      <c r="DM187" s="628"/>
      <c r="DN187" s="628"/>
      <c r="DO187" s="628"/>
      <c r="DP187" s="628"/>
      <c r="DQ187" s="628"/>
      <c r="DR187" s="628"/>
      <c r="DS187" s="628"/>
      <c r="DT187" s="628"/>
      <c r="DU187" s="628"/>
      <c r="DV187" s="628"/>
      <c r="DW187" s="628"/>
      <c r="DX187" s="628"/>
      <c r="DY187" s="628"/>
      <c r="DZ187" s="628"/>
      <c r="EA187" s="628"/>
      <c r="EB187" s="628"/>
      <c r="EC187" s="628"/>
      <c r="ED187" s="628"/>
      <c r="EE187" s="628"/>
      <c r="EF187" s="628"/>
      <c r="EG187" s="628"/>
      <c r="EH187" s="628"/>
      <c r="EI187" s="628"/>
      <c r="EJ187" s="628"/>
      <c r="EK187" s="628"/>
      <c r="EL187" s="628"/>
      <c r="EM187" s="628"/>
      <c r="EN187" s="628"/>
      <c r="EO187" s="628"/>
      <c r="EP187" s="628"/>
      <c r="EQ187" s="628"/>
      <c r="ER187" s="628"/>
      <c r="ES187" s="628"/>
      <c r="ET187" s="628"/>
      <c r="EU187" s="628"/>
      <c r="EV187" s="628"/>
      <c r="EW187" s="628"/>
      <c r="EX187" s="628"/>
      <c r="EY187" s="628"/>
      <c r="EZ187" s="628"/>
      <c r="FA187" s="628"/>
      <c r="FB187" s="628"/>
      <c r="FC187" s="628"/>
      <c r="FD187" s="628"/>
      <c r="FE187" s="628"/>
      <c r="FF187" s="628"/>
      <c r="FG187" s="628"/>
      <c r="FH187" s="628"/>
      <c r="FI187" s="628"/>
      <c r="FJ187" s="628"/>
      <c r="FK187" s="628"/>
      <c r="FL187" s="628"/>
      <c r="FM187" s="628"/>
      <c r="FN187" s="628"/>
      <c r="FO187" s="628"/>
      <c r="FP187" s="628"/>
      <c r="FQ187" s="628"/>
      <c r="FR187" s="628"/>
      <c r="FS187" s="628"/>
      <c r="FT187" s="628"/>
      <c r="FU187" s="628"/>
      <c r="FV187" s="628"/>
      <c r="FW187" s="628"/>
      <c r="FX187" s="628"/>
      <c r="FY187" s="629"/>
      <c r="FZ187" s="629"/>
      <c r="GA187" s="629"/>
      <c r="GB187" s="629"/>
      <c r="GC187" s="629"/>
      <c r="GD187" s="629"/>
      <c r="GE187" s="629"/>
      <c r="GF187" s="629"/>
      <c r="GG187" s="629"/>
      <c r="GH187" s="629"/>
      <c r="GI187" s="629"/>
      <c r="GJ187" s="629"/>
      <c r="GK187" s="629"/>
      <c r="GL187" s="629"/>
      <c r="GM187" s="629"/>
      <c r="GN187" s="629"/>
      <c r="GO187" s="629"/>
      <c r="GP187" s="628"/>
      <c r="GQ187" s="628"/>
      <c r="GR187" s="628"/>
      <c r="GS187" s="628"/>
      <c r="GT187" s="628"/>
      <c r="GU187" s="628"/>
      <c r="GV187" s="630"/>
      <c r="GW187" s="628"/>
      <c r="GX187" s="628"/>
      <c r="GY187" s="628"/>
      <c r="GZ187" s="628"/>
      <c r="HA187" s="628"/>
      <c r="HB187" s="628"/>
      <c r="HC187" s="628"/>
      <c r="HD187" s="628"/>
      <c r="HE187" s="628"/>
      <c r="HF187" s="628"/>
      <c r="HG187" s="628"/>
      <c r="HH187" s="628"/>
      <c r="HI187" s="628"/>
      <c r="HJ187" s="628"/>
      <c r="HK187" s="628"/>
      <c r="HL187" s="630"/>
      <c r="HM187" s="630"/>
      <c r="HN187" s="628"/>
      <c r="HO187" s="628"/>
      <c r="HP187" s="115"/>
      <c r="HQ187" s="115"/>
      <c r="HR187" s="115"/>
      <c r="HS187" s="115"/>
      <c r="HT187" s="115"/>
      <c r="HU187" s="115"/>
      <c r="HV187" s="115"/>
      <c r="HW187" s="115"/>
      <c r="HX187" s="115"/>
      <c r="HY187" s="115"/>
      <c r="HZ187" s="115"/>
      <c r="IA187" s="115"/>
      <c r="IB187" s="115"/>
      <c r="IC187" s="115"/>
      <c r="ID187" s="115"/>
      <c r="IE187" s="115"/>
      <c r="IF187" s="115"/>
      <c r="IG187" s="115"/>
      <c r="IH187" s="115"/>
      <c r="II187" s="115"/>
      <c r="IJ187" s="115"/>
      <c r="IK187" s="115"/>
      <c r="IL187" s="115"/>
      <c r="IM187" s="115"/>
      <c r="IN187" s="115"/>
      <c r="IO187" s="115"/>
      <c r="IP187" s="115"/>
      <c r="IQ187" s="115"/>
      <c r="IR187" s="115"/>
      <c r="IS187" s="115"/>
      <c r="IT187" s="115"/>
      <c r="IU187" s="115"/>
    </row>
    <row r="188" spans="1:255" s="108" customFormat="1" ht="13.9" customHeight="1">
      <c r="A188" s="1"/>
      <c r="B188" s="1"/>
      <c r="C188" s="1"/>
      <c r="D188" s="1"/>
      <c r="E188" s="1"/>
      <c r="F188" s="1"/>
      <c r="G188" s="1"/>
      <c r="H188" s="1"/>
      <c r="I188" s="1"/>
      <c r="J188" s="1"/>
      <c r="K188" s="1"/>
      <c r="L188" s="1"/>
      <c r="M188" s="1"/>
      <c r="N188" s="1"/>
      <c r="O188" s="1"/>
      <c r="V188" s="628"/>
      <c r="W188" s="628"/>
      <c r="X188" s="628"/>
      <c r="Y188" s="628"/>
      <c r="Z188" s="628"/>
      <c r="AA188" s="628"/>
      <c r="AB188" s="628"/>
      <c r="AC188" s="628"/>
      <c r="AD188" s="628"/>
      <c r="AE188" s="628"/>
      <c r="AF188" s="628"/>
      <c r="AG188" s="628"/>
      <c r="AH188" s="628"/>
      <c r="AI188" s="628"/>
      <c r="AJ188" s="628"/>
      <c r="AK188" s="628"/>
      <c r="AL188" s="628"/>
      <c r="AM188" s="628"/>
      <c r="AN188" s="628"/>
      <c r="AO188" s="628"/>
      <c r="AP188" s="628"/>
      <c r="AQ188" s="628"/>
      <c r="AR188" s="628"/>
      <c r="AS188" s="628"/>
      <c r="AT188" s="628"/>
      <c r="AU188" s="628"/>
      <c r="AV188" s="628"/>
      <c r="AW188" s="628"/>
      <c r="AX188" s="628"/>
      <c r="AY188" s="628"/>
      <c r="AZ188" s="628"/>
      <c r="BA188" s="628"/>
      <c r="BB188" s="628"/>
      <c r="BC188" s="628"/>
      <c r="BD188" s="628"/>
      <c r="BE188" s="628"/>
      <c r="BF188" s="628"/>
      <c r="BG188" s="628"/>
      <c r="BH188" s="628"/>
      <c r="BI188" s="628"/>
      <c r="BJ188" s="628"/>
      <c r="BK188" s="628"/>
      <c r="BL188" s="628"/>
      <c r="BM188" s="628"/>
      <c r="BN188" s="628"/>
      <c r="BO188" s="628"/>
      <c r="BP188" s="628"/>
      <c r="BQ188" s="628"/>
      <c r="BR188" s="628"/>
      <c r="BS188" s="628"/>
      <c r="BT188" s="628"/>
      <c r="BU188" s="628"/>
      <c r="BV188" s="628"/>
      <c r="BW188" s="628"/>
      <c r="BX188" s="628"/>
      <c r="BY188" s="628"/>
      <c r="BZ188" s="628"/>
      <c r="CA188" s="628"/>
      <c r="CB188" s="628"/>
      <c r="CC188" s="628"/>
      <c r="CD188" s="628"/>
      <c r="CE188" s="628"/>
      <c r="CF188" s="628"/>
      <c r="CG188" s="628"/>
      <c r="CH188" s="628"/>
      <c r="CI188" s="628"/>
      <c r="CJ188" s="628"/>
      <c r="CK188" s="628"/>
      <c r="CL188" s="628"/>
      <c r="CM188" s="628"/>
      <c r="CN188" s="628"/>
      <c r="CO188" s="628"/>
      <c r="CP188" s="628"/>
      <c r="CQ188" s="628"/>
      <c r="CR188" s="628"/>
      <c r="CS188" s="628"/>
      <c r="CT188" s="628"/>
      <c r="CU188" s="628"/>
      <c r="CV188" s="628"/>
      <c r="CW188" s="628"/>
      <c r="CX188" s="628"/>
      <c r="CY188" s="628"/>
      <c r="CZ188" s="628"/>
      <c r="DA188" s="628"/>
      <c r="DB188" s="628"/>
      <c r="DC188" s="628"/>
      <c r="DD188" s="628"/>
      <c r="DE188" s="628"/>
      <c r="DF188" s="628"/>
      <c r="DG188" s="628"/>
      <c r="DH188" s="628"/>
      <c r="DI188" s="628"/>
      <c r="DJ188" s="628"/>
      <c r="DK188" s="628"/>
      <c r="DL188" s="628"/>
      <c r="DM188" s="628"/>
      <c r="DN188" s="628"/>
      <c r="DO188" s="628"/>
      <c r="DP188" s="628"/>
      <c r="DQ188" s="628"/>
      <c r="DR188" s="628"/>
      <c r="DS188" s="628"/>
      <c r="DT188" s="628"/>
      <c r="DU188" s="628"/>
      <c r="DV188" s="628"/>
      <c r="DW188" s="628"/>
      <c r="DX188" s="628"/>
      <c r="DY188" s="628"/>
      <c r="DZ188" s="628"/>
      <c r="EA188" s="628"/>
      <c r="EB188" s="628"/>
      <c r="EC188" s="628"/>
      <c r="ED188" s="628"/>
      <c r="EE188" s="628"/>
      <c r="EF188" s="628"/>
      <c r="EG188" s="628"/>
      <c r="EH188" s="628"/>
      <c r="EI188" s="628"/>
      <c r="EJ188" s="628"/>
      <c r="EK188" s="628"/>
      <c r="EL188" s="628"/>
      <c r="EM188" s="628"/>
      <c r="EN188" s="628"/>
      <c r="EO188" s="628"/>
      <c r="EP188" s="628"/>
      <c r="EQ188" s="628"/>
      <c r="ER188" s="628"/>
      <c r="ES188" s="628"/>
      <c r="ET188" s="628"/>
      <c r="EU188" s="628"/>
      <c r="EV188" s="628"/>
      <c r="EW188" s="628"/>
      <c r="EX188" s="628"/>
      <c r="EY188" s="628"/>
      <c r="EZ188" s="628"/>
      <c r="FA188" s="628"/>
      <c r="FB188" s="628"/>
      <c r="FC188" s="628"/>
      <c r="FD188" s="628"/>
      <c r="FE188" s="628"/>
      <c r="FF188" s="628"/>
      <c r="FG188" s="628"/>
      <c r="FH188" s="628"/>
      <c r="FI188" s="628"/>
      <c r="FJ188" s="628"/>
      <c r="FK188" s="628"/>
      <c r="FL188" s="628"/>
      <c r="FM188" s="628"/>
      <c r="FN188" s="628"/>
      <c r="FO188" s="628"/>
      <c r="FP188" s="628"/>
      <c r="FQ188" s="628"/>
      <c r="FR188" s="628"/>
      <c r="FS188" s="628"/>
      <c r="FT188" s="628"/>
      <c r="FU188" s="628"/>
      <c r="FV188" s="628"/>
      <c r="FW188" s="628"/>
      <c r="FX188" s="628"/>
      <c r="FY188" s="629"/>
      <c r="FZ188" s="629"/>
      <c r="GA188" s="629"/>
      <c r="GB188" s="629"/>
      <c r="GC188" s="629"/>
      <c r="GD188" s="629"/>
      <c r="GE188" s="629"/>
      <c r="GF188" s="629"/>
      <c r="GG188" s="629"/>
      <c r="GH188" s="629"/>
      <c r="GI188" s="629"/>
      <c r="GJ188" s="629"/>
      <c r="GK188" s="629"/>
      <c r="GL188" s="629"/>
      <c r="GM188" s="629"/>
      <c r="GN188" s="629"/>
      <c r="GO188" s="629"/>
      <c r="GP188" s="628"/>
      <c r="GQ188" s="628"/>
      <c r="GR188" s="628"/>
      <c r="GS188" s="628"/>
      <c r="GT188" s="628"/>
      <c r="GU188" s="628"/>
      <c r="GV188" s="630"/>
      <c r="GW188" s="628"/>
      <c r="GX188" s="628"/>
      <c r="GY188" s="628"/>
      <c r="GZ188" s="628"/>
      <c r="HA188" s="628"/>
      <c r="HB188" s="628"/>
      <c r="HC188" s="628"/>
      <c r="HD188" s="628"/>
      <c r="HE188" s="628"/>
      <c r="HF188" s="628"/>
      <c r="HG188" s="628"/>
      <c r="HH188" s="628"/>
      <c r="HI188" s="628"/>
      <c r="HJ188" s="628"/>
      <c r="HK188" s="628"/>
      <c r="HL188" s="630"/>
      <c r="HM188" s="630"/>
      <c r="HN188" s="628"/>
      <c r="HO188" s="628"/>
      <c r="HP188" s="115"/>
      <c r="HQ188" s="115"/>
      <c r="HR188" s="115"/>
      <c r="HS188" s="115"/>
      <c r="HT188" s="115"/>
      <c r="HU188" s="115"/>
      <c r="HV188" s="115"/>
      <c r="HW188" s="115"/>
      <c r="HX188" s="115"/>
      <c r="HY188" s="115"/>
      <c r="HZ188" s="115"/>
      <c r="IA188" s="115"/>
      <c r="IB188" s="115"/>
      <c r="IC188" s="115"/>
      <c r="ID188" s="115"/>
      <c r="IE188" s="115"/>
      <c r="IF188" s="115"/>
      <c r="IG188" s="115"/>
      <c r="IH188" s="115"/>
      <c r="II188" s="115"/>
      <c r="IJ188" s="115"/>
      <c r="IK188" s="115"/>
      <c r="IL188" s="115"/>
      <c r="IM188" s="115"/>
      <c r="IN188" s="115"/>
      <c r="IO188" s="115"/>
      <c r="IP188" s="115"/>
      <c r="IQ188" s="115"/>
      <c r="IR188" s="115"/>
      <c r="IS188" s="115"/>
      <c r="IT188" s="115"/>
      <c r="IU188" s="115"/>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8" customFormat="1" ht="13.9" customHeight="1">
      <c r="A196" s="36"/>
      <c r="B196" s="1"/>
      <c r="C196" s="1"/>
      <c r="D196" s="1"/>
      <c r="E196" s="1"/>
      <c r="F196" s="1"/>
      <c r="G196" s="1"/>
      <c r="H196" s="1"/>
      <c r="I196" s="1"/>
      <c r="J196" s="1"/>
      <c r="K196" s="1"/>
      <c r="L196" s="1"/>
      <c r="M196" s="1"/>
      <c r="N196" s="1"/>
      <c r="O196" s="1"/>
      <c r="V196" s="628"/>
      <c r="W196" s="628"/>
      <c r="X196" s="628"/>
      <c r="Y196" s="628"/>
      <c r="Z196" s="628"/>
      <c r="AA196" s="628"/>
      <c r="AB196" s="628"/>
      <c r="AC196" s="628"/>
      <c r="AD196" s="628"/>
      <c r="AE196" s="628"/>
      <c r="AF196" s="628"/>
      <c r="AG196" s="628"/>
      <c r="AH196" s="628"/>
      <c r="AI196" s="628"/>
      <c r="AJ196" s="628"/>
      <c r="AK196" s="628"/>
      <c r="AL196" s="628"/>
      <c r="AM196" s="628"/>
      <c r="AN196" s="628"/>
      <c r="AO196" s="628"/>
      <c r="AP196" s="628"/>
      <c r="AQ196" s="628"/>
      <c r="AR196" s="628"/>
      <c r="AS196" s="628"/>
      <c r="AT196" s="628"/>
      <c r="AU196" s="628"/>
      <c r="AV196" s="628"/>
      <c r="AW196" s="628"/>
      <c r="AX196" s="628"/>
      <c r="AY196" s="628"/>
      <c r="AZ196" s="628"/>
      <c r="BA196" s="628"/>
      <c r="BB196" s="628"/>
      <c r="BC196" s="628"/>
      <c r="BD196" s="628"/>
      <c r="BE196" s="628"/>
      <c r="BF196" s="628"/>
      <c r="BG196" s="628"/>
      <c r="BH196" s="628"/>
      <c r="BI196" s="628"/>
      <c r="BJ196" s="628"/>
      <c r="BK196" s="628"/>
      <c r="BL196" s="628"/>
      <c r="BM196" s="628"/>
      <c r="BN196" s="628"/>
      <c r="BO196" s="628"/>
      <c r="BP196" s="628"/>
      <c r="BQ196" s="628"/>
      <c r="BR196" s="628"/>
      <c r="BS196" s="628"/>
      <c r="BT196" s="628"/>
      <c r="BU196" s="628"/>
      <c r="BV196" s="628"/>
      <c r="BW196" s="628"/>
      <c r="BX196" s="628"/>
      <c r="BY196" s="628"/>
      <c r="BZ196" s="628"/>
      <c r="CA196" s="628"/>
      <c r="CB196" s="628"/>
      <c r="CC196" s="628"/>
      <c r="CD196" s="628"/>
      <c r="CE196" s="628"/>
      <c r="CF196" s="628"/>
      <c r="CG196" s="628"/>
      <c r="CH196" s="628"/>
      <c r="CI196" s="628"/>
      <c r="CJ196" s="628"/>
      <c r="CK196" s="628"/>
      <c r="CL196" s="628"/>
      <c r="CM196" s="628"/>
      <c r="CN196" s="628"/>
      <c r="CO196" s="628"/>
      <c r="CP196" s="628"/>
      <c r="CQ196" s="628"/>
      <c r="CR196" s="628"/>
      <c r="CS196" s="628"/>
      <c r="CT196" s="628"/>
      <c r="CU196" s="628"/>
      <c r="CV196" s="628"/>
      <c r="CW196" s="628"/>
      <c r="CX196" s="628"/>
      <c r="CY196" s="628"/>
      <c r="CZ196" s="628"/>
      <c r="DA196" s="628"/>
      <c r="DB196" s="628"/>
      <c r="DC196" s="628"/>
      <c r="DD196" s="628"/>
      <c r="DE196" s="628"/>
      <c r="DF196" s="628"/>
      <c r="DG196" s="628"/>
      <c r="DH196" s="628"/>
      <c r="DI196" s="628"/>
      <c r="DJ196" s="628"/>
      <c r="DK196" s="628"/>
      <c r="DL196" s="628"/>
      <c r="DM196" s="628"/>
      <c r="DN196" s="628"/>
      <c r="DO196" s="628"/>
      <c r="DP196" s="628"/>
      <c r="DQ196" s="628"/>
      <c r="DR196" s="628"/>
      <c r="DS196" s="628"/>
      <c r="DT196" s="628"/>
      <c r="DU196" s="628"/>
      <c r="DV196" s="628"/>
      <c r="DW196" s="628"/>
      <c r="DX196" s="628"/>
      <c r="DY196" s="628"/>
      <c r="DZ196" s="628"/>
      <c r="EA196" s="628"/>
      <c r="EB196" s="628"/>
      <c r="EC196" s="628"/>
      <c r="ED196" s="628"/>
      <c r="EE196" s="628"/>
      <c r="EF196" s="628"/>
      <c r="EG196" s="628"/>
      <c r="EH196" s="628"/>
      <c r="EI196" s="628"/>
      <c r="EJ196" s="628"/>
      <c r="EK196" s="628"/>
      <c r="EL196" s="628"/>
      <c r="EM196" s="628"/>
      <c r="EN196" s="628"/>
      <c r="EO196" s="628"/>
      <c r="EP196" s="628"/>
      <c r="EQ196" s="628"/>
      <c r="ER196" s="628"/>
      <c r="ES196" s="628"/>
      <c r="ET196" s="628"/>
      <c r="EU196" s="628"/>
      <c r="EV196" s="628"/>
      <c r="EW196" s="628"/>
      <c r="EX196" s="628"/>
      <c r="EY196" s="628"/>
      <c r="EZ196" s="628"/>
      <c r="FA196" s="628"/>
      <c r="FB196" s="628"/>
      <c r="FC196" s="628"/>
      <c r="FD196" s="628"/>
      <c r="FE196" s="628"/>
      <c r="FF196" s="628"/>
      <c r="FG196" s="628"/>
      <c r="FH196" s="628"/>
      <c r="FI196" s="628"/>
      <c r="FJ196" s="628"/>
      <c r="FK196" s="628"/>
      <c r="FL196" s="628"/>
      <c r="FM196" s="628"/>
      <c r="FN196" s="628"/>
      <c r="FO196" s="628"/>
      <c r="FP196" s="628"/>
      <c r="FQ196" s="628"/>
      <c r="FR196" s="628"/>
      <c r="FS196" s="628"/>
      <c r="FT196" s="628"/>
      <c r="FU196" s="628"/>
      <c r="FV196" s="628"/>
      <c r="FW196" s="628"/>
      <c r="FX196" s="628"/>
      <c r="FY196" s="629"/>
      <c r="FZ196" s="629"/>
      <c r="GA196" s="629"/>
      <c r="GB196" s="629"/>
      <c r="GC196" s="629"/>
      <c r="GD196" s="629"/>
      <c r="GE196" s="629"/>
      <c r="GF196" s="629"/>
      <c r="GG196" s="629"/>
      <c r="GH196" s="629"/>
      <c r="GI196" s="629"/>
      <c r="GJ196" s="629"/>
      <c r="GK196" s="629"/>
      <c r="GL196" s="629"/>
      <c r="GM196" s="629"/>
      <c r="GN196" s="629"/>
      <c r="GO196" s="629"/>
      <c r="GP196" s="628"/>
      <c r="GQ196" s="628"/>
      <c r="GR196" s="628"/>
      <c r="GS196" s="628"/>
      <c r="GT196" s="628"/>
      <c r="GU196" s="628"/>
      <c r="GV196" s="630"/>
      <c r="GW196" s="628"/>
      <c r="GX196" s="628"/>
      <c r="GY196" s="628"/>
      <c r="GZ196" s="628"/>
      <c r="HA196" s="628"/>
      <c r="HB196" s="628"/>
      <c r="HC196" s="628"/>
      <c r="HD196" s="628"/>
      <c r="HE196" s="628"/>
      <c r="HF196" s="628"/>
      <c r="HG196" s="628"/>
      <c r="HH196" s="628"/>
      <c r="HI196" s="628"/>
      <c r="HJ196" s="628"/>
      <c r="HK196" s="628"/>
      <c r="HL196" s="630"/>
      <c r="HM196" s="630"/>
      <c r="HN196" s="628"/>
      <c r="HO196" s="628"/>
      <c r="HP196" s="115"/>
      <c r="HQ196" s="115"/>
      <c r="HR196" s="115"/>
      <c r="HS196" s="115"/>
      <c r="HT196" s="115"/>
      <c r="HU196" s="115"/>
      <c r="HV196" s="115"/>
      <c r="HW196" s="115"/>
      <c r="HX196" s="115"/>
      <c r="HY196" s="115"/>
      <c r="HZ196" s="115"/>
      <c r="IA196" s="115"/>
      <c r="IB196" s="115"/>
      <c r="IC196" s="115"/>
      <c r="ID196" s="115"/>
      <c r="IE196" s="115"/>
      <c r="IF196" s="115"/>
      <c r="IG196" s="115"/>
      <c r="IH196" s="115"/>
      <c r="II196" s="115"/>
      <c r="IJ196" s="115"/>
      <c r="IK196" s="115"/>
      <c r="IL196" s="115"/>
      <c r="IM196" s="115"/>
      <c r="IN196" s="115"/>
      <c r="IO196" s="115"/>
      <c r="IP196" s="115"/>
      <c r="IQ196" s="115"/>
      <c r="IR196" s="115"/>
      <c r="IS196" s="115"/>
      <c r="IT196" s="115"/>
      <c r="IU196" s="115"/>
    </row>
    <row r="197" spans="1:255" s="108" customFormat="1" ht="13.9" customHeight="1">
      <c r="A197" s="36"/>
      <c r="B197" s="1"/>
      <c r="C197" s="1"/>
      <c r="D197" s="1"/>
      <c r="E197" s="1"/>
      <c r="F197" s="1"/>
      <c r="G197" s="1"/>
      <c r="H197" s="1"/>
      <c r="I197" s="1"/>
      <c r="J197" s="1"/>
      <c r="K197" s="1"/>
      <c r="L197" s="1"/>
      <c r="M197" s="1"/>
      <c r="N197" s="1"/>
      <c r="O197" s="1"/>
      <c r="V197" s="628"/>
      <c r="W197" s="628"/>
      <c r="X197" s="628"/>
      <c r="Y197" s="628"/>
      <c r="Z197" s="628"/>
      <c r="AA197" s="628"/>
      <c r="AB197" s="628"/>
      <c r="AC197" s="628"/>
      <c r="AD197" s="628"/>
      <c r="AE197" s="628"/>
      <c r="AF197" s="628"/>
      <c r="AG197" s="628"/>
      <c r="AH197" s="628"/>
      <c r="AI197" s="628"/>
      <c r="AJ197" s="628"/>
      <c r="AK197" s="628"/>
      <c r="AL197" s="628"/>
      <c r="AM197" s="628"/>
      <c r="AN197" s="628"/>
      <c r="AO197" s="628"/>
      <c r="AP197" s="628"/>
      <c r="AQ197" s="628"/>
      <c r="AR197" s="628"/>
      <c r="AS197" s="628"/>
      <c r="AT197" s="628"/>
      <c r="AU197" s="628"/>
      <c r="AV197" s="628"/>
      <c r="AW197" s="628"/>
      <c r="AX197" s="628"/>
      <c r="AY197" s="628"/>
      <c r="AZ197" s="628"/>
      <c r="BA197" s="628"/>
      <c r="BB197" s="628"/>
      <c r="BC197" s="628"/>
      <c r="BD197" s="628"/>
      <c r="BE197" s="628"/>
      <c r="BF197" s="628"/>
      <c r="BG197" s="628"/>
      <c r="BH197" s="628"/>
      <c r="BI197" s="628"/>
      <c r="BJ197" s="628"/>
      <c r="BK197" s="628"/>
      <c r="BL197" s="628"/>
      <c r="BM197" s="628"/>
      <c r="BN197" s="628"/>
      <c r="BO197" s="628"/>
      <c r="BP197" s="628"/>
      <c r="BQ197" s="628"/>
      <c r="BR197" s="628"/>
      <c r="BS197" s="628"/>
      <c r="BT197" s="628"/>
      <c r="BU197" s="628"/>
      <c r="BV197" s="628"/>
      <c r="BW197" s="628"/>
      <c r="BX197" s="628"/>
      <c r="BY197" s="628"/>
      <c r="BZ197" s="628"/>
      <c r="CA197" s="628"/>
      <c r="CB197" s="628"/>
      <c r="CC197" s="628"/>
      <c r="CD197" s="628"/>
      <c r="CE197" s="628"/>
      <c r="CF197" s="628"/>
      <c r="CG197" s="628"/>
      <c r="CH197" s="628"/>
      <c r="CI197" s="628"/>
      <c r="CJ197" s="628"/>
      <c r="CK197" s="628"/>
      <c r="CL197" s="628"/>
      <c r="CM197" s="628"/>
      <c r="CN197" s="628"/>
      <c r="CO197" s="628"/>
      <c r="CP197" s="628"/>
      <c r="CQ197" s="628"/>
      <c r="CR197" s="628"/>
      <c r="CS197" s="628"/>
      <c r="CT197" s="628"/>
      <c r="CU197" s="628"/>
      <c r="CV197" s="628"/>
      <c r="CW197" s="628"/>
      <c r="CX197" s="628"/>
      <c r="CY197" s="628"/>
      <c r="CZ197" s="628"/>
      <c r="DA197" s="628"/>
      <c r="DB197" s="628"/>
      <c r="DC197" s="628"/>
      <c r="DD197" s="628"/>
      <c r="DE197" s="628"/>
      <c r="DF197" s="628"/>
      <c r="DG197" s="628"/>
      <c r="DH197" s="628"/>
      <c r="DI197" s="628"/>
      <c r="DJ197" s="628"/>
      <c r="DK197" s="628"/>
      <c r="DL197" s="628"/>
      <c r="DM197" s="628"/>
      <c r="DN197" s="628"/>
      <c r="DO197" s="628"/>
      <c r="DP197" s="628"/>
      <c r="DQ197" s="628"/>
      <c r="DR197" s="628"/>
      <c r="DS197" s="628"/>
      <c r="DT197" s="628"/>
      <c r="DU197" s="628"/>
      <c r="DV197" s="628"/>
      <c r="DW197" s="628"/>
      <c r="DX197" s="628"/>
      <c r="DY197" s="628"/>
      <c r="DZ197" s="628"/>
      <c r="EA197" s="628"/>
      <c r="EB197" s="628"/>
      <c r="EC197" s="628"/>
      <c r="ED197" s="628"/>
      <c r="EE197" s="628"/>
      <c r="EF197" s="628"/>
      <c r="EG197" s="628"/>
      <c r="EH197" s="628"/>
      <c r="EI197" s="628"/>
      <c r="EJ197" s="628"/>
      <c r="EK197" s="628"/>
      <c r="EL197" s="628"/>
      <c r="EM197" s="628"/>
      <c r="EN197" s="628"/>
      <c r="EO197" s="628"/>
      <c r="EP197" s="628"/>
      <c r="EQ197" s="628"/>
      <c r="ER197" s="628"/>
      <c r="ES197" s="628"/>
      <c r="ET197" s="628"/>
      <c r="EU197" s="628"/>
      <c r="EV197" s="628"/>
      <c r="EW197" s="628"/>
      <c r="EX197" s="628"/>
      <c r="EY197" s="628"/>
      <c r="EZ197" s="628"/>
      <c r="FA197" s="628"/>
      <c r="FB197" s="628"/>
      <c r="FC197" s="628"/>
      <c r="FD197" s="628"/>
      <c r="FE197" s="628"/>
      <c r="FF197" s="628"/>
      <c r="FG197" s="628"/>
      <c r="FH197" s="628"/>
      <c r="FI197" s="628"/>
      <c r="FJ197" s="628"/>
      <c r="FK197" s="628"/>
      <c r="FL197" s="628"/>
      <c r="FM197" s="628"/>
      <c r="FN197" s="628"/>
      <c r="FO197" s="628"/>
      <c r="FP197" s="628"/>
      <c r="FQ197" s="628"/>
      <c r="FR197" s="628"/>
      <c r="FS197" s="628"/>
      <c r="FT197" s="628"/>
      <c r="FU197" s="628"/>
      <c r="FV197" s="628"/>
      <c r="FW197" s="628"/>
      <c r="FX197" s="628"/>
      <c r="FY197" s="629"/>
      <c r="FZ197" s="629"/>
      <c r="GA197" s="629"/>
      <c r="GB197" s="629"/>
      <c r="GC197" s="629"/>
      <c r="GD197" s="629"/>
      <c r="GE197" s="629"/>
      <c r="GF197" s="629"/>
      <c r="GG197" s="629"/>
      <c r="GH197" s="629"/>
      <c r="GI197" s="629"/>
      <c r="GJ197" s="629"/>
      <c r="GK197" s="629"/>
      <c r="GL197" s="629"/>
      <c r="GM197" s="629"/>
      <c r="GN197" s="629"/>
      <c r="GO197" s="629"/>
      <c r="GP197" s="628"/>
      <c r="GQ197" s="628"/>
      <c r="GR197" s="628"/>
      <c r="GS197" s="628"/>
      <c r="GT197" s="628"/>
      <c r="GU197" s="628"/>
      <c r="GV197" s="630"/>
      <c r="GW197" s="628"/>
      <c r="GX197" s="628"/>
      <c r="GY197" s="628"/>
      <c r="GZ197" s="628"/>
      <c r="HA197" s="628"/>
      <c r="HB197" s="628"/>
      <c r="HC197" s="628"/>
      <c r="HD197" s="628"/>
      <c r="HE197" s="628"/>
      <c r="HF197" s="628"/>
      <c r="HG197" s="628"/>
      <c r="HH197" s="628"/>
      <c r="HI197" s="628"/>
      <c r="HJ197" s="628"/>
      <c r="HK197" s="628"/>
      <c r="HL197" s="630"/>
      <c r="HM197" s="630"/>
      <c r="HN197" s="628"/>
      <c r="HO197" s="628"/>
      <c r="HP197" s="115"/>
      <c r="HQ197" s="115"/>
      <c r="HR197" s="115"/>
      <c r="HS197" s="115"/>
      <c r="HT197" s="115"/>
      <c r="HU197" s="115"/>
      <c r="HV197" s="115"/>
      <c r="HW197" s="115"/>
      <c r="HX197" s="115"/>
      <c r="HY197" s="115"/>
      <c r="HZ197" s="115"/>
      <c r="IA197" s="115"/>
      <c r="IB197" s="115"/>
      <c r="IC197" s="115"/>
      <c r="ID197" s="115"/>
      <c r="IE197" s="115"/>
      <c r="IF197" s="115"/>
      <c r="IG197" s="115"/>
      <c r="IH197" s="115"/>
      <c r="II197" s="115"/>
      <c r="IJ197" s="115"/>
      <c r="IK197" s="115"/>
      <c r="IL197" s="115"/>
      <c r="IM197" s="115"/>
      <c r="IN197" s="115"/>
      <c r="IO197" s="115"/>
      <c r="IP197" s="115"/>
      <c r="IQ197" s="115"/>
      <c r="IR197" s="115"/>
      <c r="IS197" s="115"/>
      <c r="IT197" s="115"/>
      <c r="IU197" s="115"/>
    </row>
    <row r="198" spans="1:255" s="108" customFormat="1" ht="13.9" customHeight="1">
      <c r="A198" s="2"/>
      <c r="B198" s="1"/>
      <c r="C198" s="1"/>
      <c r="D198" s="1"/>
      <c r="E198" s="1"/>
      <c r="F198" s="1"/>
      <c r="G198" s="1"/>
      <c r="H198" s="1"/>
      <c r="I198" s="1"/>
      <c r="J198" s="1"/>
      <c r="K198" s="1"/>
      <c r="L198" s="1"/>
      <c r="M198" s="1"/>
      <c r="N198" s="1"/>
      <c r="O198" s="1"/>
      <c r="V198" s="628"/>
      <c r="W198" s="628"/>
      <c r="X198" s="628"/>
      <c r="Y198" s="628"/>
      <c r="Z198" s="628"/>
      <c r="AA198" s="628"/>
      <c r="AB198" s="628"/>
      <c r="AC198" s="628"/>
      <c r="AD198" s="628"/>
      <c r="AE198" s="628"/>
      <c r="AF198" s="628"/>
      <c r="AG198" s="628"/>
      <c r="AH198" s="628"/>
      <c r="AI198" s="628"/>
      <c r="AJ198" s="628"/>
      <c r="AK198" s="628"/>
      <c r="AL198" s="628"/>
      <c r="AM198" s="628"/>
      <c r="AN198" s="628"/>
      <c r="AO198" s="628"/>
      <c r="AP198" s="628"/>
      <c r="AQ198" s="628"/>
      <c r="AR198" s="628"/>
      <c r="AS198" s="628"/>
      <c r="AT198" s="628"/>
      <c r="AU198" s="628"/>
      <c r="AV198" s="628"/>
      <c r="AW198" s="628"/>
      <c r="AX198" s="628"/>
      <c r="AY198" s="628"/>
      <c r="AZ198" s="628"/>
      <c r="BA198" s="628"/>
      <c r="BB198" s="628"/>
      <c r="BC198" s="628"/>
      <c r="BD198" s="628"/>
      <c r="BE198" s="628"/>
      <c r="BF198" s="628"/>
      <c r="BG198" s="628"/>
      <c r="BH198" s="628"/>
      <c r="BI198" s="628"/>
      <c r="BJ198" s="628"/>
      <c r="BK198" s="628"/>
      <c r="BL198" s="628"/>
      <c r="BM198" s="628"/>
      <c r="BN198" s="628"/>
      <c r="BO198" s="628"/>
      <c r="BP198" s="628"/>
      <c r="BQ198" s="628"/>
      <c r="BR198" s="628"/>
      <c r="BS198" s="628"/>
      <c r="BT198" s="628"/>
      <c r="BU198" s="628"/>
      <c r="BV198" s="628"/>
      <c r="BW198" s="628"/>
      <c r="BX198" s="628"/>
      <c r="BY198" s="628"/>
      <c r="BZ198" s="628"/>
      <c r="CA198" s="628"/>
      <c r="CB198" s="628"/>
      <c r="CC198" s="628"/>
      <c r="CD198" s="628"/>
      <c r="CE198" s="628"/>
      <c r="CF198" s="628"/>
      <c r="CG198" s="628"/>
      <c r="CH198" s="628"/>
      <c r="CI198" s="628"/>
      <c r="CJ198" s="628"/>
      <c r="CK198" s="628"/>
      <c r="CL198" s="628"/>
      <c r="CM198" s="628"/>
      <c r="CN198" s="628"/>
      <c r="CO198" s="628"/>
      <c r="CP198" s="628"/>
      <c r="CQ198" s="628"/>
      <c r="CR198" s="628"/>
      <c r="CS198" s="628"/>
      <c r="CT198" s="628"/>
      <c r="CU198" s="628"/>
      <c r="CV198" s="628"/>
      <c r="CW198" s="628"/>
      <c r="CX198" s="628"/>
      <c r="CY198" s="628"/>
      <c r="CZ198" s="628"/>
      <c r="DA198" s="628"/>
      <c r="DB198" s="628"/>
      <c r="DC198" s="628"/>
      <c r="DD198" s="628"/>
      <c r="DE198" s="628"/>
      <c r="DF198" s="628"/>
      <c r="DG198" s="628"/>
      <c r="DH198" s="628"/>
      <c r="DI198" s="628"/>
      <c r="DJ198" s="628"/>
      <c r="DK198" s="628"/>
      <c r="DL198" s="628"/>
      <c r="DM198" s="628"/>
      <c r="DN198" s="628"/>
      <c r="DO198" s="628"/>
      <c r="DP198" s="628"/>
      <c r="DQ198" s="628"/>
      <c r="DR198" s="628"/>
      <c r="DS198" s="628"/>
      <c r="DT198" s="628"/>
      <c r="DU198" s="628"/>
      <c r="DV198" s="628"/>
      <c r="DW198" s="628"/>
      <c r="DX198" s="628"/>
      <c r="DY198" s="628"/>
      <c r="DZ198" s="628"/>
      <c r="EA198" s="628"/>
      <c r="EB198" s="628"/>
      <c r="EC198" s="628"/>
      <c r="ED198" s="628"/>
      <c r="EE198" s="628"/>
      <c r="EF198" s="628"/>
      <c r="EG198" s="628"/>
      <c r="EH198" s="628"/>
      <c r="EI198" s="628"/>
      <c r="EJ198" s="628"/>
      <c r="EK198" s="628"/>
      <c r="EL198" s="628"/>
      <c r="EM198" s="628"/>
      <c r="EN198" s="628"/>
      <c r="EO198" s="628"/>
      <c r="EP198" s="628"/>
      <c r="EQ198" s="628"/>
      <c r="ER198" s="628"/>
      <c r="ES198" s="628"/>
      <c r="ET198" s="628"/>
      <c r="EU198" s="628"/>
      <c r="EV198" s="628"/>
      <c r="EW198" s="628"/>
      <c r="EX198" s="628"/>
      <c r="EY198" s="628"/>
      <c r="EZ198" s="628"/>
      <c r="FA198" s="628"/>
      <c r="FB198" s="628"/>
      <c r="FC198" s="628"/>
      <c r="FD198" s="628"/>
      <c r="FE198" s="628"/>
      <c r="FF198" s="628"/>
      <c r="FG198" s="628"/>
      <c r="FH198" s="628"/>
      <c r="FI198" s="628"/>
      <c r="FJ198" s="628"/>
      <c r="FK198" s="628"/>
      <c r="FL198" s="628"/>
      <c r="FM198" s="628"/>
      <c r="FN198" s="628"/>
      <c r="FO198" s="628"/>
      <c r="FP198" s="628"/>
      <c r="FQ198" s="628"/>
      <c r="FR198" s="628"/>
      <c r="FS198" s="628"/>
      <c r="FT198" s="628"/>
      <c r="FU198" s="628"/>
      <c r="FV198" s="628"/>
      <c r="FW198" s="628"/>
      <c r="FX198" s="628"/>
      <c r="FY198" s="629"/>
      <c r="FZ198" s="629"/>
      <c r="GA198" s="629"/>
      <c r="GB198" s="629"/>
      <c r="GC198" s="629"/>
      <c r="GD198" s="629"/>
      <c r="GE198" s="629"/>
      <c r="GF198" s="629"/>
      <c r="GG198" s="629"/>
      <c r="GH198" s="629"/>
      <c r="GI198" s="629"/>
      <c r="GJ198" s="629"/>
      <c r="GK198" s="629"/>
      <c r="GL198" s="629"/>
      <c r="GM198" s="629"/>
      <c r="GN198" s="629"/>
      <c r="GO198" s="629"/>
      <c r="GP198" s="628"/>
      <c r="GQ198" s="628"/>
      <c r="GR198" s="628"/>
      <c r="GS198" s="628"/>
      <c r="GT198" s="628"/>
      <c r="GU198" s="628"/>
      <c r="GV198" s="630"/>
      <c r="GW198" s="628"/>
      <c r="GX198" s="628"/>
      <c r="GY198" s="628"/>
      <c r="GZ198" s="628"/>
      <c r="HA198" s="628"/>
      <c r="HB198" s="628"/>
      <c r="HC198" s="628"/>
      <c r="HD198" s="628"/>
      <c r="HE198" s="628"/>
      <c r="HF198" s="628"/>
      <c r="HG198" s="628"/>
      <c r="HH198" s="628"/>
      <c r="HI198" s="628"/>
      <c r="HJ198" s="628"/>
      <c r="HK198" s="628"/>
      <c r="HL198" s="630"/>
      <c r="HM198" s="630"/>
      <c r="HN198" s="628"/>
      <c r="HO198" s="628"/>
      <c r="HP198" s="115"/>
      <c r="HQ198" s="115"/>
      <c r="HR198" s="115"/>
      <c r="HS198" s="115"/>
      <c r="HT198" s="115"/>
      <c r="HU198" s="115"/>
      <c r="HV198" s="115"/>
      <c r="HW198" s="115"/>
      <c r="HX198" s="115"/>
      <c r="HY198" s="115"/>
      <c r="HZ198" s="115"/>
      <c r="IA198" s="115"/>
      <c r="IB198" s="115"/>
      <c r="IC198" s="115"/>
      <c r="ID198" s="115"/>
      <c r="IE198" s="115"/>
      <c r="IF198" s="115"/>
      <c r="IG198" s="115"/>
      <c r="IH198" s="115"/>
      <c r="II198" s="115"/>
      <c r="IJ198" s="115"/>
      <c r="IK198" s="115"/>
      <c r="IL198" s="115"/>
      <c r="IM198" s="115"/>
      <c r="IN198" s="115"/>
      <c r="IO198" s="115"/>
      <c r="IP198" s="115"/>
      <c r="IQ198" s="115"/>
      <c r="IR198" s="115"/>
      <c r="IS198" s="115"/>
      <c r="IT198" s="115"/>
      <c r="IU198" s="115"/>
    </row>
    <row r="199" spans="1:255" s="108" customFormat="1" ht="13.9" customHeight="1">
      <c r="A199" s="1"/>
      <c r="B199" s="1"/>
      <c r="C199" s="1"/>
      <c r="D199" s="1"/>
      <c r="E199" s="1"/>
      <c r="F199" s="1"/>
      <c r="G199" s="1"/>
      <c r="H199" s="1"/>
      <c r="I199" s="1"/>
      <c r="J199" s="1"/>
      <c r="K199" s="1"/>
      <c r="L199" s="1"/>
      <c r="M199" s="1"/>
      <c r="N199" s="1"/>
      <c r="O199" s="1"/>
      <c r="V199" s="628"/>
      <c r="W199" s="628"/>
      <c r="X199" s="628"/>
      <c r="Y199" s="628"/>
      <c r="Z199" s="628"/>
      <c r="AA199" s="628"/>
      <c r="AB199" s="628"/>
      <c r="AC199" s="628"/>
      <c r="AD199" s="628"/>
      <c r="AE199" s="628"/>
      <c r="AF199" s="628"/>
      <c r="AG199" s="628"/>
      <c r="AH199" s="628"/>
      <c r="AI199" s="628"/>
      <c r="AJ199" s="628"/>
      <c r="AK199" s="628"/>
      <c r="AL199" s="628"/>
      <c r="AM199" s="628"/>
      <c r="AN199" s="628"/>
      <c r="AO199" s="628"/>
      <c r="AP199" s="628"/>
      <c r="AQ199" s="628"/>
      <c r="AR199" s="628"/>
      <c r="AS199" s="628"/>
      <c r="AT199" s="628"/>
      <c r="AU199" s="628"/>
      <c r="AV199" s="628"/>
      <c r="AW199" s="628"/>
      <c r="AX199" s="628"/>
      <c r="AY199" s="628"/>
      <c r="AZ199" s="628"/>
      <c r="BA199" s="628"/>
      <c r="BB199" s="628"/>
      <c r="BC199" s="628"/>
      <c r="BD199" s="628"/>
      <c r="BE199" s="628"/>
      <c r="BF199" s="628"/>
      <c r="BG199" s="628"/>
      <c r="BH199" s="628"/>
      <c r="BI199" s="628"/>
      <c r="BJ199" s="628"/>
      <c r="BK199" s="628"/>
      <c r="BL199" s="628"/>
      <c r="BM199" s="628"/>
      <c r="BN199" s="628"/>
      <c r="BO199" s="628"/>
      <c r="BP199" s="628"/>
      <c r="BQ199" s="628"/>
      <c r="BR199" s="628"/>
      <c r="BS199" s="628"/>
      <c r="BT199" s="628"/>
      <c r="BU199" s="628"/>
      <c r="BV199" s="628"/>
      <c r="BW199" s="628"/>
      <c r="BX199" s="628"/>
      <c r="BY199" s="628"/>
      <c r="BZ199" s="628"/>
      <c r="CA199" s="628"/>
      <c r="CB199" s="628"/>
      <c r="CC199" s="628"/>
      <c r="CD199" s="628"/>
      <c r="CE199" s="628"/>
      <c r="CF199" s="628"/>
      <c r="CG199" s="628"/>
      <c r="CH199" s="628"/>
      <c r="CI199" s="628"/>
      <c r="CJ199" s="628"/>
      <c r="CK199" s="628"/>
      <c r="CL199" s="628"/>
      <c r="CM199" s="628"/>
      <c r="CN199" s="628"/>
      <c r="CO199" s="628"/>
      <c r="CP199" s="628"/>
      <c r="CQ199" s="628"/>
      <c r="CR199" s="628"/>
      <c r="CS199" s="628"/>
      <c r="CT199" s="628"/>
      <c r="CU199" s="628"/>
      <c r="CV199" s="628"/>
      <c r="CW199" s="628"/>
      <c r="CX199" s="628"/>
      <c r="CY199" s="628"/>
      <c r="CZ199" s="628"/>
      <c r="DA199" s="628"/>
      <c r="DB199" s="628"/>
      <c r="DC199" s="628"/>
      <c r="DD199" s="628"/>
      <c r="DE199" s="628"/>
      <c r="DF199" s="628"/>
      <c r="DG199" s="628"/>
      <c r="DH199" s="628"/>
      <c r="DI199" s="628"/>
      <c r="DJ199" s="628"/>
      <c r="DK199" s="628"/>
      <c r="DL199" s="628"/>
      <c r="DM199" s="628"/>
      <c r="DN199" s="628"/>
      <c r="DO199" s="628"/>
      <c r="DP199" s="628"/>
      <c r="DQ199" s="628"/>
      <c r="DR199" s="628"/>
      <c r="DS199" s="628"/>
      <c r="DT199" s="628"/>
      <c r="DU199" s="628"/>
      <c r="DV199" s="628"/>
      <c r="DW199" s="628"/>
      <c r="DX199" s="628"/>
      <c r="DY199" s="628"/>
      <c r="DZ199" s="628"/>
      <c r="EA199" s="628"/>
      <c r="EB199" s="628"/>
      <c r="EC199" s="628"/>
      <c r="ED199" s="628"/>
      <c r="EE199" s="628"/>
      <c r="EF199" s="628"/>
      <c r="EG199" s="628"/>
      <c r="EH199" s="628"/>
      <c r="EI199" s="628"/>
      <c r="EJ199" s="628"/>
      <c r="EK199" s="628"/>
      <c r="EL199" s="628"/>
      <c r="EM199" s="628"/>
      <c r="EN199" s="628"/>
      <c r="EO199" s="628"/>
      <c r="EP199" s="628"/>
      <c r="EQ199" s="628"/>
      <c r="ER199" s="628"/>
      <c r="ES199" s="628"/>
      <c r="ET199" s="628"/>
      <c r="EU199" s="628"/>
      <c r="EV199" s="628"/>
      <c r="EW199" s="628"/>
      <c r="EX199" s="628"/>
      <c r="EY199" s="628"/>
      <c r="EZ199" s="628"/>
      <c r="FA199" s="628"/>
      <c r="FB199" s="628"/>
      <c r="FC199" s="628"/>
      <c r="FD199" s="628"/>
      <c r="FE199" s="628"/>
      <c r="FF199" s="628"/>
      <c r="FG199" s="628"/>
      <c r="FH199" s="628"/>
      <c r="FI199" s="628"/>
      <c r="FJ199" s="628"/>
      <c r="FK199" s="628"/>
      <c r="FL199" s="628"/>
      <c r="FM199" s="628"/>
      <c r="FN199" s="628"/>
      <c r="FO199" s="628"/>
      <c r="FP199" s="628"/>
      <c r="FQ199" s="628"/>
      <c r="FR199" s="628"/>
      <c r="FS199" s="628"/>
      <c r="FT199" s="628"/>
      <c r="FU199" s="628"/>
      <c r="FV199" s="628"/>
      <c r="FW199" s="628"/>
      <c r="FX199" s="628"/>
      <c r="FY199" s="629"/>
      <c r="FZ199" s="629"/>
      <c r="GA199" s="629"/>
      <c r="GB199" s="629"/>
      <c r="GC199" s="629"/>
      <c r="GD199" s="629"/>
      <c r="GE199" s="629"/>
      <c r="GF199" s="629"/>
      <c r="GG199" s="629"/>
      <c r="GH199" s="629"/>
      <c r="GI199" s="629"/>
      <c r="GJ199" s="629"/>
      <c r="GK199" s="629"/>
      <c r="GL199" s="629"/>
      <c r="GM199" s="629"/>
      <c r="GN199" s="629"/>
      <c r="GO199" s="629"/>
      <c r="GP199" s="628"/>
      <c r="GQ199" s="628"/>
      <c r="GR199" s="628"/>
      <c r="GS199" s="628"/>
      <c r="GT199" s="628"/>
      <c r="GU199" s="628"/>
      <c r="GV199" s="630"/>
      <c r="GW199" s="628"/>
      <c r="GX199" s="628"/>
      <c r="GY199" s="628"/>
      <c r="GZ199" s="628"/>
      <c r="HA199" s="628"/>
      <c r="HB199" s="628"/>
      <c r="HC199" s="628"/>
      <c r="HD199" s="628"/>
      <c r="HE199" s="628"/>
      <c r="HF199" s="628"/>
      <c r="HG199" s="628"/>
      <c r="HH199" s="628"/>
      <c r="HI199" s="628"/>
      <c r="HJ199" s="628"/>
      <c r="HK199" s="628"/>
      <c r="HL199" s="630"/>
      <c r="HM199" s="630"/>
      <c r="HN199" s="628"/>
      <c r="HO199" s="628"/>
      <c r="HP199" s="115"/>
      <c r="HQ199" s="115"/>
      <c r="HR199" s="115"/>
      <c r="HS199" s="115"/>
      <c r="HT199" s="115"/>
      <c r="HU199" s="115"/>
      <c r="HV199" s="115"/>
      <c r="HW199" s="115"/>
      <c r="HX199" s="115"/>
      <c r="HY199" s="115"/>
      <c r="HZ199" s="115"/>
      <c r="IA199" s="115"/>
      <c r="IB199" s="115"/>
      <c r="IC199" s="115"/>
      <c r="ID199" s="115"/>
      <c r="IE199" s="115"/>
      <c r="IF199" s="115"/>
      <c r="IG199" s="115"/>
      <c r="IH199" s="115"/>
      <c r="II199" s="115"/>
      <c r="IJ199" s="115"/>
      <c r="IK199" s="115"/>
      <c r="IL199" s="115"/>
      <c r="IM199" s="115"/>
      <c r="IN199" s="115"/>
      <c r="IO199" s="115"/>
      <c r="IP199" s="115"/>
      <c r="IQ199" s="115"/>
      <c r="IR199" s="115"/>
      <c r="IS199" s="115"/>
      <c r="IT199" s="115"/>
      <c r="IU199" s="115"/>
    </row>
    <row r="200" spans="1:255" s="108" customFormat="1" ht="13.9" customHeight="1">
      <c r="A200" s="1"/>
      <c r="B200" s="1"/>
      <c r="C200" s="1"/>
      <c r="D200" s="1"/>
      <c r="E200" s="1"/>
      <c r="F200" s="1"/>
      <c r="G200" s="1"/>
      <c r="H200" s="1"/>
      <c r="I200" s="1"/>
      <c r="J200" s="1"/>
      <c r="K200" s="1"/>
      <c r="L200" s="1"/>
      <c r="M200" s="1"/>
      <c r="N200" s="1"/>
      <c r="O200" s="1"/>
      <c r="V200" s="628"/>
      <c r="W200" s="628"/>
      <c r="X200" s="628"/>
      <c r="Y200" s="628"/>
      <c r="Z200" s="628"/>
      <c r="AA200" s="628"/>
      <c r="AB200" s="628"/>
      <c r="AC200" s="628"/>
      <c r="AD200" s="628"/>
      <c r="AE200" s="628"/>
      <c r="AF200" s="628"/>
      <c r="AG200" s="628"/>
      <c r="AH200" s="628"/>
      <c r="AI200" s="628"/>
      <c r="AJ200" s="628"/>
      <c r="AK200" s="628"/>
      <c r="AL200" s="628"/>
      <c r="AM200" s="628"/>
      <c r="AN200" s="628"/>
      <c r="AO200" s="628"/>
      <c r="AP200" s="628"/>
      <c r="AQ200" s="628"/>
      <c r="AR200" s="628"/>
      <c r="AS200" s="628"/>
      <c r="AT200" s="628"/>
      <c r="AU200" s="628"/>
      <c r="AV200" s="628"/>
      <c r="AW200" s="628"/>
      <c r="AX200" s="628"/>
      <c r="AY200" s="628"/>
      <c r="AZ200" s="628"/>
      <c r="BA200" s="628"/>
      <c r="BB200" s="628"/>
      <c r="BC200" s="628"/>
      <c r="BD200" s="628"/>
      <c r="BE200" s="628"/>
      <c r="BF200" s="628"/>
      <c r="BG200" s="628"/>
      <c r="BH200" s="628"/>
      <c r="BI200" s="628"/>
      <c r="BJ200" s="628"/>
      <c r="BK200" s="628"/>
      <c r="BL200" s="628"/>
      <c r="BM200" s="628"/>
      <c r="BN200" s="628"/>
      <c r="BO200" s="628"/>
      <c r="BP200" s="628"/>
      <c r="BQ200" s="628"/>
      <c r="BR200" s="628"/>
      <c r="BS200" s="628"/>
      <c r="BT200" s="628"/>
      <c r="BU200" s="628"/>
      <c r="BV200" s="628"/>
      <c r="BW200" s="628"/>
      <c r="BX200" s="628"/>
      <c r="BY200" s="628"/>
      <c r="BZ200" s="628"/>
      <c r="CA200" s="628"/>
      <c r="CB200" s="628"/>
      <c r="CC200" s="628"/>
      <c r="CD200" s="628"/>
      <c r="CE200" s="628"/>
      <c r="CF200" s="628"/>
      <c r="CG200" s="628"/>
      <c r="CH200" s="628"/>
      <c r="CI200" s="628"/>
      <c r="CJ200" s="628"/>
      <c r="CK200" s="628"/>
      <c r="CL200" s="628"/>
      <c r="CM200" s="628"/>
      <c r="CN200" s="628"/>
      <c r="CO200" s="628"/>
      <c r="CP200" s="628"/>
      <c r="CQ200" s="628"/>
      <c r="CR200" s="628"/>
      <c r="CS200" s="628"/>
      <c r="CT200" s="628"/>
      <c r="CU200" s="628"/>
      <c r="CV200" s="628"/>
      <c r="CW200" s="628"/>
      <c r="CX200" s="628"/>
      <c r="CY200" s="628"/>
      <c r="CZ200" s="628"/>
      <c r="DA200" s="628"/>
      <c r="DB200" s="628"/>
      <c r="DC200" s="628"/>
      <c r="DD200" s="628"/>
      <c r="DE200" s="628"/>
      <c r="DF200" s="628"/>
      <c r="DG200" s="628"/>
      <c r="DH200" s="628"/>
      <c r="DI200" s="628"/>
      <c r="DJ200" s="628"/>
      <c r="DK200" s="628"/>
      <c r="DL200" s="628"/>
      <c r="DM200" s="628"/>
      <c r="DN200" s="628"/>
      <c r="DO200" s="628"/>
      <c r="DP200" s="628"/>
      <c r="DQ200" s="628"/>
      <c r="DR200" s="628"/>
      <c r="DS200" s="628"/>
      <c r="DT200" s="628"/>
      <c r="DU200" s="628"/>
      <c r="DV200" s="628"/>
      <c r="DW200" s="628"/>
      <c r="DX200" s="628"/>
      <c r="DY200" s="628"/>
      <c r="DZ200" s="628"/>
      <c r="EA200" s="628"/>
      <c r="EB200" s="628"/>
      <c r="EC200" s="628"/>
      <c r="ED200" s="628"/>
      <c r="EE200" s="628"/>
      <c r="EF200" s="628"/>
      <c r="EG200" s="628"/>
      <c r="EH200" s="628"/>
      <c r="EI200" s="628"/>
      <c r="EJ200" s="628"/>
      <c r="EK200" s="628"/>
      <c r="EL200" s="628"/>
      <c r="EM200" s="628"/>
      <c r="EN200" s="628"/>
      <c r="EO200" s="628"/>
      <c r="EP200" s="628"/>
      <c r="EQ200" s="628"/>
      <c r="ER200" s="628"/>
      <c r="ES200" s="628"/>
      <c r="ET200" s="628"/>
      <c r="EU200" s="628"/>
      <c r="EV200" s="628"/>
      <c r="EW200" s="628"/>
      <c r="EX200" s="628"/>
      <c r="EY200" s="628"/>
      <c r="EZ200" s="628"/>
      <c r="FA200" s="628"/>
      <c r="FB200" s="628"/>
      <c r="FC200" s="628"/>
      <c r="FD200" s="628"/>
      <c r="FE200" s="628"/>
      <c r="FF200" s="628"/>
      <c r="FG200" s="628"/>
      <c r="FH200" s="628"/>
      <c r="FI200" s="628"/>
      <c r="FJ200" s="628"/>
      <c r="FK200" s="628"/>
      <c r="FL200" s="628"/>
      <c r="FM200" s="628"/>
      <c r="FN200" s="628"/>
      <c r="FO200" s="628"/>
      <c r="FP200" s="628"/>
      <c r="FQ200" s="628"/>
      <c r="FR200" s="628"/>
      <c r="FS200" s="628"/>
      <c r="FT200" s="628"/>
      <c r="FU200" s="628"/>
      <c r="FV200" s="628"/>
      <c r="FW200" s="628"/>
      <c r="FX200" s="628"/>
      <c r="FY200" s="629"/>
      <c r="FZ200" s="629"/>
      <c r="GA200" s="629"/>
      <c r="GB200" s="629"/>
      <c r="GC200" s="629"/>
      <c r="GD200" s="629"/>
      <c r="GE200" s="629"/>
      <c r="GF200" s="629"/>
      <c r="GG200" s="629"/>
      <c r="GH200" s="629"/>
      <c r="GI200" s="629"/>
      <c r="GJ200" s="629"/>
      <c r="GK200" s="629"/>
      <c r="GL200" s="629"/>
      <c r="GM200" s="629"/>
      <c r="GN200" s="629"/>
      <c r="GO200" s="629"/>
      <c r="GP200" s="628"/>
      <c r="GQ200" s="628"/>
      <c r="GR200" s="628"/>
      <c r="GS200" s="628"/>
      <c r="GT200" s="628"/>
      <c r="GU200" s="628"/>
      <c r="GV200" s="630"/>
      <c r="GW200" s="628"/>
      <c r="GX200" s="628"/>
      <c r="GY200" s="628"/>
      <c r="GZ200" s="628"/>
      <c r="HA200" s="628"/>
      <c r="HB200" s="628"/>
      <c r="HC200" s="628"/>
      <c r="HD200" s="628"/>
      <c r="HE200" s="628"/>
      <c r="HF200" s="628"/>
      <c r="HG200" s="628"/>
      <c r="HH200" s="628"/>
      <c r="HI200" s="628"/>
      <c r="HJ200" s="628"/>
      <c r="HK200" s="628"/>
      <c r="HL200" s="630"/>
      <c r="HM200" s="630"/>
      <c r="HN200" s="628"/>
      <c r="HO200" s="628"/>
      <c r="HP200" s="115"/>
      <c r="HQ200" s="115"/>
      <c r="HR200" s="115"/>
      <c r="HS200" s="115"/>
      <c r="HT200" s="115"/>
      <c r="HU200" s="115"/>
      <c r="HV200" s="115"/>
      <c r="HW200" s="115"/>
      <c r="HX200" s="115"/>
      <c r="HY200" s="115"/>
      <c r="HZ200" s="115"/>
      <c r="IA200" s="115"/>
      <c r="IB200" s="115"/>
      <c r="IC200" s="115"/>
      <c r="ID200" s="115"/>
      <c r="IE200" s="115"/>
      <c r="IF200" s="115"/>
      <c r="IG200" s="115"/>
      <c r="IH200" s="115"/>
      <c r="II200" s="115"/>
      <c r="IJ200" s="115"/>
      <c r="IK200" s="115"/>
      <c r="IL200" s="115"/>
      <c r="IM200" s="115"/>
      <c r="IN200" s="115"/>
      <c r="IO200" s="115"/>
      <c r="IP200" s="115"/>
      <c r="IQ200" s="115"/>
      <c r="IR200" s="115"/>
      <c r="IS200" s="115"/>
      <c r="IT200" s="115"/>
      <c r="IU200" s="115"/>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BD88" sheet="1" objects="1" scenarios="1" formatCells="0" formatColumns="0" formatRows="0"/>
  <mergeCells count="274">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s>
  <phoneticPr fontId="7" type="noConversion"/>
  <conditionalFormatting sqref="H10">
    <cfRule type="expression" priority="2" stopIfTrue="1">
      <formula>AND($B10="PHA", $H10&gt;0)</formula>
    </cfRule>
  </conditionalFormatting>
  <conditionalFormatting sqref="Q83:S100 Q56:S80">
    <cfRule type="cellIs" dxfId="5" priority="3" stopIfTrue="1" operator="greaterThan">
      <formula>0</formula>
    </cfRule>
  </conditionalFormatting>
  <conditionalFormatting sqref="A10:A47">
    <cfRule type="cellIs" dxfId="4" priority="4" stopIfTrue="1" operator="equal">
      <formula>1</formula>
    </cfRule>
  </conditionalFormatting>
  <conditionalFormatting sqref="I10">
    <cfRule type="expression" priority="1" stopIfTrue="1">
      <formula>AND($B10="PHA", $H10&gt;0)</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zoomScale="90" zoomScaleNormal="90" workbookViewId="0">
      <selection activeCell="A86"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040" t="str">
        <f>CONCATENATE("PART SEVEN - OPERATING PRO FORMA","  -  ",'Part I-Project Information'!$O$4," ",'Part I-Project Information'!$F$23,", ",'Part I-Project Information'!F26,", ",'Part I-Project Information'!J27," County")</f>
        <v>PART SEVEN - OPERATING PRO FORMA  -  2013-011 Mountain View Senior Residences, Stone Mountain, DeKalb County</v>
      </c>
      <c r="B1" s="1593"/>
      <c r="C1" s="1593"/>
      <c r="D1" s="1593"/>
      <c r="E1" s="1593"/>
      <c r="F1" s="1593"/>
      <c r="G1" s="1593"/>
      <c r="H1" s="1593"/>
      <c r="I1" s="1593"/>
      <c r="J1" s="1593"/>
      <c r="K1" s="1594"/>
      <c r="L1" s="11"/>
      <c r="M1" s="1038" t="str">
        <f>A1</f>
        <v>PART SEVEN - OPERATING PRO FORMA  -  2013-011 Mountain View Senior Residences, Stone Mountain, DeKalb County</v>
      </c>
      <c r="N1" s="1038"/>
      <c r="O1" s="11"/>
    </row>
    <row r="2" spans="1:15" ht="13.5" customHeight="1">
      <c r="A2" s="751"/>
      <c r="B2" s="751"/>
      <c r="C2" s="751"/>
      <c r="D2" s="751"/>
      <c r="E2" s="751"/>
      <c r="F2" s="751"/>
      <c r="G2" s="751"/>
      <c r="H2" s="751"/>
      <c r="I2" s="751"/>
      <c r="J2" s="751"/>
      <c r="K2" s="751"/>
      <c r="M2" s="1039" t="s">
        <v>2549</v>
      </c>
      <c r="N2" s="1039"/>
    </row>
    <row r="3" spans="1:15" ht="13.5">
      <c r="A3" s="16" t="s">
        <v>94</v>
      </c>
      <c r="D3" s="16" t="s">
        <v>84</v>
      </c>
      <c r="E3" s="275"/>
      <c r="F3" s="352" t="s">
        <v>1451</v>
      </c>
      <c r="M3" s="16" t="str">
        <f>A3</f>
        <v>I.  OPERATING ASSUMPTIONS</v>
      </c>
      <c r="N3" s="35"/>
    </row>
    <row r="4" spans="1:15" ht="2.4500000000000002" customHeight="1">
      <c r="A4" s="19"/>
      <c r="B4" s="19"/>
      <c r="C4" s="19"/>
      <c r="H4" s="19"/>
      <c r="I4" s="19"/>
    </row>
    <row r="5" spans="1:15" ht="13.5" customHeight="1">
      <c r="A5" s="19" t="s">
        <v>2906</v>
      </c>
      <c r="B5" s="94">
        <v>0.02</v>
      </c>
      <c r="C5" s="19"/>
      <c r="D5" s="19" t="s">
        <v>1177</v>
      </c>
      <c r="F5" s="19"/>
      <c r="G5" s="1595">
        <v>-8000</v>
      </c>
      <c r="H5" s="117" t="s">
        <v>2616</v>
      </c>
      <c r="K5" s="122">
        <f>IF(($B$14+$B$15+$B$16+$B$17)=0,"",-B28/($B$14+$B$15+$B$16+$B$17))</f>
        <v>1.4923767871488115E-2</v>
      </c>
      <c r="M5" s="1495"/>
      <c r="N5" s="1496"/>
    </row>
    <row r="6" spans="1:15">
      <c r="A6" s="19" t="s">
        <v>2907</v>
      </c>
      <c r="B6" s="94">
        <v>0.03</v>
      </c>
      <c r="C6" s="19"/>
      <c r="D6" s="19"/>
      <c r="E6" s="19"/>
      <c r="F6" s="19"/>
      <c r="G6" s="19"/>
      <c r="H6" s="19"/>
      <c r="I6" s="19"/>
      <c r="J6" s="19"/>
      <c r="K6" s="19"/>
      <c r="M6" s="1497"/>
      <c r="N6" s="1498"/>
    </row>
    <row r="7" spans="1:15">
      <c r="A7" s="19" t="s">
        <v>2909</v>
      </c>
      <c r="B7" s="94">
        <v>0.03</v>
      </c>
      <c r="C7" s="19"/>
      <c r="D7" s="96" t="s">
        <v>298</v>
      </c>
      <c r="G7" s="98"/>
      <c r="H7" s="117" t="s">
        <v>3130</v>
      </c>
      <c r="K7" s="122">
        <f>IF(($B$14+$B$15+$B$16+$B$17)=0,"",-B20/($B$14+$B$15+$B$16+$B$17))</f>
        <v>5.0000218782436996E-2</v>
      </c>
      <c r="M7" s="1497"/>
      <c r="N7" s="1498"/>
    </row>
    <row r="8" spans="1:15" ht="13.15" customHeight="1">
      <c r="A8" s="19" t="s">
        <v>2908</v>
      </c>
      <c r="B8" s="1596">
        <v>7.0000000000000007E-2</v>
      </c>
      <c r="C8" s="19"/>
      <c r="D8" s="95" t="s">
        <v>3291</v>
      </c>
      <c r="G8" s="1597"/>
      <c r="H8" s="209" t="s">
        <v>1889</v>
      </c>
      <c r="K8" s="1598"/>
      <c r="M8" s="1497"/>
      <c r="N8" s="1498"/>
    </row>
    <row r="9" spans="1:15">
      <c r="A9" s="19" t="s">
        <v>1858</v>
      </c>
      <c r="B9" s="94">
        <v>0.02</v>
      </c>
      <c r="D9" s="95" t="s">
        <v>2410</v>
      </c>
      <c r="G9" s="1597" t="s">
        <v>4073</v>
      </c>
      <c r="H9" s="209" t="s">
        <v>3110</v>
      </c>
      <c r="K9" s="1599">
        <v>0.05</v>
      </c>
      <c r="M9" s="1500"/>
      <c r="N9" s="1501"/>
    </row>
    <row r="10" spans="1:15" ht="13.5" customHeight="1"/>
    <row r="11" spans="1:15">
      <c r="A11" s="16" t="s">
        <v>95</v>
      </c>
      <c r="M11" s="16" t="str">
        <f>A11</f>
        <v>II.  OPERATING PRO FORMA</v>
      </c>
    </row>
    <row r="12" spans="1:15" ht="2.4500000000000002" customHeight="1"/>
    <row r="13" spans="1:15" ht="14.45" customHeight="1">
      <c r="A13" s="16" t="s">
        <v>3261</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906" t="s">
        <v>3423</v>
      </c>
      <c r="N13" s="906"/>
    </row>
    <row r="14" spans="1:15" ht="13.15" customHeight="1">
      <c r="A14" s="21" t="s">
        <v>3166</v>
      </c>
      <c r="B14" s="22">
        <f>'Part VI-Revenues &amp; Expenses'!L49</f>
        <v>565104</v>
      </c>
      <c r="C14" s="22">
        <f t="shared" ref="C14:K14" si="1">$B$14*(1+$B$5)^(C13-1)</f>
        <v>576406.07999999996</v>
      </c>
      <c r="D14" s="22">
        <f t="shared" si="1"/>
        <v>587934.20160000003</v>
      </c>
      <c r="E14" s="22">
        <f t="shared" si="1"/>
        <v>599692.88563199993</v>
      </c>
      <c r="F14" s="22">
        <f t="shared" si="1"/>
        <v>611686.74334464001</v>
      </c>
      <c r="G14" s="22">
        <f t="shared" si="1"/>
        <v>623920.47821153281</v>
      </c>
      <c r="H14" s="22">
        <f t="shared" si="1"/>
        <v>636398.88777576352</v>
      </c>
      <c r="I14" s="22">
        <f t="shared" si="1"/>
        <v>649126.86553127866</v>
      </c>
      <c r="J14" s="22">
        <f t="shared" si="1"/>
        <v>662109.4028419042</v>
      </c>
      <c r="K14" s="23">
        <f t="shared" si="1"/>
        <v>675351.59089874232</v>
      </c>
      <c r="M14" s="1495"/>
      <c r="N14" s="1496"/>
    </row>
    <row r="15" spans="1:15" ht="13.15" customHeight="1">
      <c r="A15" s="24" t="s">
        <v>1418</v>
      </c>
      <c r="B15" s="25">
        <f>MIN(B14*B9,'Part VI-Revenues &amp; Expenses'!H104)</f>
        <v>11302.08</v>
      </c>
      <c r="C15" s="25">
        <f t="shared" ref="C15:K15" si="2">$B$15*(1+$B$5)^(C13-1)</f>
        <v>11528.1216</v>
      </c>
      <c r="D15" s="25">
        <f t="shared" si="2"/>
        <v>11758.684031999999</v>
      </c>
      <c r="E15" s="25">
        <f t="shared" si="2"/>
        <v>11993.85771264</v>
      </c>
      <c r="F15" s="25">
        <f t="shared" si="2"/>
        <v>12233.734866892799</v>
      </c>
      <c r="G15" s="25">
        <f t="shared" si="2"/>
        <v>12478.409564230657</v>
      </c>
      <c r="H15" s="25">
        <f t="shared" si="2"/>
        <v>12727.97775551527</v>
      </c>
      <c r="I15" s="25">
        <f t="shared" si="2"/>
        <v>12982.537310625572</v>
      </c>
      <c r="J15" s="25">
        <f t="shared" si="2"/>
        <v>13242.188056838086</v>
      </c>
      <c r="K15" s="26">
        <f t="shared" si="2"/>
        <v>13507.031817974846</v>
      </c>
      <c r="M15" s="1497"/>
      <c r="N15" s="1498"/>
    </row>
    <row r="16" spans="1:15" ht="13.15" customHeight="1">
      <c r="A16" s="24" t="s">
        <v>3167</v>
      </c>
      <c r="B16" s="25">
        <f t="shared" ref="B16:K16" si="3">-(B14+B15)*$B$8</f>
        <v>-40348.425600000002</v>
      </c>
      <c r="C16" s="25">
        <f t="shared" si="3"/>
        <v>-41155.394111999994</v>
      </c>
      <c r="D16" s="25">
        <f t="shared" si="3"/>
        <v>-41978.50199424001</v>
      </c>
      <c r="E16" s="25">
        <f t="shared" si="3"/>
        <v>-42818.072034124794</v>
      </c>
      <c r="F16" s="25">
        <f t="shared" si="3"/>
        <v>-43674.433474807302</v>
      </c>
      <c r="G16" s="25">
        <f t="shared" si="3"/>
        <v>-44547.922144303448</v>
      </c>
      <c r="H16" s="25">
        <f t="shared" si="3"/>
        <v>-45438.880587189517</v>
      </c>
      <c r="I16" s="25">
        <f t="shared" si="3"/>
        <v>-46347.658198933299</v>
      </c>
      <c r="J16" s="25">
        <f t="shared" si="3"/>
        <v>-47274.611362911965</v>
      </c>
      <c r="K16" s="26">
        <f t="shared" si="3"/>
        <v>-48220.103590170205</v>
      </c>
      <c r="M16" s="1497"/>
      <c r="N16" s="1498"/>
    </row>
    <row r="17" spans="1:14" ht="13.15" customHeight="1">
      <c r="A17" s="24" t="s">
        <v>56</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497"/>
      <c r="N17" s="1498"/>
    </row>
    <row r="18" spans="1:14" ht="13.15" customHeight="1">
      <c r="A18" s="24" t="s">
        <v>57</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497"/>
      <c r="N18" s="1498"/>
    </row>
    <row r="19" spans="1:14" ht="13.15" customHeight="1">
      <c r="A19" s="24" t="s">
        <v>794</v>
      </c>
      <c r="B19" s="25">
        <f>-('Part VI-Revenues &amp; Expenses'!P157-'Part VI-Revenues &amp; Expenses'!P147)</f>
        <v>-309930</v>
      </c>
      <c r="C19" s="25">
        <f t="shared" ref="C19:K19" si="4">$B$19*(1+$B$6)^(C13-1)</f>
        <v>-319227.90000000002</v>
      </c>
      <c r="D19" s="25">
        <f t="shared" si="4"/>
        <v>-328804.73699999996</v>
      </c>
      <c r="E19" s="25">
        <f t="shared" si="4"/>
        <v>-338668.87910999998</v>
      </c>
      <c r="F19" s="25">
        <f t="shared" si="4"/>
        <v>-348828.94548329996</v>
      </c>
      <c r="G19" s="25">
        <f t="shared" si="4"/>
        <v>-359293.81384779897</v>
      </c>
      <c r="H19" s="25">
        <f t="shared" si="4"/>
        <v>-370072.62826323294</v>
      </c>
      <c r="I19" s="25">
        <f t="shared" si="4"/>
        <v>-381174.80711112998</v>
      </c>
      <c r="J19" s="25">
        <f t="shared" si="4"/>
        <v>-392610.0513244638</v>
      </c>
      <c r="K19" s="26">
        <f t="shared" si="4"/>
        <v>-404388.35286419775</v>
      </c>
      <c r="M19" s="1497"/>
      <c r="N19" s="1498"/>
    </row>
    <row r="20" spans="1:14" ht="13.15" customHeight="1">
      <c r="A20" s="24" t="s">
        <v>1523</v>
      </c>
      <c r="B20" s="25">
        <f>IF(AND('Part VII-Pro Forma'!$G$8="Yes",'Part VII-Pro Forma'!$G$9="Yes"),"Choose One!",IF('Part VII-Pro Forma'!$G$8="Yes",ROUND((-$K$8*(1+'Part VII-Pro Forma'!$B$6)^('Part VII-Pro Forma'!B13-1)),),IF('Part VII-Pro Forma'!$G$9="Yes",ROUND((-(SUM(B14:B17)*'Part VII-Pro Forma'!$K$9)),),"Choose mgt fee")))</f>
        <v>-26803</v>
      </c>
      <c r="C20" s="25">
        <f>IF(AND('Part VII-Pro Forma'!$G$8="Yes",'Part VII-Pro Forma'!$G$9="Yes"),"Choose One!",IF('Part VII-Pro Forma'!$G$8="Yes",ROUND((-$K$8*(1+'Part VII-Pro Forma'!$B$6)^('Part VII-Pro Forma'!C13-1)),),IF('Part VII-Pro Forma'!$G$9="Yes",ROUND((-(SUM(C14:C17)*'Part VII-Pro Forma'!$K$9)),),"Choose mgt fee")))</f>
        <v>-27339</v>
      </c>
      <c r="D20" s="25">
        <f>IF(AND('Part VII-Pro Forma'!$G$8="Yes",'Part VII-Pro Forma'!$G$9="Yes"),"Choose One!",IF('Part VII-Pro Forma'!$G$8="Yes",ROUND((-$K$8*(1+'Part VII-Pro Forma'!$B$6)^('Part VII-Pro Forma'!D13-1)),),IF('Part VII-Pro Forma'!$G$9="Yes",ROUND((-(SUM(D14:D17)*'Part VII-Pro Forma'!$K$9)),),"Choose mgt fee")))</f>
        <v>-27886</v>
      </c>
      <c r="E20" s="25">
        <f>IF(AND('Part VII-Pro Forma'!$G$8="Yes",'Part VII-Pro Forma'!$G$9="Yes"),"Choose One!",IF('Part VII-Pro Forma'!$G$8="Yes",ROUND((-$K$8*(1+'Part VII-Pro Forma'!$B$6)^('Part VII-Pro Forma'!E13-1)),),IF('Part VII-Pro Forma'!$G$9="Yes",ROUND((-(SUM(E14:E17)*'Part VII-Pro Forma'!$K$9)),),"Choose mgt fee")))</f>
        <v>-28443</v>
      </c>
      <c r="F20" s="25">
        <f>IF(AND('Part VII-Pro Forma'!$G$8="Yes",'Part VII-Pro Forma'!$G$9="Yes"),"Choose One!",IF('Part VII-Pro Forma'!$G$8="Yes",ROUND((-$K$8*(1+'Part VII-Pro Forma'!$B$6)^('Part VII-Pro Forma'!F13-1)),),IF('Part VII-Pro Forma'!$G$9="Yes",ROUND((-(SUM(F14:F17)*'Part VII-Pro Forma'!$K$9)),),"Choose mgt fee")))</f>
        <v>-29012</v>
      </c>
      <c r="G20" s="25">
        <f>IF(AND('Part VII-Pro Forma'!$G$8="Yes",'Part VII-Pro Forma'!$G$9="Yes"),"Choose One!",IF('Part VII-Pro Forma'!$G$8="Yes",ROUND((-$K$8*(1+'Part VII-Pro Forma'!$B$6)^('Part VII-Pro Forma'!G13-1)),),IF('Part VII-Pro Forma'!$G$9="Yes",ROUND((-(SUM(G14:G17)*'Part VII-Pro Forma'!$K$9)),),"Choose mgt fee")))</f>
        <v>-29593</v>
      </c>
      <c r="H20" s="25">
        <f>IF(AND('Part VII-Pro Forma'!$G$8="Yes",'Part VII-Pro Forma'!$G$9="Yes"),"Choose One!",IF('Part VII-Pro Forma'!$G$8="Yes",ROUND((-$K$8*(1+'Part VII-Pro Forma'!$B$6)^('Part VII-Pro Forma'!H13-1)),),IF('Part VII-Pro Forma'!$G$9="Yes",ROUND((-(SUM(H14:H17)*'Part VII-Pro Forma'!$K$9)),),"Choose mgt fee")))</f>
        <v>-30184</v>
      </c>
      <c r="I20" s="25">
        <f>IF(AND('Part VII-Pro Forma'!$G$8="Yes",'Part VII-Pro Forma'!$G$9="Yes"),"Choose One!",IF('Part VII-Pro Forma'!$G$8="Yes",ROUND((-$K$8*(1+'Part VII-Pro Forma'!$B$6)^('Part VII-Pro Forma'!I13-1)),),IF('Part VII-Pro Forma'!$G$9="Yes",ROUND((-(SUM(I14:I17)*'Part VII-Pro Forma'!$K$9)),),"Choose mgt fee")))</f>
        <v>-30788</v>
      </c>
      <c r="J20" s="25">
        <f>IF(AND('Part VII-Pro Forma'!$G$8="Yes",'Part VII-Pro Forma'!$G$9="Yes"),"Choose One!",IF('Part VII-Pro Forma'!$G$8="Yes",ROUND((-$K$8*(1+'Part VII-Pro Forma'!$B$6)^('Part VII-Pro Forma'!J13-1)),),IF('Part VII-Pro Forma'!$G$9="Yes",ROUND((-(SUM(J14:J17)*'Part VII-Pro Forma'!$K$9)),),"Choose mgt fee")))</f>
        <v>-31404</v>
      </c>
      <c r="K20" s="25">
        <f>IF(AND('Part VII-Pro Forma'!$G$8="Yes",'Part VII-Pro Forma'!$G$9="Yes"),"Choose One!",IF('Part VII-Pro Forma'!$G$8="Yes",ROUND((-$K$8*(1+'Part VII-Pro Forma'!$B$6)^('Part VII-Pro Forma'!K13-1)),),IF('Part VII-Pro Forma'!$G$9="Yes",ROUND((-(SUM(K14:K17)*'Part VII-Pro Forma'!$K$9)),),"Choose mgt fee")))</f>
        <v>-32032</v>
      </c>
      <c r="M20" s="1497"/>
      <c r="N20" s="1498"/>
    </row>
    <row r="21" spans="1:14" ht="13.15" customHeight="1">
      <c r="A21" s="24" t="s">
        <v>1622</v>
      </c>
      <c r="B21" s="25">
        <f>-('Part VI-Revenues &amp; Expenses'!P160)</f>
        <v>-20000</v>
      </c>
      <c r="C21" s="25">
        <f t="shared" ref="C21:K21" si="5">$B$21*(1+$B$7)^(C13-1)</f>
        <v>-20600</v>
      </c>
      <c r="D21" s="25">
        <f t="shared" si="5"/>
        <v>-21218</v>
      </c>
      <c r="E21" s="25">
        <f t="shared" si="5"/>
        <v>-21854.54</v>
      </c>
      <c r="F21" s="25">
        <f t="shared" si="5"/>
        <v>-22510.176199999998</v>
      </c>
      <c r="G21" s="25">
        <f t="shared" si="5"/>
        <v>-23185.481485999997</v>
      </c>
      <c r="H21" s="25">
        <f t="shared" si="5"/>
        <v>-23881.04593058</v>
      </c>
      <c r="I21" s="25">
        <f t="shared" si="5"/>
        <v>-24597.4773084974</v>
      </c>
      <c r="J21" s="25">
        <f t="shared" si="5"/>
        <v>-25335.401627752319</v>
      </c>
      <c r="K21" s="26">
        <f t="shared" si="5"/>
        <v>-26095.463676584888</v>
      </c>
      <c r="M21" s="1497"/>
      <c r="N21" s="1498"/>
    </row>
    <row r="22" spans="1:14" ht="13.15" customHeight="1">
      <c r="A22" s="24" t="s">
        <v>1623</v>
      </c>
      <c r="B22" s="25">
        <f t="shared" ref="B22:K22" si="6">SUM(B14:B21)</f>
        <v>179324.6544</v>
      </c>
      <c r="C22" s="25">
        <f t="shared" si="6"/>
        <v>179611.90748799988</v>
      </c>
      <c r="D22" s="25">
        <f t="shared" si="6"/>
        <v>179805.6466377601</v>
      </c>
      <c r="E22" s="25">
        <f t="shared" si="6"/>
        <v>179902.25220051515</v>
      </c>
      <c r="F22" s="25">
        <f t="shared" si="6"/>
        <v>179894.92305342556</v>
      </c>
      <c r="G22" s="25">
        <f t="shared" si="6"/>
        <v>179778.6702976611</v>
      </c>
      <c r="H22" s="25">
        <f t="shared" si="6"/>
        <v>179550.31075027637</v>
      </c>
      <c r="I22" s="25">
        <f t="shared" si="6"/>
        <v>179201.46022334346</v>
      </c>
      <c r="J22" s="25">
        <f t="shared" si="6"/>
        <v>178727.52658361421</v>
      </c>
      <c r="K22" s="26">
        <f t="shared" si="6"/>
        <v>178122.7025857644</v>
      </c>
      <c r="M22" s="1497"/>
      <c r="N22" s="1498"/>
    </row>
    <row r="23" spans="1:14" ht="13.15" customHeight="1">
      <c r="A23" s="564" t="s">
        <v>2051</v>
      </c>
      <c r="B23" s="1600">
        <f>IF('Part III-Sources of Funds'!$M$32="", 0,-'Part III-Sources of Funds'!$M$32)</f>
        <v>-136697.51973482751</v>
      </c>
      <c r="C23" s="1600">
        <f>IF('Part III-Sources of Funds'!$M$32="", 0,-'Part III-Sources of Funds'!$M$32)</f>
        <v>-136697.51973482751</v>
      </c>
      <c r="D23" s="1600">
        <f>IF('Part III-Sources of Funds'!$M$32="", 0,-'Part III-Sources of Funds'!$M$32)</f>
        <v>-136697.51973482751</v>
      </c>
      <c r="E23" s="1600">
        <f>IF('Part III-Sources of Funds'!$M$32="", 0,-'Part III-Sources of Funds'!$M$32)</f>
        <v>-136697.51973482751</v>
      </c>
      <c r="F23" s="1600">
        <f>IF('Part III-Sources of Funds'!$M$32="", 0,-'Part III-Sources of Funds'!$M$32)</f>
        <v>-136697.51973482751</v>
      </c>
      <c r="G23" s="1600">
        <f>IF('Part III-Sources of Funds'!$M$32="", 0,-'Part III-Sources of Funds'!$M$32)</f>
        <v>-136697.51973482751</v>
      </c>
      <c r="H23" s="1600">
        <f>IF('Part III-Sources of Funds'!$M$32="", 0,-'Part III-Sources of Funds'!$M$32)</f>
        <v>-136697.51973482751</v>
      </c>
      <c r="I23" s="1600">
        <f>IF('Part III-Sources of Funds'!$M$32="", 0,-'Part III-Sources of Funds'!$M$32)</f>
        <v>-136697.51973482751</v>
      </c>
      <c r="J23" s="1600">
        <f>IF('Part III-Sources of Funds'!$M$32="", 0,-'Part III-Sources of Funds'!$M$32)</f>
        <v>-136697.51973482751</v>
      </c>
      <c r="K23" s="1600">
        <f>IF('Part III-Sources of Funds'!$M$32="", 0,-'Part III-Sources of Funds'!$M$32)</f>
        <v>-136697.51973482751</v>
      </c>
      <c r="M23" s="1497"/>
      <c r="N23" s="1498"/>
    </row>
    <row r="24" spans="1:14" ht="13.15" customHeight="1">
      <c r="A24" s="564" t="s">
        <v>2052</v>
      </c>
      <c r="B24" s="1601">
        <f>IF('Part III-Sources of Funds'!$M$33="", 0,-'Part III-Sources of Funds'!$M$33)</f>
        <v>0</v>
      </c>
      <c r="C24" s="1601">
        <f>IF('Part III-Sources of Funds'!$M$33="", 0,-'Part III-Sources of Funds'!$M$33)</f>
        <v>0</v>
      </c>
      <c r="D24" s="1601">
        <f>IF('Part III-Sources of Funds'!$M$33="", 0,-'Part III-Sources of Funds'!$M$33)</f>
        <v>0</v>
      </c>
      <c r="E24" s="1601">
        <f>IF('Part III-Sources of Funds'!$M$33="", 0,-'Part III-Sources of Funds'!$M$33)</f>
        <v>0</v>
      </c>
      <c r="F24" s="1601">
        <f>IF('Part III-Sources of Funds'!$M$33="", 0,-'Part III-Sources of Funds'!$M$33)</f>
        <v>0</v>
      </c>
      <c r="G24" s="1601">
        <f>IF('Part III-Sources of Funds'!$M$33="", 0,-'Part III-Sources of Funds'!$M$33)</f>
        <v>0</v>
      </c>
      <c r="H24" s="1601">
        <f>IF('Part III-Sources of Funds'!$M$33="", 0,-'Part III-Sources of Funds'!$M$33)</f>
        <v>0</v>
      </c>
      <c r="I24" s="1601">
        <f>IF('Part III-Sources of Funds'!$M$33="", 0,-'Part III-Sources of Funds'!$M$33)</f>
        <v>0</v>
      </c>
      <c r="J24" s="1601">
        <f>IF('Part III-Sources of Funds'!$M$33="", 0,-'Part III-Sources of Funds'!$M$33)</f>
        <v>0</v>
      </c>
      <c r="K24" s="1601">
        <f>IF('Part III-Sources of Funds'!$M$33="", 0,-'Part III-Sources of Funds'!$M$33)</f>
        <v>0</v>
      </c>
      <c r="M24" s="1497"/>
      <c r="N24" s="1498"/>
    </row>
    <row r="25" spans="1:14" ht="13.15" customHeight="1">
      <c r="A25" s="564" t="s">
        <v>2053</v>
      </c>
      <c r="B25" s="1601">
        <f>IF('Part III-Sources of Funds'!$M$34="", 0,-'Part III-Sources of Funds'!$M$34)</f>
        <v>0</v>
      </c>
      <c r="C25" s="1601">
        <f>IF('Part III-Sources of Funds'!$M$34="", 0,-'Part III-Sources of Funds'!$M$34)</f>
        <v>0</v>
      </c>
      <c r="D25" s="1601">
        <f>IF('Part III-Sources of Funds'!$M$34="", 0,-'Part III-Sources of Funds'!$M$34)</f>
        <v>0</v>
      </c>
      <c r="E25" s="1601">
        <f>IF('Part III-Sources of Funds'!$M$34="", 0,-'Part III-Sources of Funds'!$M$34)</f>
        <v>0</v>
      </c>
      <c r="F25" s="1601">
        <f>IF('Part III-Sources of Funds'!$M$34="", 0,-'Part III-Sources of Funds'!$M$34)</f>
        <v>0</v>
      </c>
      <c r="G25" s="1601">
        <f>IF('Part III-Sources of Funds'!$M$34="", 0,-'Part III-Sources of Funds'!$M$34)</f>
        <v>0</v>
      </c>
      <c r="H25" s="1601">
        <f>IF('Part III-Sources of Funds'!$M$34="", 0,-'Part III-Sources of Funds'!$M$34)</f>
        <v>0</v>
      </c>
      <c r="I25" s="1601">
        <f>IF('Part III-Sources of Funds'!$M$34="", 0,-'Part III-Sources of Funds'!$M$34)</f>
        <v>0</v>
      </c>
      <c r="J25" s="1601">
        <f>IF('Part III-Sources of Funds'!$M$34="", 0,-'Part III-Sources of Funds'!$M$34)</f>
        <v>0</v>
      </c>
      <c r="K25" s="1601">
        <f>IF('Part III-Sources of Funds'!$M$34="", 0,-'Part III-Sources of Funds'!$M$34)</f>
        <v>0</v>
      </c>
      <c r="M25" s="1497"/>
      <c r="N25" s="1498"/>
    </row>
    <row r="26" spans="1:14" ht="13.15" customHeight="1">
      <c r="A26" s="24" t="s">
        <v>1174</v>
      </c>
      <c r="B26" s="1601">
        <f>IF('Part III-Sources of Funds'!$M$35="", 0,-'Part III-Sources of Funds'!$M$35)</f>
        <v>0</v>
      </c>
      <c r="C26" s="1601">
        <f>IF('Part III-Sources of Funds'!$M$35="", 0,-'Part III-Sources of Funds'!$M$35)</f>
        <v>0</v>
      </c>
      <c r="D26" s="1601">
        <f>IF('Part III-Sources of Funds'!$M$35="", 0,-'Part III-Sources of Funds'!$M$35)</f>
        <v>0</v>
      </c>
      <c r="E26" s="1601">
        <f>IF('Part III-Sources of Funds'!$M$35="", 0,-'Part III-Sources of Funds'!$M$35)</f>
        <v>0</v>
      </c>
      <c r="F26" s="1601">
        <f>IF('Part III-Sources of Funds'!$M$35="", 0,-'Part III-Sources of Funds'!$M$35)</f>
        <v>0</v>
      </c>
      <c r="G26" s="1601">
        <f>IF('Part III-Sources of Funds'!$M$35="", 0,-'Part III-Sources of Funds'!$M$35)</f>
        <v>0</v>
      </c>
      <c r="H26" s="1601">
        <f>IF('Part III-Sources of Funds'!$M$35="", 0,-'Part III-Sources of Funds'!$M$35)</f>
        <v>0</v>
      </c>
      <c r="I26" s="1601">
        <f>IF('Part III-Sources of Funds'!$M$35="", 0,-'Part III-Sources of Funds'!$M$35)</f>
        <v>0</v>
      </c>
      <c r="J26" s="1601">
        <f>IF('Part III-Sources of Funds'!$M$35="", 0,-'Part III-Sources of Funds'!$M$35)</f>
        <v>0</v>
      </c>
      <c r="K26" s="1601">
        <f>IF('Part III-Sources of Funds'!$M$35="", 0,-'Part III-Sources of Funds'!$M$35)</f>
        <v>0</v>
      </c>
      <c r="M26" s="1497"/>
      <c r="N26" s="1498"/>
    </row>
    <row r="27" spans="1:14" ht="13.15" customHeight="1">
      <c r="A27" s="24" t="s">
        <v>1150</v>
      </c>
      <c r="B27" s="1602"/>
      <c r="C27" s="1602"/>
      <c r="D27" s="1602"/>
      <c r="E27" s="1602"/>
      <c r="F27" s="1602"/>
      <c r="G27" s="1602"/>
      <c r="H27" s="1602"/>
      <c r="I27" s="1602"/>
      <c r="J27" s="1602"/>
      <c r="K27" s="1602"/>
      <c r="M27" s="1497"/>
      <c r="N27" s="1498"/>
    </row>
    <row r="28" spans="1:14" ht="13.15" customHeight="1">
      <c r="A28" s="24" t="s">
        <v>1578</v>
      </c>
      <c r="B28" s="1601">
        <f>$G$5</f>
        <v>-8000</v>
      </c>
      <c r="C28" s="1601">
        <f t="shared" ref="C28:K28" si="7">+B28</f>
        <v>-8000</v>
      </c>
      <c r="D28" s="1601">
        <f t="shared" si="7"/>
        <v>-8000</v>
      </c>
      <c r="E28" s="1601">
        <f t="shared" si="7"/>
        <v>-8000</v>
      </c>
      <c r="F28" s="1601">
        <f t="shared" si="7"/>
        <v>-8000</v>
      </c>
      <c r="G28" s="1601">
        <f t="shared" si="7"/>
        <v>-8000</v>
      </c>
      <c r="H28" s="1601">
        <f t="shared" si="7"/>
        <v>-8000</v>
      </c>
      <c r="I28" s="1601">
        <f t="shared" si="7"/>
        <v>-8000</v>
      </c>
      <c r="J28" s="1601">
        <f t="shared" si="7"/>
        <v>-8000</v>
      </c>
      <c r="K28" s="1601">
        <f t="shared" si="7"/>
        <v>-8000</v>
      </c>
      <c r="M28" s="1497"/>
      <c r="N28" s="1498"/>
    </row>
    <row r="29" spans="1:14" ht="13.15" customHeight="1">
      <c r="A29" s="24" t="s">
        <v>1624</v>
      </c>
      <c r="B29" s="1603">
        <f>IF('Part III-Sources of Funds'!$M$37="", 0,-'Part III-Sources of Funds'!$M$37)</f>
        <v>0</v>
      </c>
      <c r="C29" s="1603">
        <f>IF('Part III-Sources of Funds'!$M$37="", 0,-'Part III-Sources of Funds'!$M$37)</f>
        <v>0</v>
      </c>
      <c r="D29" s="1603">
        <f>IF('Part III-Sources of Funds'!$M$37="", 0,-'Part III-Sources of Funds'!$M$37)</f>
        <v>0</v>
      </c>
      <c r="E29" s="1603">
        <f>IF('Part III-Sources of Funds'!$M$37="", 0,-'Part III-Sources of Funds'!$M$37)</f>
        <v>0</v>
      </c>
      <c r="F29" s="1603">
        <f>IF('Part III-Sources of Funds'!$M$37="", 0,-'Part III-Sources of Funds'!$M$37)</f>
        <v>0</v>
      </c>
      <c r="G29" s="1603">
        <f>IF('Part III-Sources of Funds'!$M$37="", 0,-'Part III-Sources of Funds'!$M$37)</f>
        <v>0</v>
      </c>
      <c r="H29" s="1603">
        <f>IF('Part III-Sources of Funds'!$M$37="", 0,-'Part III-Sources of Funds'!$M$37)</f>
        <v>0</v>
      </c>
      <c r="I29" s="1603">
        <f>IF('Part III-Sources of Funds'!$M$37="", 0,-'Part III-Sources of Funds'!$M$37)</f>
        <v>0</v>
      </c>
      <c r="J29" s="1603">
        <f>IF('Part III-Sources of Funds'!$M$37="", 0,-'Part III-Sources of Funds'!$M$37)</f>
        <v>0</v>
      </c>
      <c r="K29" s="1603">
        <f>IF('Part III-Sources of Funds'!$M$37="", 0,-'Part III-Sources of Funds'!$M$37)</f>
        <v>0</v>
      </c>
      <c r="M29" s="1497"/>
      <c r="N29" s="1498"/>
    </row>
    <row r="30" spans="1:14" ht="13.15" customHeight="1">
      <c r="A30" s="24" t="s">
        <v>1579</v>
      </c>
      <c r="B30" s="25">
        <f t="shared" ref="B30:K30" si="8">SUM(B22:B29)</f>
        <v>34627.134665172489</v>
      </c>
      <c r="C30" s="25">
        <f t="shared" si="8"/>
        <v>34914.38775317237</v>
      </c>
      <c r="D30" s="25">
        <f t="shared" si="8"/>
        <v>35108.126902932592</v>
      </c>
      <c r="E30" s="25">
        <f t="shared" si="8"/>
        <v>35204.732465687644</v>
      </c>
      <c r="F30" s="25">
        <f t="shared" si="8"/>
        <v>35197.403318598052</v>
      </c>
      <c r="G30" s="25">
        <f t="shared" si="8"/>
        <v>35081.150562833587</v>
      </c>
      <c r="H30" s="25">
        <f t="shared" si="8"/>
        <v>34852.791015448864</v>
      </c>
      <c r="I30" s="25">
        <f t="shared" si="8"/>
        <v>34503.940488515946</v>
      </c>
      <c r="J30" s="25">
        <f t="shared" si="8"/>
        <v>34030.006848786696</v>
      </c>
      <c r="K30" s="26">
        <f t="shared" si="8"/>
        <v>33425.182850936893</v>
      </c>
      <c r="M30" s="1497"/>
      <c r="N30" s="1498"/>
    </row>
    <row r="31" spans="1:14" ht="13.15" customHeight="1">
      <c r="A31" s="24" t="str">
        <f>IF('Part III-Sources of Funds'!$E$32 = "Neither", "", "DCR Mortgage A")</f>
        <v>DCR Mortgage A</v>
      </c>
      <c r="B31" s="27">
        <f>IF(B23=0,"",-B22/B23)</f>
        <v>1.3118354652510351</v>
      </c>
      <c r="C31" s="27">
        <f t="shared" ref="C31:K31" si="9">IF(C23=0,"",-C22/C23)</f>
        <v>1.3139368427197493</v>
      </c>
      <c r="D31" s="27">
        <f t="shared" si="9"/>
        <v>1.3153541262969206</v>
      </c>
      <c r="E31" s="27">
        <f t="shared" si="9"/>
        <v>1.3160608367254818</v>
      </c>
      <c r="F31" s="27">
        <f t="shared" si="9"/>
        <v>1.3160072209239382</v>
      </c>
      <c r="G31" s="27">
        <f t="shared" si="9"/>
        <v>1.3151567829936088</v>
      </c>
      <c r="H31" s="27">
        <f t="shared" si="9"/>
        <v>1.3134862366089508</v>
      </c>
      <c r="I31" s="27">
        <f t="shared" si="9"/>
        <v>1.3109342478997947</v>
      </c>
      <c r="J31" s="27">
        <f t="shared" si="9"/>
        <v>1.307467223475002</v>
      </c>
      <c r="K31" s="28">
        <f t="shared" si="9"/>
        <v>1.3030426808862039</v>
      </c>
      <c r="M31" s="1497"/>
      <c r="N31" s="1498"/>
    </row>
    <row r="32" spans="1:14" ht="13.15" customHeight="1">
      <c r="A32" s="24" t="str">
        <f>IF('Part III-Sources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497"/>
      <c r="N32" s="1498"/>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497"/>
      <c r="N33" s="1498"/>
    </row>
    <row r="34" spans="1:14" ht="13.15" customHeight="1">
      <c r="A34" s="24" t="s">
        <v>1175</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497"/>
      <c r="N34" s="1498"/>
    </row>
    <row r="35" spans="1:14" ht="13.15" customHeight="1">
      <c r="A35" s="24" t="s">
        <v>1158</v>
      </c>
      <c r="B35" s="341">
        <f>IF(OR(B20="Choose mgt fee",B20="Choose One!"),"",(B14+B15+B16+B17+B18) / -(B19+B20+B21))</f>
        <v>1.5026859146756819</v>
      </c>
      <c r="C35" s="341">
        <f t="shared" ref="C35:K35" si="13">IF(OR(C20="Choose mgt fee",C20="Choose One!"),"",(C14+C15+C16+C17+C18) / -(C19+C20+C21))</f>
        <v>1.4891832773814848</v>
      </c>
      <c r="D35" s="341">
        <f t="shared" si="13"/>
        <v>1.4757911872192575</v>
      </c>
      <c r="E35" s="341">
        <f t="shared" si="13"/>
        <v>1.462513583080391</v>
      </c>
      <c r="F35" s="341">
        <f t="shared" si="13"/>
        <v>1.4493428725690758</v>
      </c>
      <c r="G35" s="341">
        <f t="shared" si="13"/>
        <v>1.4362794401211356</v>
      </c>
      <c r="H35" s="341">
        <f t="shared" si="13"/>
        <v>1.4233302573075117</v>
      </c>
      <c r="I35" s="341">
        <f t="shared" si="13"/>
        <v>1.41048502719751</v>
      </c>
      <c r="J35" s="341">
        <f t="shared" si="13"/>
        <v>1.3977472886845155</v>
      </c>
      <c r="K35" s="342">
        <f t="shared" si="13"/>
        <v>1.3851169975504143</v>
      </c>
      <c r="M35" s="1497"/>
      <c r="N35" s="1498"/>
    </row>
    <row r="36" spans="1:14" ht="13.15" customHeight="1">
      <c r="A36" s="564" t="s">
        <v>3416</v>
      </c>
      <c r="B36" s="1604">
        <f>IF('Part III-Sources of Funds'!$H$32="","",-FV('Part III-Sources of Funds'!$J$32/12,12,B23/12,'Part III-Sources of Funds'!$H$32))</f>
        <v>1876667.777466743</v>
      </c>
      <c r="C36" s="1604">
        <f>IF('Part III-Sources of Funds'!$H$32="","",-FV('Part III-Sources of Funds'!$J$32/12,12,C23/12,B36))</f>
        <v>1851896.4745016992</v>
      </c>
      <c r="D36" s="1604">
        <f>IF('Part III-Sources of Funds'!$H$32="","",-FV('Part III-Sources of Funds'!$J$32/12,12,D23/12,C36))</f>
        <v>1825597.3317727391</v>
      </c>
      <c r="E36" s="1604">
        <f>IF('Part III-Sources of Funds'!$H$32="","",-FV('Part III-Sources of Funds'!$J$32/12,12,E23/12,D36))</f>
        <v>1797676.1154663444</v>
      </c>
      <c r="F36" s="1604">
        <f>IF('Part III-Sources of Funds'!$H$32="","",-FV('Part III-Sources of Funds'!$J$32/12,12,F23/12,E36))</f>
        <v>1768032.7796335761</v>
      </c>
      <c r="G36" s="1604">
        <f>IF('Part III-Sources of Funds'!$H$32="","",-FV('Part III-Sources of Funds'!$J$32/12,12,G23/12,F36))</f>
        <v>1736561.1077102781</v>
      </c>
      <c r="H36" s="1604">
        <f>IF('Part III-Sources of Funds'!$H$32="","",-FV('Part III-Sources of Funds'!$J$32/12,12,H23/12,G36))</f>
        <v>1703148.3319270338</v>
      </c>
      <c r="I36" s="1604">
        <f>IF('Part III-Sources of Funds'!$H$32="","",-FV('Part III-Sources of Funds'!$J$32/12,12,I23/12,H36))</f>
        <v>1667674.72924516</v>
      </c>
      <c r="J36" s="1604">
        <f>IF('Part III-Sources of Funds'!$H$32="","",-FV('Part III-Sources of Funds'!$J$32/12,12,J23/12,I36))</f>
        <v>1630013.1923709176</v>
      </c>
      <c r="K36" s="1604">
        <f>IF('Part III-Sources of Funds'!$H$32="","",-FV('Part III-Sources of Funds'!$J$32/12,12,K23/12,J36))</f>
        <v>1590028.7743108179</v>
      </c>
      <c r="M36" s="1497"/>
      <c r="N36" s="1498"/>
    </row>
    <row r="37" spans="1:14" ht="13.15" customHeight="1">
      <c r="A37" s="564" t="s">
        <v>3417</v>
      </c>
      <c r="B37" s="1601">
        <f>IF('Part III-Sources of Funds'!$H$33="","",-FV('Part III-Sources of Funds'!$J$33/12,12,B24/12,'Part III-Sources of Funds'!$H$33))</f>
        <v>1665595.0220539775</v>
      </c>
      <c r="C37" s="1601">
        <f>IF('Part III-Sources of Funds'!$H$33="","",-FV('Part III-Sources of Funds'!$J$33/12,12,C24/12,B37))</f>
        <v>1707204.1707636858</v>
      </c>
      <c r="D37" s="1601">
        <f>IF('Part III-Sources of Funds'!$H$33="","",-FV('Part III-Sources of Funds'!$J$33/12,12,D24/12,C37))</f>
        <v>1749852.7805869437</v>
      </c>
      <c r="E37" s="1601">
        <f>IF('Part III-Sources of Funds'!$H$33="","",-FV('Part III-Sources of Funds'!$J$33/12,12,E24/12,D37))</f>
        <v>1793566.8188756455</v>
      </c>
      <c r="F37" s="1601">
        <f>IF('Part III-Sources of Funds'!$H$33="","",-FV('Part III-Sources of Funds'!$J$33/12,12,F24/12,E37))</f>
        <v>1838372.9016864386</v>
      </c>
      <c r="G37" s="1601">
        <f>IF('Part III-Sources of Funds'!$H$33="","",-FV('Part III-Sources of Funds'!$J$33/12,12,G24/12,F37))</f>
        <v>1884298.3099863741</v>
      </c>
      <c r="H37" s="1601">
        <f>IF('Part III-Sources of Funds'!$H$33="","",-FV('Part III-Sources of Funds'!$J$33/12,12,H24/12,G37))</f>
        <v>1931371.0062634014</v>
      </c>
      <c r="I37" s="1601">
        <f>IF('Part III-Sources of Funds'!$H$33="","",-FV('Part III-Sources of Funds'!$J$33/12,12,I24/12,H37))</f>
        <v>1979619.6515518168</v>
      </c>
      <c r="J37" s="1601">
        <f>IF('Part III-Sources of Funds'!$H$33="","",-FV('Part III-Sources of Funds'!$J$33/12,12,J24/12,I37))</f>
        <v>2029073.6228830372</v>
      </c>
      <c r="K37" s="1601">
        <f>IF('Part III-Sources of Funds'!$H$33="","",-FV('Part III-Sources of Funds'!$J$33/12,12,K24/12,J37))</f>
        <v>2079763.0311723177</v>
      </c>
      <c r="M37" s="1497"/>
      <c r="N37" s="1498"/>
    </row>
    <row r="38" spans="1:14" ht="13.15" customHeight="1">
      <c r="A38" s="564" t="s">
        <v>3418</v>
      </c>
      <c r="B38" s="1601" t="str">
        <f>IF('Part III-Sources of Funds'!$H$34="","",-FV('Part III-Sources of Funds'!$J$34/12,12,B25/12,'Part III-Sources of Funds'!$H$34))</f>
        <v/>
      </c>
      <c r="C38" s="1601" t="str">
        <f>IF('Part III-Sources of Funds'!$H$34="","",-FV('Part III-Sources of Funds'!$J$34/12,12,C25/12,B38))</f>
        <v/>
      </c>
      <c r="D38" s="1601" t="str">
        <f>IF('Part III-Sources of Funds'!$H$34="","",-FV('Part III-Sources of Funds'!$J$34/12,12,D25/12,C38))</f>
        <v/>
      </c>
      <c r="E38" s="1601" t="str">
        <f>IF('Part III-Sources of Funds'!$H$34="","",-FV('Part III-Sources of Funds'!$J$34/12,12,E25/12,D38))</f>
        <v/>
      </c>
      <c r="F38" s="1601" t="str">
        <f>IF('Part III-Sources of Funds'!$H$34="","",-FV('Part III-Sources of Funds'!$J$34/12,12,F25/12,E38))</f>
        <v/>
      </c>
      <c r="G38" s="1601" t="str">
        <f>IF('Part III-Sources of Funds'!$H$34="","",-FV('Part III-Sources of Funds'!$J$34/12,12,G25/12,F38))</f>
        <v/>
      </c>
      <c r="H38" s="1601" t="str">
        <f>IF('Part III-Sources of Funds'!$H$34="","",-FV('Part III-Sources of Funds'!$J$34/12,12,H25/12,G38))</f>
        <v/>
      </c>
      <c r="I38" s="1601" t="str">
        <f>IF('Part III-Sources of Funds'!$H$34="","",-FV('Part III-Sources of Funds'!$J$34/12,12,I25/12,H38))</f>
        <v/>
      </c>
      <c r="J38" s="1601" t="str">
        <f>IF('Part III-Sources of Funds'!$H$34="","",-FV('Part III-Sources of Funds'!$J$34/12,12,J25/12,I38))</f>
        <v/>
      </c>
      <c r="K38" s="1601" t="str">
        <f>IF('Part III-Sources of Funds'!$H$34="","",-FV('Part III-Sources of Funds'!$J$34/12,12,K25/12,J38))</f>
        <v/>
      </c>
      <c r="M38" s="1497"/>
      <c r="N38" s="1498"/>
    </row>
    <row r="39" spans="1:14" ht="13.15" customHeight="1">
      <c r="A39" s="24" t="s">
        <v>1176</v>
      </c>
      <c r="B39" s="1601" t="str">
        <f>IF('Part III-Sources of Funds'!$H$35="","",-FV('Part III-Sources of Funds'!$J$35/12,12,B24/12,'Part III-Sources of Funds'!$H$35))</f>
        <v/>
      </c>
      <c r="C39" s="1601" t="str">
        <f>IF('Part III-Sources of Funds'!$H$35="","",-FV('Part III-Sources of Funds'!$J$35/12,12,C26/12,B39))</f>
        <v/>
      </c>
      <c r="D39" s="1601" t="str">
        <f>IF('Part III-Sources of Funds'!$H$35="","",-FV('Part III-Sources of Funds'!$J$35/12,12,D26/12,C39))</f>
        <v/>
      </c>
      <c r="E39" s="1601" t="str">
        <f>IF('Part III-Sources of Funds'!$H$35="","",-FV('Part III-Sources of Funds'!$J$35/12,12,E26/12,D39))</f>
        <v/>
      </c>
      <c r="F39" s="1601" t="str">
        <f>IF('Part III-Sources of Funds'!$H$35="","",-FV('Part III-Sources of Funds'!$J$35/12,12,F26/12,E39))</f>
        <v/>
      </c>
      <c r="G39" s="1601" t="str">
        <f>IF('Part III-Sources of Funds'!$H$35="","",-FV('Part III-Sources of Funds'!$J$35/12,12,G26/12,F39))</f>
        <v/>
      </c>
      <c r="H39" s="1601" t="str">
        <f>IF('Part III-Sources of Funds'!$H$35="","",-FV('Part III-Sources of Funds'!$J$35/12,12,H26/12,G39))</f>
        <v/>
      </c>
      <c r="I39" s="1601" t="str">
        <f>IF('Part III-Sources of Funds'!$H$35="","",-FV('Part III-Sources of Funds'!$J$35/12,12,I26/12,H39))</f>
        <v/>
      </c>
      <c r="J39" s="1601" t="str">
        <f>IF('Part III-Sources of Funds'!$H$35="","",-FV('Part III-Sources of Funds'!$J$35/12,12,J26/12,I39))</f>
        <v/>
      </c>
      <c r="K39" s="1601" t="str">
        <f>IF('Part III-Sources of Funds'!$H$35="","",-FV('Part III-Sources of Funds'!$J$35/12,12,K26/12,J39))</f>
        <v/>
      </c>
      <c r="M39" s="1497"/>
      <c r="N39" s="1498"/>
    </row>
    <row r="40" spans="1:14" ht="13.15" customHeight="1">
      <c r="A40" s="29" t="s">
        <v>1659</v>
      </c>
      <c r="B40" s="1603" t="str">
        <f>IF('Part III-Sources of Funds'!$H$37="","",-FV('Part III-Sources of Funds'!$J$37/12,12,B29/12,'Part III-Sources of Funds'!$H$37))</f>
        <v/>
      </c>
      <c r="C40" s="1603" t="str">
        <f>IF('Part III-Sources of Funds'!$H$37="","",-FV('Part III-Sources of Funds'!$J$37/12,12,C29/12,B40))</f>
        <v/>
      </c>
      <c r="D40" s="1603" t="str">
        <f>IF('Part III-Sources of Funds'!$H$37="","",-FV('Part III-Sources of Funds'!$J$37/12,12,D29/12,C40))</f>
        <v/>
      </c>
      <c r="E40" s="1603" t="str">
        <f>IF('Part III-Sources of Funds'!$H$37="","",-FV('Part III-Sources of Funds'!$J$37/12,12,E29/12,D40))</f>
        <v/>
      </c>
      <c r="F40" s="1603" t="str">
        <f>IF('Part III-Sources of Funds'!$H$37="","",-FV('Part III-Sources of Funds'!$J$37/12,12,F29/12,E40))</f>
        <v/>
      </c>
      <c r="G40" s="1603" t="str">
        <f>IF('Part III-Sources of Funds'!$H$37="","",-FV('Part III-Sources of Funds'!$J$37/12,12,G29/12,F40))</f>
        <v/>
      </c>
      <c r="H40" s="1603" t="str">
        <f>IF('Part III-Sources of Funds'!$H$37="","",-FV('Part III-Sources of Funds'!$J$37/12,12,H29/12,G40))</f>
        <v/>
      </c>
      <c r="I40" s="1603" t="str">
        <f>IF('Part III-Sources of Funds'!$H$37="","",-FV('Part III-Sources of Funds'!$J$37/12,12,I29/12,H40))</f>
        <v/>
      </c>
      <c r="J40" s="1603" t="str">
        <f>IF('Part III-Sources of Funds'!$H$37="","",-FV('Part III-Sources of Funds'!$J$37/12,12,J29/12,I40))</f>
        <v/>
      </c>
      <c r="K40" s="1603" t="str">
        <f>IF('Part III-Sources of Funds'!$H$37="","",-FV('Part III-Sources of Funds'!$J$37/12,12,K29/12,J40))</f>
        <v/>
      </c>
      <c r="M40" s="1500"/>
      <c r="N40" s="1501"/>
    </row>
    <row r="41" spans="1:14" ht="4.1500000000000004" customHeight="1">
      <c r="B41" s="20"/>
      <c r="C41" s="20"/>
      <c r="D41" s="20"/>
      <c r="E41" s="20"/>
      <c r="F41" s="20"/>
      <c r="G41" s="20"/>
      <c r="H41" s="20"/>
      <c r="I41" s="20"/>
      <c r="J41" s="20"/>
      <c r="K41" s="20"/>
    </row>
    <row r="42" spans="1:14" ht="14.45" customHeight="1">
      <c r="A42" s="16" t="s">
        <v>3261</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906" t="s">
        <v>3421</v>
      </c>
      <c r="N42" s="906"/>
    </row>
    <row r="43" spans="1:14" ht="13.15" customHeight="1">
      <c r="A43" s="21" t="s">
        <v>3166</v>
      </c>
      <c r="B43" s="22">
        <f t="shared" ref="B43:K43" si="15">$B$14*(1+$B$5)^(B42-1)</f>
        <v>688858.62271671719</v>
      </c>
      <c r="C43" s="22">
        <f t="shared" si="15"/>
        <v>702635.7951710514</v>
      </c>
      <c r="D43" s="22">
        <f t="shared" si="15"/>
        <v>716688.51107447257</v>
      </c>
      <c r="E43" s="22">
        <f t="shared" si="15"/>
        <v>731022.28129596193</v>
      </c>
      <c r="F43" s="22">
        <f t="shared" si="15"/>
        <v>745642.72692188132</v>
      </c>
      <c r="G43" s="22">
        <f t="shared" si="15"/>
        <v>760555.58146031876</v>
      </c>
      <c r="H43" s="22">
        <f t="shared" si="15"/>
        <v>775766.69308952522</v>
      </c>
      <c r="I43" s="22">
        <f t="shared" si="15"/>
        <v>791282.02695131581</v>
      </c>
      <c r="J43" s="22">
        <f t="shared" si="15"/>
        <v>807107.66749034205</v>
      </c>
      <c r="K43" s="23">
        <f t="shared" si="15"/>
        <v>823249.82084014884</v>
      </c>
      <c r="M43" s="1495"/>
      <c r="N43" s="1496"/>
    </row>
    <row r="44" spans="1:14" ht="13.15" customHeight="1">
      <c r="A44" s="24" t="s">
        <v>1418</v>
      </c>
      <c r="B44" s="25">
        <f t="shared" ref="B44:K44" si="16">$B$15*(1+$B$5)^(B42-1)</f>
        <v>13777.172454334344</v>
      </c>
      <c r="C44" s="25">
        <f t="shared" si="16"/>
        <v>14052.715903421029</v>
      </c>
      <c r="D44" s="25">
        <f t="shared" si="16"/>
        <v>14333.770221489451</v>
      </c>
      <c r="E44" s="25">
        <f t="shared" si="16"/>
        <v>14620.445625919239</v>
      </c>
      <c r="F44" s="25">
        <f t="shared" si="16"/>
        <v>14912.854538437627</v>
      </c>
      <c r="G44" s="25">
        <f t="shared" si="16"/>
        <v>15211.111629206374</v>
      </c>
      <c r="H44" s="25">
        <f t="shared" si="16"/>
        <v>15515.333861790505</v>
      </c>
      <c r="I44" s="25">
        <f t="shared" si="16"/>
        <v>15825.640539026315</v>
      </c>
      <c r="J44" s="25">
        <f t="shared" si="16"/>
        <v>16142.15334980684</v>
      </c>
      <c r="K44" s="26">
        <f t="shared" si="16"/>
        <v>16464.996416802976</v>
      </c>
      <c r="M44" s="1497"/>
      <c r="N44" s="1498"/>
    </row>
    <row r="45" spans="1:14" ht="13.15" customHeight="1">
      <c r="A45" s="24" t="s">
        <v>3167</v>
      </c>
      <c r="B45" s="25">
        <f t="shared" ref="B45:K45" si="17">-(B43+B44)*$B$8</f>
        <v>-49184.505661973613</v>
      </c>
      <c r="C45" s="25">
        <f t="shared" si="17"/>
        <v>-50168.195775213077</v>
      </c>
      <c r="D45" s="25">
        <f t="shared" si="17"/>
        <v>-51171.559690717346</v>
      </c>
      <c r="E45" s="25">
        <f t="shared" si="17"/>
        <v>-52194.99088453169</v>
      </c>
      <c r="F45" s="25">
        <f t="shared" si="17"/>
        <v>-53238.890702222336</v>
      </c>
      <c r="G45" s="25">
        <f t="shared" si="17"/>
        <v>-54303.668516266764</v>
      </c>
      <c r="H45" s="25">
        <f t="shared" si="17"/>
        <v>-55389.741886592106</v>
      </c>
      <c r="I45" s="25">
        <f t="shared" si="17"/>
        <v>-56497.53672432396</v>
      </c>
      <c r="J45" s="25">
        <f t="shared" si="17"/>
        <v>-57627.487458810421</v>
      </c>
      <c r="K45" s="26">
        <f t="shared" si="17"/>
        <v>-58780.037207986636</v>
      </c>
      <c r="M45" s="1497"/>
      <c r="N45" s="1498"/>
    </row>
    <row r="46" spans="1:14" ht="13.15" customHeight="1">
      <c r="A46" s="24" t="s">
        <v>56</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497"/>
      <c r="N46" s="1498"/>
    </row>
    <row r="47" spans="1:14" ht="13.15" customHeight="1">
      <c r="A47" s="24" t="s">
        <v>57</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497"/>
      <c r="N47" s="1498"/>
    </row>
    <row r="48" spans="1:14" ht="13.15" customHeight="1">
      <c r="A48" s="24" t="s">
        <v>794</v>
      </c>
      <c r="B48" s="25">
        <f t="shared" ref="B48:K48" si="18">$B$19*(1+$B$6)^(B42-1)</f>
        <v>-416520.00345012365</v>
      </c>
      <c r="C48" s="25">
        <f t="shared" si="18"/>
        <v>-429015.60355362738</v>
      </c>
      <c r="D48" s="25">
        <f t="shared" si="18"/>
        <v>-441886.07166023616</v>
      </c>
      <c r="E48" s="25">
        <f t="shared" si="18"/>
        <v>-455142.65381004318</v>
      </c>
      <c r="F48" s="25">
        <f t="shared" si="18"/>
        <v>-468796.93342434458</v>
      </c>
      <c r="G48" s="25">
        <f t="shared" si="18"/>
        <v>-482860.84142707492</v>
      </c>
      <c r="H48" s="25">
        <f t="shared" si="18"/>
        <v>-497346.66666988708</v>
      </c>
      <c r="I48" s="25">
        <f t="shared" si="18"/>
        <v>-512267.06666998367</v>
      </c>
      <c r="J48" s="25">
        <f t="shared" si="18"/>
        <v>-527635.0786700832</v>
      </c>
      <c r="K48" s="26">
        <f t="shared" si="18"/>
        <v>-543464.13103018573</v>
      </c>
      <c r="M48" s="1497"/>
      <c r="N48" s="1498"/>
    </row>
    <row r="49" spans="1:14" ht="13.15" customHeight="1">
      <c r="A49" s="24" t="s">
        <v>1523</v>
      </c>
      <c r="B49" s="25">
        <f>IF(AND('Part VII-Pro Forma'!$G$8="Yes",'Part VII-Pro Forma'!$G$9="Yes"),"Choose One!",IF('Part VII-Pro Forma'!$G$8="Yes",ROUND((-$K$8*(1+'Part VII-Pro Forma'!$B$6)^('Part VII-Pro Forma'!B42-1)),),IF('Part VII-Pro Forma'!$G$9="Yes",ROUND((-(SUM(B43:B46)*'Part VII-Pro Forma'!$K$9)),),"Choose mgt fee")))</f>
        <v>-32673</v>
      </c>
      <c r="C49" s="25">
        <f>IF(AND('Part VII-Pro Forma'!$G$8="Yes",'Part VII-Pro Forma'!$G$9="Yes"),"Choose One!",IF('Part VII-Pro Forma'!$G$8="Yes",ROUND((-$K$8*(1+'Part VII-Pro Forma'!$B$6)^('Part VII-Pro Forma'!C42-1)),),IF('Part VII-Pro Forma'!$G$9="Yes",ROUND((-(SUM(C43:C46)*'Part VII-Pro Forma'!$K$9)),),"Choose mgt fee")))</f>
        <v>-33326</v>
      </c>
      <c r="D49" s="25">
        <f>IF(AND('Part VII-Pro Forma'!$G$8="Yes",'Part VII-Pro Forma'!$G$9="Yes"),"Choose One!",IF('Part VII-Pro Forma'!$G$8="Yes",ROUND((-$K$8*(1+'Part VII-Pro Forma'!$B$6)^('Part VII-Pro Forma'!D42-1)),),IF('Part VII-Pro Forma'!$G$9="Yes",ROUND((-(SUM(D43:D46)*'Part VII-Pro Forma'!$K$9)),),"Choose mgt fee")))</f>
        <v>-33993</v>
      </c>
      <c r="E49" s="25">
        <f>IF(AND('Part VII-Pro Forma'!$G$8="Yes",'Part VII-Pro Forma'!$G$9="Yes"),"Choose One!",IF('Part VII-Pro Forma'!$G$8="Yes",ROUND((-$K$8*(1+'Part VII-Pro Forma'!$B$6)^('Part VII-Pro Forma'!E42-1)),),IF('Part VII-Pro Forma'!$G$9="Yes",ROUND((-(SUM(E43:E46)*'Part VII-Pro Forma'!$K$9)),),"Choose mgt fee")))</f>
        <v>-34672</v>
      </c>
      <c r="F49" s="25">
        <f>IF(AND('Part VII-Pro Forma'!$G$8="Yes",'Part VII-Pro Forma'!$G$9="Yes"),"Choose One!",IF('Part VII-Pro Forma'!$G$8="Yes",ROUND((-$K$8*(1+'Part VII-Pro Forma'!$B$6)^('Part VII-Pro Forma'!F42-1)),),IF('Part VII-Pro Forma'!$G$9="Yes",ROUND((-(SUM(F43:F46)*'Part VII-Pro Forma'!$K$9)),),"Choose mgt fee")))</f>
        <v>-35366</v>
      </c>
      <c r="G49" s="25">
        <f>IF(AND('Part VII-Pro Forma'!$G$8="Yes",'Part VII-Pro Forma'!$G$9="Yes"),"Choose One!",IF('Part VII-Pro Forma'!$G$8="Yes",ROUND((-$K$8*(1+'Part VII-Pro Forma'!$B$6)^('Part VII-Pro Forma'!G42-1)),),IF('Part VII-Pro Forma'!$G$9="Yes",ROUND((-(SUM(G43:G46)*'Part VII-Pro Forma'!$K$9)),),"Choose mgt fee")))</f>
        <v>-36073</v>
      </c>
      <c r="H49" s="25">
        <f>IF(AND('Part VII-Pro Forma'!$G$8="Yes",'Part VII-Pro Forma'!$G$9="Yes"),"Choose One!",IF('Part VII-Pro Forma'!$G$8="Yes",ROUND((-$K$8*(1+'Part VII-Pro Forma'!$B$6)^('Part VII-Pro Forma'!H42-1)),),IF('Part VII-Pro Forma'!$G$9="Yes",ROUND((-(SUM(H43:H46)*'Part VII-Pro Forma'!$K$9)),),"Choose mgt fee")))</f>
        <v>-36795</v>
      </c>
      <c r="I49" s="25">
        <f>IF(AND('Part VII-Pro Forma'!$G$8="Yes",'Part VII-Pro Forma'!$G$9="Yes"),"Choose One!",IF('Part VII-Pro Forma'!$G$8="Yes",ROUND((-$K$8*(1+'Part VII-Pro Forma'!$B$6)^('Part VII-Pro Forma'!I42-1)),),IF('Part VII-Pro Forma'!$G$9="Yes",ROUND((-(SUM(I43:I46)*'Part VII-Pro Forma'!$K$9)),),"Choose mgt fee")))</f>
        <v>-37531</v>
      </c>
      <c r="J49" s="25">
        <f>IF(AND('Part VII-Pro Forma'!$G$8="Yes",'Part VII-Pro Forma'!$G$9="Yes"),"Choose One!",IF('Part VII-Pro Forma'!$G$8="Yes",ROUND((-$K$8*(1+'Part VII-Pro Forma'!$B$6)^('Part VII-Pro Forma'!J42-1)),),IF('Part VII-Pro Forma'!$G$9="Yes",ROUND((-(SUM(J43:J46)*'Part VII-Pro Forma'!$K$9)),),"Choose mgt fee")))</f>
        <v>-38281</v>
      </c>
      <c r="K49" s="25">
        <f>IF(AND('Part VII-Pro Forma'!$G$8="Yes",'Part VII-Pro Forma'!$G$9="Yes"),"Choose One!",IF('Part VII-Pro Forma'!$G$8="Yes",ROUND((-$K$8*(1+'Part VII-Pro Forma'!$B$6)^('Part VII-Pro Forma'!K42-1)),),IF('Part VII-Pro Forma'!$G$9="Yes",ROUND((-(SUM(K43:K46)*'Part VII-Pro Forma'!$K$9)),),"Choose mgt fee")))</f>
        <v>-39047</v>
      </c>
      <c r="M49" s="1497"/>
      <c r="N49" s="1498"/>
    </row>
    <row r="50" spans="1:14" ht="13.15" customHeight="1">
      <c r="A50" s="24" t="s">
        <v>1622</v>
      </c>
      <c r="B50" s="25">
        <f t="shared" ref="B50:K50" si="19">$B$21*(1+$B$7)^(B42-1)</f>
        <v>-26878.327586882435</v>
      </c>
      <c r="C50" s="25">
        <f t="shared" si="19"/>
        <v>-27684.67741448891</v>
      </c>
      <c r="D50" s="25">
        <f t="shared" si="19"/>
        <v>-28515.217736923572</v>
      </c>
      <c r="E50" s="25">
        <f t="shared" si="19"/>
        <v>-29370.674269031279</v>
      </c>
      <c r="F50" s="25">
        <f t="shared" si="19"/>
        <v>-30251.794497102219</v>
      </c>
      <c r="G50" s="25">
        <f t="shared" si="19"/>
        <v>-31159.348332015288</v>
      </c>
      <c r="H50" s="25">
        <f t="shared" si="19"/>
        <v>-32094.128781975742</v>
      </c>
      <c r="I50" s="25">
        <f t="shared" si="19"/>
        <v>-33056.952645435013</v>
      </c>
      <c r="J50" s="25">
        <f t="shared" si="19"/>
        <v>-34048.661224798067</v>
      </c>
      <c r="K50" s="26">
        <f t="shared" si="19"/>
        <v>-35070.121061542006</v>
      </c>
      <c r="M50" s="1497"/>
      <c r="N50" s="1498"/>
    </row>
    <row r="51" spans="1:14" ht="13.15" customHeight="1">
      <c r="A51" s="24" t="s">
        <v>1623</v>
      </c>
      <c r="B51" s="25">
        <f t="shared" ref="B51:K51" si="20">SUM(B43:B50)</f>
        <v>177379.95847207183</v>
      </c>
      <c r="C51" s="25">
        <f t="shared" si="20"/>
        <v>176494.03433114308</v>
      </c>
      <c r="D51" s="25">
        <f t="shared" si="20"/>
        <v>175456.43220808494</v>
      </c>
      <c r="E51" s="25">
        <f t="shared" si="20"/>
        <v>174262.40795827511</v>
      </c>
      <c r="F51" s="25">
        <f t="shared" si="20"/>
        <v>172901.96283664985</v>
      </c>
      <c r="G51" s="25">
        <f t="shared" si="20"/>
        <v>171369.83481416816</v>
      </c>
      <c r="H51" s="25">
        <f t="shared" si="20"/>
        <v>169656.48961286075</v>
      </c>
      <c r="I51" s="25">
        <f t="shared" si="20"/>
        <v>167755.11145059951</v>
      </c>
      <c r="J51" s="25">
        <f t="shared" si="20"/>
        <v>165657.59348645713</v>
      </c>
      <c r="K51" s="26">
        <f t="shared" si="20"/>
        <v>163353.5279572375</v>
      </c>
      <c r="M51" s="1497"/>
      <c r="N51" s="1498"/>
    </row>
    <row r="52" spans="1:14" ht="13.15" customHeight="1">
      <c r="A52" s="24" t="str">
        <f>$A23</f>
        <v>Mortgage A</v>
      </c>
      <c r="B52" s="1600">
        <f>IF('Part III-Sources of Funds'!$M$32="", 0,-'Part III-Sources of Funds'!$M$32)</f>
        <v>-136697.51973482751</v>
      </c>
      <c r="C52" s="1600">
        <f>IF('Part III-Sources of Funds'!$M$32="", 0,-'Part III-Sources of Funds'!$M$32)</f>
        <v>-136697.51973482751</v>
      </c>
      <c r="D52" s="1600">
        <f>IF('Part III-Sources of Funds'!$M$32="", 0,-'Part III-Sources of Funds'!$M$32)</f>
        <v>-136697.51973482751</v>
      </c>
      <c r="E52" s="1600">
        <f>IF('Part III-Sources of Funds'!$M$32="", 0,-'Part III-Sources of Funds'!$M$32)</f>
        <v>-136697.51973482751</v>
      </c>
      <c r="F52" s="1600">
        <f>IF('Part III-Sources of Funds'!$M$32="", 0,-'Part III-Sources of Funds'!$M$32)</f>
        <v>-136697.51973482751</v>
      </c>
      <c r="G52" s="1600">
        <f>IF('Part III-Sources of Funds'!$M$32="", 0,-'Part III-Sources of Funds'!$M$32)</f>
        <v>-136697.51973482751</v>
      </c>
      <c r="H52" s="1600">
        <f>IF('Part III-Sources of Funds'!$M$32="", 0,-'Part III-Sources of Funds'!$M$32)</f>
        <v>-136697.51973482751</v>
      </c>
      <c r="I52" s="1600">
        <f>IF('Part III-Sources of Funds'!$M$32="", 0,-'Part III-Sources of Funds'!$M$32)</f>
        <v>-136697.51973482751</v>
      </c>
      <c r="J52" s="1600">
        <f>IF('Part III-Sources of Funds'!$M$32="", 0,-'Part III-Sources of Funds'!$M$32)</f>
        <v>-136697.51973482751</v>
      </c>
      <c r="K52" s="1600">
        <f>IF('Part III-Sources of Funds'!$M$32="", 0,-'Part III-Sources of Funds'!$M$32)</f>
        <v>-136697.51973482751</v>
      </c>
      <c r="M52" s="1497"/>
      <c r="N52" s="1498"/>
    </row>
    <row r="53" spans="1:14" ht="13.15" customHeight="1">
      <c r="A53" s="24" t="str">
        <f>$A24</f>
        <v>Mortgage B</v>
      </c>
      <c r="B53" s="1601">
        <f>IF('Part III-Sources of Funds'!$M$33="", 0,-'Part III-Sources of Funds'!$M$33)</f>
        <v>0</v>
      </c>
      <c r="C53" s="1601">
        <f>IF('Part III-Sources of Funds'!$M$33="", 0,-'Part III-Sources of Funds'!$M$33)</f>
        <v>0</v>
      </c>
      <c r="D53" s="1601">
        <f>IF('Part III-Sources of Funds'!$M$33="", 0,-'Part III-Sources of Funds'!$M$33)</f>
        <v>0</v>
      </c>
      <c r="E53" s="1601">
        <f>IF('Part III-Sources of Funds'!$M$33="", 0,-'Part III-Sources of Funds'!$M$33)</f>
        <v>0</v>
      </c>
      <c r="F53" s="1601">
        <f>IF('Part III-Sources of Funds'!$M$33="", 0,-'Part III-Sources of Funds'!$M$33)</f>
        <v>0</v>
      </c>
      <c r="G53" s="1601">
        <f>IF('Part III-Sources of Funds'!$M$33="", 0,-'Part III-Sources of Funds'!$M$33)</f>
        <v>0</v>
      </c>
      <c r="H53" s="1601">
        <f>IF('Part III-Sources of Funds'!$M$33="", 0,-'Part III-Sources of Funds'!$M$33)</f>
        <v>0</v>
      </c>
      <c r="I53" s="1601">
        <f>IF('Part III-Sources of Funds'!$M$33="", 0,-'Part III-Sources of Funds'!$M$33)</f>
        <v>0</v>
      </c>
      <c r="J53" s="1601">
        <f>IF('Part III-Sources of Funds'!$M$33="", 0,-'Part III-Sources of Funds'!$M$33)</f>
        <v>0</v>
      </c>
      <c r="K53" s="1601">
        <f>IF('Part III-Sources of Funds'!$M$33="", 0,-'Part III-Sources of Funds'!$M$33)</f>
        <v>0</v>
      </c>
      <c r="M53" s="1497"/>
      <c r="N53" s="1498"/>
    </row>
    <row r="54" spans="1:14" ht="13.15" customHeight="1">
      <c r="A54" s="24" t="str">
        <f>$A25</f>
        <v>Mortgage C</v>
      </c>
      <c r="B54" s="1601">
        <f>IF('Part III-Sources of Funds'!$M$34="", 0,-'Part III-Sources of Funds'!$M$34)</f>
        <v>0</v>
      </c>
      <c r="C54" s="1601">
        <f>IF('Part III-Sources of Funds'!$M$34="", 0,-'Part III-Sources of Funds'!$M$34)</f>
        <v>0</v>
      </c>
      <c r="D54" s="1601">
        <f>IF('Part III-Sources of Funds'!$M$34="", 0,-'Part III-Sources of Funds'!$M$34)</f>
        <v>0</v>
      </c>
      <c r="E54" s="1601">
        <f>IF('Part III-Sources of Funds'!$M$34="", 0,-'Part III-Sources of Funds'!$M$34)</f>
        <v>0</v>
      </c>
      <c r="F54" s="1601">
        <f>IF('Part III-Sources of Funds'!$M$34="", 0,-'Part III-Sources of Funds'!$M$34)</f>
        <v>0</v>
      </c>
      <c r="G54" s="1601">
        <f>IF('Part III-Sources of Funds'!$M$34="", 0,-'Part III-Sources of Funds'!$M$34)</f>
        <v>0</v>
      </c>
      <c r="H54" s="1601">
        <f>IF('Part III-Sources of Funds'!$M$34="", 0,-'Part III-Sources of Funds'!$M$34)</f>
        <v>0</v>
      </c>
      <c r="I54" s="1601">
        <f>IF('Part III-Sources of Funds'!$M$34="", 0,-'Part III-Sources of Funds'!$M$34)</f>
        <v>0</v>
      </c>
      <c r="J54" s="1601">
        <f>IF('Part III-Sources of Funds'!$M$34="", 0,-'Part III-Sources of Funds'!$M$34)</f>
        <v>0</v>
      </c>
      <c r="K54" s="1601">
        <f>IF('Part III-Sources of Funds'!$M$34="", 0,-'Part III-Sources of Funds'!$M$34)</f>
        <v>0</v>
      </c>
      <c r="M54" s="1497"/>
      <c r="N54" s="1498"/>
    </row>
    <row r="55" spans="1:14" ht="13.15" customHeight="1">
      <c r="A55" s="24" t="str">
        <f>$A26</f>
        <v>D/S Other Source</v>
      </c>
      <c r="B55" s="1601">
        <f>IF('Part III-Sources of Funds'!$M$35="", 0,-'Part III-Sources of Funds'!$M$35)</f>
        <v>0</v>
      </c>
      <c r="C55" s="1601">
        <f>IF('Part III-Sources of Funds'!$M$35="", 0,-'Part III-Sources of Funds'!$M$35)</f>
        <v>0</v>
      </c>
      <c r="D55" s="1601">
        <f>IF('Part III-Sources of Funds'!$M$35="", 0,-'Part III-Sources of Funds'!$M$35)</f>
        <v>0</v>
      </c>
      <c r="E55" s="1601">
        <f>IF('Part III-Sources of Funds'!$M$35="", 0,-'Part III-Sources of Funds'!$M$35)</f>
        <v>0</v>
      </c>
      <c r="F55" s="1601">
        <f>IF('Part III-Sources of Funds'!$M$35="", 0,-'Part III-Sources of Funds'!$M$35)</f>
        <v>0</v>
      </c>
      <c r="G55" s="1601">
        <f>IF('Part III-Sources of Funds'!$M$35="", 0,-'Part III-Sources of Funds'!$M$35)</f>
        <v>0</v>
      </c>
      <c r="H55" s="1601">
        <f>IF('Part III-Sources of Funds'!$M$35="", 0,-'Part III-Sources of Funds'!$M$35)</f>
        <v>0</v>
      </c>
      <c r="I55" s="1601">
        <f>IF('Part III-Sources of Funds'!$M$35="", 0,-'Part III-Sources of Funds'!$M$35)</f>
        <v>0</v>
      </c>
      <c r="J55" s="1601">
        <f>IF('Part III-Sources of Funds'!$M$35="", 0,-'Part III-Sources of Funds'!$M$35)</f>
        <v>0</v>
      </c>
      <c r="K55" s="1601">
        <f>IF('Part III-Sources of Funds'!$M$35="", 0,-'Part III-Sources of Funds'!$M$35)</f>
        <v>0</v>
      </c>
      <c r="M55" s="1497"/>
      <c r="N55" s="1498"/>
    </row>
    <row r="56" spans="1:14" ht="13.15" customHeight="1">
      <c r="A56" s="24" t="s">
        <v>1150</v>
      </c>
      <c r="B56" s="1602"/>
      <c r="C56" s="1602"/>
      <c r="D56" s="1602"/>
      <c r="E56" s="1602"/>
      <c r="F56" s="1602"/>
      <c r="G56" s="1602"/>
      <c r="H56" s="1602"/>
      <c r="I56" s="1602"/>
      <c r="J56" s="1602"/>
      <c r="K56" s="1602"/>
      <c r="M56" s="1497"/>
      <c r="N56" s="1498"/>
    </row>
    <row r="57" spans="1:14" ht="13.15" customHeight="1">
      <c r="A57" s="24" t="s">
        <v>1578</v>
      </c>
      <c r="B57" s="1601">
        <f>+K28</f>
        <v>-8000</v>
      </c>
      <c r="C57" s="1601">
        <f t="shared" ref="C57:K57" si="21">+B57</f>
        <v>-8000</v>
      </c>
      <c r="D57" s="1601">
        <f t="shared" si="21"/>
        <v>-8000</v>
      </c>
      <c r="E57" s="1601">
        <f t="shared" si="21"/>
        <v>-8000</v>
      </c>
      <c r="F57" s="1601">
        <f t="shared" si="21"/>
        <v>-8000</v>
      </c>
      <c r="G57" s="1601">
        <f t="shared" si="21"/>
        <v>-8000</v>
      </c>
      <c r="H57" s="1601">
        <f t="shared" si="21"/>
        <v>-8000</v>
      </c>
      <c r="I57" s="1601">
        <f t="shared" si="21"/>
        <v>-8000</v>
      </c>
      <c r="J57" s="1601">
        <f t="shared" si="21"/>
        <v>-8000</v>
      </c>
      <c r="K57" s="1601">
        <f t="shared" si="21"/>
        <v>-8000</v>
      </c>
      <c r="M57" s="1497"/>
      <c r="N57" s="1498"/>
    </row>
    <row r="58" spans="1:14" ht="13.15" customHeight="1">
      <c r="A58" s="24" t="s">
        <v>1624</v>
      </c>
      <c r="B58" s="1603">
        <f>IF('Part III-Sources of Funds'!$M$37="", 0,-'Part III-Sources of Funds'!$M$37)</f>
        <v>0</v>
      </c>
      <c r="C58" s="1603">
        <f>IF('Part III-Sources of Funds'!$M$37="", 0,-'Part III-Sources of Funds'!$M$37)</f>
        <v>0</v>
      </c>
      <c r="D58" s="1603">
        <f>IF('Part III-Sources of Funds'!$M$37="", 0,-'Part III-Sources of Funds'!$M$37)</f>
        <v>0</v>
      </c>
      <c r="E58" s="1603">
        <f>IF('Part III-Sources of Funds'!$M$37="", 0,-'Part III-Sources of Funds'!$M$37)</f>
        <v>0</v>
      </c>
      <c r="F58" s="1603">
        <f>IF('Part III-Sources of Funds'!$M$37="", 0,-'Part III-Sources of Funds'!$M$37)</f>
        <v>0</v>
      </c>
      <c r="G58" s="1603">
        <f>IF('Part III-Sources of Funds'!$M$37="", 0,-'Part III-Sources of Funds'!$M$37)</f>
        <v>0</v>
      </c>
      <c r="H58" s="1603">
        <f>IF('Part III-Sources of Funds'!$M$37="", 0,-'Part III-Sources of Funds'!$M$37)</f>
        <v>0</v>
      </c>
      <c r="I58" s="1603">
        <f>IF('Part III-Sources of Funds'!$M$37="", 0,-'Part III-Sources of Funds'!$M$37)</f>
        <v>0</v>
      </c>
      <c r="J58" s="1603">
        <f>IF('Part III-Sources of Funds'!$M$37="", 0,-'Part III-Sources of Funds'!$M$37)</f>
        <v>0</v>
      </c>
      <c r="K58" s="1601">
        <f>IF('Part III-Sources of Funds'!$M$37="", 0,-'Part III-Sources of Funds'!$M$37)</f>
        <v>0</v>
      </c>
      <c r="M58" s="1497"/>
      <c r="N58" s="1498"/>
    </row>
    <row r="59" spans="1:14" ht="13.15" customHeight="1">
      <c r="A59" s="24" t="s">
        <v>1579</v>
      </c>
      <c r="B59" s="25">
        <f t="shared" ref="B59:K59" si="22">SUM(B51:B58)</f>
        <v>32682.438737244316</v>
      </c>
      <c r="C59" s="25">
        <f t="shared" si="22"/>
        <v>31796.514596315566</v>
      </c>
      <c r="D59" s="25">
        <f t="shared" si="22"/>
        <v>30758.912473257427</v>
      </c>
      <c r="E59" s="25">
        <f t="shared" si="22"/>
        <v>29564.888223447604</v>
      </c>
      <c r="F59" s="25">
        <f t="shared" si="22"/>
        <v>28204.44310182234</v>
      </c>
      <c r="G59" s="25">
        <f t="shared" si="22"/>
        <v>26672.315079340653</v>
      </c>
      <c r="H59" s="25">
        <f t="shared" si="22"/>
        <v>24958.96987803324</v>
      </c>
      <c r="I59" s="25">
        <f t="shared" si="22"/>
        <v>23057.591715771996</v>
      </c>
      <c r="J59" s="25">
        <f t="shared" si="22"/>
        <v>20960.073751629621</v>
      </c>
      <c r="K59" s="23">
        <f t="shared" si="22"/>
        <v>18656.00822240999</v>
      </c>
      <c r="M59" s="1497"/>
      <c r="N59" s="1498"/>
    </row>
    <row r="60" spans="1:14" ht="13.15" customHeight="1">
      <c r="A60" s="24" t="str">
        <f>$A31</f>
        <v>DCR Mortgage A</v>
      </c>
      <c r="B60" s="27">
        <f>IF(B52=0,"",-B51/B52)</f>
        <v>1.2976091944913273</v>
      </c>
      <c r="C60" s="27">
        <f t="shared" ref="C60:K60" si="23">IF(C52=0,"",-C51/C52)</f>
        <v>1.2911282858205093</v>
      </c>
      <c r="D60" s="27">
        <f t="shared" si="23"/>
        <v>1.2835377887502557</v>
      </c>
      <c r="E60" s="27">
        <f t="shared" si="23"/>
        <v>1.2748029978621251</v>
      </c>
      <c r="F60" s="27">
        <f t="shared" si="23"/>
        <v>1.2648507681196666</v>
      </c>
      <c r="G60" s="27">
        <f t="shared" si="23"/>
        <v>1.2536426055615324</v>
      </c>
      <c r="H60" s="27">
        <f t="shared" si="23"/>
        <v>1.2411087629239261</v>
      </c>
      <c r="I60" s="27">
        <f t="shared" si="23"/>
        <v>1.2271993798864751</v>
      </c>
      <c r="J60" s="27">
        <f t="shared" si="23"/>
        <v>1.2118551514892719</v>
      </c>
      <c r="K60" s="28">
        <f t="shared" si="23"/>
        <v>1.1949999405557512</v>
      </c>
      <c r="M60" s="1497"/>
      <c r="N60" s="1498"/>
    </row>
    <row r="61" spans="1:14" ht="13.15" customHeight="1">
      <c r="A61" s="24" t="str">
        <f>$A32</f>
        <v>DCR Mortgage B</v>
      </c>
      <c r="B61" s="27" t="str">
        <f>IF(OR(B53=0,AND(B53=0,B52=0)),"",-B51/(B52+B53))</f>
        <v/>
      </c>
      <c r="C61" s="27" t="str">
        <f t="shared" ref="C61:K61" si="24">IF(OR(C53=0,AND(C53=0,C52=0)),"",-C51/(C52+C53))</f>
        <v/>
      </c>
      <c r="D61" s="27" t="str">
        <f t="shared" si="24"/>
        <v/>
      </c>
      <c r="E61" s="27" t="str">
        <f t="shared" si="24"/>
        <v/>
      </c>
      <c r="F61" s="27" t="str">
        <f t="shared" si="24"/>
        <v/>
      </c>
      <c r="G61" s="27" t="str">
        <f t="shared" si="24"/>
        <v/>
      </c>
      <c r="H61" s="27" t="str">
        <f t="shared" si="24"/>
        <v/>
      </c>
      <c r="I61" s="27" t="str">
        <f t="shared" si="24"/>
        <v/>
      </c>
      <c r="J61" s="27" t="str">
        <f t="shared" si="24"/>
        <v/>
      </c>
      <c r="K61" s="28" t="str">
        <f t="shared" si="24"/>
        <v/>
      </c>
      <c r="M61" s="1497"/>
      <c r="N61" s="1498"/>
    </row>
    <row r="62" spans="1:14" ht="13.1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497"/>
      <c r="N62" s="1498"/>
    </row>
    <row r="63" spans="1:14" ht="13.1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497"/>
      <c r="N63" s="1498"/>
    </row>
    <row r="64" spans="1:14" ht="13.15" customHeight="1">
      <c r="A64" s="24" t="s">
        <v>1158</v>
      </c>
      <c r="B64" s="341">
        <f>IF(OR(B49="Choose mgt fee",B49="Choose One!"),"",(B43+B44+B45+B46+B47) / -(B48+B49+B50))</f>
        <v>1.3725911368905424</v>
      </c>
      <c r="C64" s="341">
        <f t="shared" ref="C64:K64" si="27">IF(OR(C49="Choose mgt fee",C49="Choose One!"),"",(C43+C44+C45+C46+C47) / -(C48+C49+C50))</f>
        <v>1.3601725890751291</v>
      </c>
      <c r="D64" s="341">
        <f t="shared" si="27"/>
        <v>1.3478557071250477</v>
      </c>
      <c r="E64" s="341">
        <f t="shared" si="27"/>
        <v>1.3356458638826059</v>
      </c>
      <c r="F64" s="341">
        <f t="shared" si="27"/>
        <v>1.3235351755913145</v>
      </c>
      <c r="G64" s="341">
        <f t="shared" si="27"/>
        <v>1.3115287336845936</v>
      </c>
      <c r="H64" s="341">
        <f t="shared" si="27"/>
        <v>1.299621625788375</v>
      </c>
      <c r="I64" s="341">
        <f t="shared" si="27"/>
        <v>1.2878161908044183</v>
      </c>
      <c r="J64" s="341">
        <f t="shared" si="27"/>
        <v>1.2761122153869937</v>
      </c>
      <c r="K64" s="342">
        <f t="shared" si="27"/>
        <v>1.2645053220187052</v>
      </c>
      <c r="M64" s="1497"/>
      <c r="N64" s="1498"/>
    </row>
    <row r="65" spans="1:14" ht="13.15" customHeight="1">
      <c r="A65" s="564" t="s">
        <v>3416</v>
      </c>
      <c r="B65" s="1604">
        <f>IF('Part III-Sources of Funds'!$H$32="","",-FV('Part III-Sources of Funds'!$J$32/12,12,B52/12,K36))</f>
        <v>1547578.2048360959</v>
      </c>
      <c r="C65" s="1604">
        <f>IF('Part III-Sources of Funds'!$H$32="","",-FV('Part III-Sources of Funds'!$J$32/12,12,C52/12,B65))</f>
        <v>1502509.3771237712</v>
      </c>
      <c r="D65" s="1604">
        <f>IF('Part III-Sources of Funds'!$H$32="","",-FV('Part III-Sources of Funds'!$J$32/12,12,D52/12,C65))</f>
        <v>1454660.8027348523</v>
      </c>
      <c r="E65" s="1604">
        <f>IF('Part III-Sources of Funds'!$H$32="","",-FV('Part III-Sources of Funds'!$J$32/12,12,E52/12,D65))</f>
        <v>1403861.0329767892</v>
      </c>
      <c r="F65" s="1604">
        <f>IF('Part III-Sources of Funds'!$H$32="","",-FV('Part III-Sources of Funds'!$J$32/12,12,F52/12,E65))</f>
        <v>1349928.0445768284</v>
      </c>
      <c r="G65" s="1604">
        <f>IF('Part III-Sources of Funds'!$H$32="","",-FV('Part III-Sources of Funds'!$J$32/12,12,G52/12,F65))</f>
        <v>1292668.5874650448</v>
      </c>
      <c r="H65" s="1604">
        <f>IF('Part III-Sources of Funds'!$H$32="","",-FV('Part III-Sources of Funds'!$J$32/12,12,H52/12,G65))</f>
        <v>1231877.4923300573</v>
      </c>
      <c r="I65" s="1604">
        <f>IF('Part III-Sources of Funds'!$H$32="","",-FV('Part III-Sources of Funds'!$J$32/12,12,I52/12,H65))</f>
        <v>1167336.9354662972</v>
      </c>
      <c r="J65" s="1604">
        <f>IF('Part III-Sources of Funds'!$H$32="","",-FV('Part III-Sources of Funds'!$J$32/12,12,J52/12,I65))</f>
        <v>1098815.6582786643</v>
      </c>
      <c r="K65" s="1604">
        <f>IF('Part III-Sources of Funds'!$H$32="","",-FV('Part III-Sources of Funds'!$J$32/12,12,K52/12,J65))</f>
        <v>1026068.1386479374</v>
      </c>
      <c r="M65" s="1497"/>
      <c r="N65" s="1498"/>
    </row>
    <row r="66" spans="1:14" ht="13.15" customHeight="1">
      <c r="A66" s="564" t="s">
        <v>3417</v>
      </c>
      <c r="B66" s="1601">
        <f>IF('Part III-Sources of Funds'!$H$33="","",-FV('Part III-Sources of Funds'!$J$33/12,12,B53/12,K37))</f>
        <v>2131718.7395523097</v>
      </c>
      <c r="C66" s="1601">
        <f>IF('Part III-Sources of Funds'!$H$33="","",-FV('Part III-Sources of Funds'!$J$33/12,12,C53/12,B66))</f>
        <v>2184972.3821646194</v>
      </c>
      <c r="D66" s="1601">
        <f>IF('Part III-Sources of Funds'!$H$33="","",-FV('Part III-Sources of Funds'!$J$33/12,12,D53/12,C66))</f>
        <v>2239556.3834208064</v>
      </c>
      <c r="E66" s="1601">
        <f>IF('Part III-Sources of Funds'!$H$33="","",-FV('Part III-Sources of Funds'!$J$33/12,12,E53/12,D66))</f>
        <v>2295503.977744556</v>
      </c>
      <c r="F66" s="1601">
        <f>IF('Part III-Sources of Funds'!$H$33="","",-FV('Part III-Sources of Funds'!$J$33/12,12,F53/12,E66))</f>
        <v>2352849.2298070379</v>
      </c>
      <c r="G66" s="1601">
        <f>IF('Part III-Sources of Funds'!$H$33="","",-FV('Part III-Sources of Funds'!$J$33/12,12,G53/12,F66))</f>
        <v>2411627.0552677764</v>
      </c>
      <c r="H66" s="1601">
        <f>IF('Part III-Sources of Funds'!$H$33="","",-FV('Part III-Sources of Funds'!$J$33/12,12,H53/12,G66))</f>
        <v>2471873.2420336618</v>
      </c>
      <c r="I66" s="1601">
        <f>IF('Part III-Sources of Funds'!$H$33="","",-FV('Part III-Sources of Funds'!$J$33/12,12,I53/12,H66))</f>
        <v>2533624.4720490421</v>
      </c>
      <c r="J66" s="1601">
        <f>IF('Part III-Sources of Funds'!$H$33="","",-FV('Part III-Sources of Funds'!$J$33/12,12,J53/12,I66))</f>
        <v>2596918.3436301667</v>
      </c>
      <c r="K66" s="1601">
        <f>IF('Part III-Sources of Funds'!$H$33="","",-FV('Part III-Sources of Funds'!$J$33/12,12,K53/12,J66))</f>
        <v>2661793.3943575788</v>
      </c>
      <c r="M66" s="1497"/>
      <c r="N66" s="1498"/>
    </row>
    <row r="67" spans="1:14" ht="13.15" customHeight="1">
      <c r="A67" s="564" t="s">
        <v>3418</v>
      </c>
      <c r="B67" s="1601" t="str">
        <f>IF('Part III-Sources of Funds'!$H$34="","",-FV('Part III-Sources of Funds'!$J$34/12,12,B54/12,K38))</f>
        <v/>
      </c>
      <c r="C67" s="1601" t="str">
        <f>IF('Part III-Sources of Funds'!$H$34="","",-FV('Part III-Sources of Funds'!$J$34/12,12,C54/12,B67))</f>
        <v/>
      </c>
      <c r="D67" s="1601" t="str">
        <f>IF('Part III-Sources of Funds'!$H$34="","",-FV('Part III-Sources of Funds'!$J$34/12,12,D54/12,C67))</f>
        <v/>
      </c>
      <c r="E67" s="1601" t="str">
        <f>IF('Part III-Sources of Funds'!$H$34="","",-FV('Part III-Sources of Funds'!$J$34/12,12,E54/12,D67))</f>
        <v/>
      </c>
      <c r="F67" s="1601" t="str">
        <f>IF('Part III-Sources of Funds'!$H$34="","",-FV('Part III-Sources of Funds'!$J$34/12,12,F54/12,E67))</f>
        <v/>
      </c>
      <c r="G67" s="1601" t="str">
        <f>IF('Part III-Sources of Funds'!$H$34="","",-FV('Part III-Sources of Funds'!$J$34/12,12,G54/12,F67))</f>
        <v/>
      </c>
      <c r="H67" s="1601" t="str">
        <f>IF('Part III-Sources of Funds'!$H$34="","",-FV('Part III-Sources of Funds'!$J$34/12,12,H54/12,G67))</f>
        <v/>
      </c>
      <c r="I67" s="1601" t="str">
        <f>IF('Part III-Sources of Funds'!$H$34="","",-FV('Part III-Sources of Funds'!$J$34/12,12,I54/12,H67))</f>
        <v/>
      </c>
      <c r="J67" s="1601" t="str">
        <f>IF('Part III-Sources of Funds'!$H$34="","",-FV('Part III-Sources of Funds'!$J$34/12,12,J54/12,I67))</f>
        <v/>
      </c>
      <c r="K67" s="1601" t="str">
        <f>IF('Part III-Sources of Funds'!$H$34="","",-FV('Part III-Sources of Funds'!$J$34/12,12,K54/12,J67))</f>
        <v/>
      </c>
      <c r="M67" s="1497"/>
      <c r="N67" s="1498"/>
    </row>
    <row r="68" spans="1:14" ht="13.15" customHeight="1">
      <c r="A68" s="24" t="s">
        <v>1176</v>
      </c>
      <c r="B68" s="1601" t="str">
        <f>IF('Part III-Sources of Funds'!$H$35="","",-FV('Part III-Sources of Funds'!$J$35/12,12,B55/12,K39))</f>
        <v/>
      </c>
      <c r="C68" s="1601" t="str">
        <f>IF('Part III-Sources of Funds'!$H$35="","",-FV('Part III-Sources of Funds'!$J$35/12,12,C55/12,B68))</f>
        <v/>
      </c>
      <c r="D68" s="1601" t="str">
        <f>IF('Part III-Sources of Funds'!$H$35="","",-FV('Part III-Sources of Funds'!$J$35/12,12,D55/12,C68))</f>
        <v/>
      </c>
      <c r="E68" s="1601" t="str">
        <f>IF('Part III-Sources of Funds'!$H$35="","",-FV('Part III-Sources of Funds'!$J$35/12,12,E55/12,D68))</f>
        <v/>
      </c>
      <c r="F68" s="1601" t="str">
        <f>IF('Part III-Sources of Funds'!$H$35="","",-FV('Part III-Sources of Funds'!$J$35/12,12,F55/12,E68))</f>
        <v/>
      </c>
      <c r="G68" s="1601" t="str">
        <f>IF('Part III-Sources of Funds'!$H$35="","",-FV('Part III-Sources of Funds'!$J$35/12,12,G55/12,F68))</f>
        <v/>
      </c>
      <c r="H68" s="1601" t="str">
        <f>IF('Part III-Sources of Funds'!$H$35="","",-FV('Part III-Sources of Funds'!$J$35/12,12,H55/12,G68))</f>
        <v/>
      </c>
      <c r="I68" s="1601" t="str">
        <f>IF('Part III-Sources of Funds'!$H$35="","",-FV('Part III-Sources of Funds'!$J$35/12,12,I55/12,H68))</f>
        <v/>
      </c>
      <c r="J68" s="1601" t="str">
        <f>IF('Part III-Sources of Funds'!$H$35="","",-FV('Part III-Sources of Funds'!$J$35/12,12,J55/12,I68))</f>
        <v/>
      </c>
      <c r="K68" s="1601" t="str">
        <f>IF('Part III-Sources of Funds'!$H$35="","",-FV('Part III-Sources of Funds'!$J$35/12,12,K55/12,J68))</f>
        <v/>
      </c>
      <c r="M68" s="1497"/>
      <c r="N68" s="1498"/>
    </row>
    <row r="69" spans="1:14" ht="13.15" customHeight="1">
      <c r="A69" s="29" t="s">
        <v>1659</v>
      </c>
      <c r="B69" s="1603" t="str">
        <f>IF('Part III-Sources of Funds'!$H$37="","",-FV('Part III-Sources of Funds'!$J$37/12,12,B58/12,K40))</f>
        <v/>
      </c>
      <c r="C69" s="1603" t="str">
        <f>IF('Part III-Sources of Funds'!$H$37="","",-FV('Part III-Sources of Funds'!$J$37/12,12,C58/12,B69))</f>
        <v/>
      </c>
      <c r="D69" s="1603" t="str">
        <f>IF('Part III-Sources of Funds'!$H$37="","",-FV('Part III-Sources of Funds'!$J$37/12,12,D58/12,C69))</f>
        <v/>
      </c>
      <c r="E69" s="1603" t="str">
        <f>IF('Part III-Sources of Funds'!$H$37="","",-FV('Part III-Sources of Funds'!$J$37/12,12,E58/12,D69))</f>
        <v/>
      </c>
      <c r="F69" s="1603" t="str">
        <f>IF('Part III-Sources of Funds'!$H$37="","",-FV('Part III-Sources of Funds'!$J$37/12,12,F58/12,E69))</f>
        <v/>
      </c>
      <c r="G69" s="1603" t="str">
        <f>IF('Part III-Sources of Funds'!$H$37="","",-FV('Part III-Sources of Funds'!$J$37/12,12,G58/12,F69))</f>
        <v/>
      </c>
      <c r="H69" s="1603" t="str">
        <f>IF('Part III-Sources of Funds'!$H$37="","",-FV('Part III-Sources of Funds'!$J$37/12,12,H58/12,G69))</f>
        <v/>
      </c>
      <c r="I69" s="1603" t="str">
        <f>IF('Part III-Sources of Funds'!$H$37="","",-FV('Part III-Sources of Funds'!$J$37/12,12,I58/12,H69))</f>
        <v/>
      </c>
      <c r="J69" s="1603" t="str">
        <f>IF('Part III-Sources of Funds'!$H$37="","",-FV('Part III-Sources of Funds'!$J$37/12,12,J58/12,I69))</f>
        <v/>
      </c>
      <c r="K69" s="1603" t="str">
        <f>IF('Part III-Sources of Funds'!$H$37="","",-FV('Part III-Sources of Funds'!$J$37/12,12,K58/12,J69))</f>
        <v/>
      </c>
      <c r="M69" s="1500"/>
      <c r="N69" s="1501"/>
    </row>
    <row r="70" spans="1:14" ht="4.1500000000000004" customHeight="1">
      <c r="B70" s="20"/>
      <c r="C70" s="20"/>
      <c r="D70" s="20"/>
      <c r="E70" s="20"/>
      <c r="F70" s="20"/>
      <c r="G70" s="20"/>
      <c r="H70" s="20"/>
      <c r="I70" s="20"/>
      <c r="J70" s="20"/>
      <c r="K70" s="20"/>
    </row>
    <row r="71" spans="1:14" ht="14.45" customHeight="1">
      <c r="A71" s="16" t="s">
        <v>3261</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906" t="s">
        <v>3422</v>
      </c>
      <c r="N71" s="906"/>
    </row>
    <row r="72" spans="1:14" ht="13.15" customHeight="1">
      <c r="A72" s="21" t="s">
        <v>3166</v>
      </c>
      <c r="B72" s="22">
        <f t="shared" ref="B72:K72" si="29">$B$14*(1+$B$5)^(B71-1)</f>
        <v>839714.81725695194</v>
      </c>
      <c r="C72" s="22">
        <f t="shared" si="29"/>
        <v>856509.11360209086</v>
      </c>
      <c r="D72" s="22">
        <f t="shared" si="29"/>
        <v>873639.29587413277</v>
      </c>
      <c r="E72" s="22">
        <f t="shared" si="29"/>
        <v>891112.08179161523</v>
      </c>
      <c r="F72" s="22">
        <f t="shared" si="29"/>
        <v>908934.32342744758</v>
      </c>
      <c r="G72" s="22">
        <f t="shared" si="29"/>
        <v>927113.00989599654</v>
      </c>
      <c r="H72" s="22">
        <f t="shared" si="29"/>
        <v>945655.27009391657</v>
      </c>
      <c r="I72" s="22">
        <f t="shared" si="29"/>
        <v>964568.37549579469</v>
      </c>
      <c r="J72" s="22">
        <f t="shared" si="29"/>
        <v>983859.74300571077</v>
      </c>
      <c r="K72" s="23">
        <f t="shared" si="29"/>
        <v>1003536.9378658249</v>
      </c>
      <c r="M72" s="1495"/>
      <c r="N72" s="1496"/>
    </row>
    <row r="73" spans="1:14" ht="13.15" customHeight="1">
      <c r="A73" s="24" t="s">
        <v>1418</v>
      </c>
      <c r="B73" s="25">
        <f t="shared" ref="B73:K73" si="30">$B$15*(1+$B$5)^(B71-1)</f>
        <v>16794.296345139039</v>
      </c>
      <c r="C73" s="25">
        <f t="shared" si="30"/>
        <v>17130.182272041817</v>
      </c>
      <c r="D73" s="25">
        <f t="shared" si="30"/>
        <v>17472.785917482655</v>
      </c>
      <c r="E73" s="25">
        <f t="shared" si="30"/>
        <v>17822.241635832306</v>
      </c>
      <c r="F73" s="25">
        <f t="shared" si="30"/>
        <v>18178.686468548953</v>
      </c>
      <c r="G73" s="25">
        <f t="shared" si="30"/>
        <v>18542.260197919932</v>
      </c>
      <c r="H73" s="25">
        <f t="shared" si="30"/>
        <v>18913.105401878332</v>
      </c>
      <c r="I73" s="25">
        <f t="shared" si="30"/>
        <v>19291.367509915894</v>
      </c>
      <c r="J73" s="25">
        <f t="shared" si="30"/>
        <v>19677.194860114218</v>
      </c>
      <c r="K73" s="26">
        <f t="shared" si="30"/>
        <v>20070.738757316496</v>
      </c>
      <c r="M73" s="1497"/>
      <c r="N73" s="1498"/>
    </row>
    <row r="74" spans="1:14" ht="13.15" customHeight="1">
      <c r="A74" s="24" t="s">
        <v>3167</v>
      </c>
      <c r="B74" s="25">
        <f t="shared" ref="B74:K74" si="31">-(B72+B73)*$B$8</f>
        <v>-59955.637952146375</v>
      </c>
      <c r="C74" s="25">
        <f t="shared" si="31"/>
        <v>-61154.750711189292</v>
      </c>
      <c r="D74" s="25">
        <f t="shared" si="31"/>
        <v>-62377.845725413092</v>
      </c>
      <c r="E74" s="25">
        <f t="shared" si="31"/>
        <v>-63625.40263992134</v>
      </c>
      <c r="F74" s="25">
        <f t="shared" si="31"/>
        <v>-64897.910692719764</v>
      </c>
      <c r="G74" s="25">
        <f t="shared" si="31"/>
        <v>-66195.868906574164</v>
      </c>
      <c r="H74" s="25">
        <f t="shared" si="31"/>
        <v>-67519.786284705653</v>
      </c>
      <c r="I74" s="25">
        <f t="shared" si="31"/>
        <v>-68870.182010399745</v>
      </c>
      <c r="J74" s="25">
        <f t="shared" si="31"/>
        <v>-70247.585650607754</v>
      </c>
      <c r="K74" s="26">
        <f t="shared" si="31"/>
        <v>-71652.537363619907</v>
      </c>
      <c r="M74" s="1497"/>
      <c r="N74" s="1498"/>
    </row>
    <row r="75" spans="1:14" ht="13.15" customHeight="1">
      <c r="A75" s="24" t="s">
        <v>56</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497"/>
      <c r="N75" s="1498"/>
    </row>
    <row r="76" spans="1:14" ht="13.15" customHeight="1">
      <c r="A76" s="24" t="s">
        <v>57</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497"/>
      <c r="N76" s="1498"/>
    </row>
    <row r="77" spans="1:14" ht="13.15" customHeight="1">
      <c r="A77" s="24" t="s">
        <v>794</v>
      </c>
      <c r="B77" s="25">
        <f t="shared" ref="B77:K77" si="32">$B$19*(1+$B$6)^(B71-1)</f>
        <v>-559768.05496109126</v>
      </c>
      <c r="C77" s="25">
        <f t="shared" si="32"/>
        <v>-576561.09660992387</v>
      </c>
      <c r="D77" s="25">
        <f t="shared" si="32"/>
        <v>-593857.92950822168</v>
      </c>
      <c r="E77" s="25">
        <f t="shared" si="32"/>
        <v>-611673.66739346832</v>
      </c>
      <c r="F77" s="25">
        <f t="shared" si="32"/>
        <v>-630023.87741527229</v>
      </c>
      <c r="G77" s="25">
        <f t="shared" si="32"/>
        <v>-648924.59373773052</v>
      </c>
      <c r="H77" s="25">
        <f t="shared" si="32"/>
        <v>-668392.33154986252</v>
      </c>
      <c r="I77" s="25">
        <f t="shared" si="32"/>
        <v>-688444.10149635829</v>
      </c>
      <c r="J77" s="25">
        <f t="shared" si="32"/>
        <v>-709097.42454124906</v>
      </c>
      <c r="K77" s="26">
        <f t="shared" si="32"/>
        <v>-730370.34727748646</v>
      </c>
      <c r="M77" s="1497"/>
      <c r="N77" s="1498"/>
    </row>
    <row r="78" spans="1:14" ht="13.15" customHeight="1">
      <c r="A78" s="24" t="s">
        <v>1523</v>
      </c>
      <c r="B78" s="25">
        <f>IF(AND('Part VII-Pro Forma'!$G$8="Yes",'Part VII-Pro Forma'!$G$9="Yes"),"Choose One!",IF('Part VII-Pro Forma'!$G$8="Yes",ROUND((-$K$8*(1+'Part VII-Pro Forma'!$B$6)^('Part VII-Pro Forma'!B71-1)),),IF('Part VII-Pro Forma'!$G$9="Yes",ROUND((-(SUM(B72:B75)*'Part VII-Pro Forma'!$K$9)),),"Choose mgt fee")))</f>
        <v>-39828</v>
      </c>
      <c r="C78" s="25">
        <f>IF(AND('Part VII-Pro Forma'!$G$8="Yes",'Part VII-Pro Forma'!$G$9="Yes"),"Choose One!",IF('Part VII-Pro Forma'!$G$8="Yes",ROUND((-$K$8*(1+'Part VII-Pro Forma'!$B$6)^('Part VII-Pro Forma'!C71-1)),),IF('Part VII-Pro Forma'!$G$9="Yes",ROUND((-(SUM(C72:C75)*'Part VII-Pro Forma'!$K$9)),),"Choose mgt fee")))</f>
        <v>-40624</v>
      </c>
      <c r="D78" s="25">
        <f>IF(AND('Part VII-Pro Forma'!$G$8="Yes",'Part VII-Pro Forma'!$G$9="Yes"),"Choose One!",IF('Part VII-Pro Forma'!$G$8="Yes",ROUND((-$K$8*(1+'Part VII-Pro Forma'!$B$6)^('Part VII-Pro Forma'!D71-1)),),IF('Part VII-Pro Forma'!$G$9="Yes",ROUND((-(SUM(D72:D75)*'Part VII-Pro Forma'!$K$9)),),"Choose mgt fee")))</f>
        <v>-41437</v>
      </c>
      <c r="E78" s="25">
        <f>IF(AND('Part VII-Pro Forma'!$G$8="Yes",'Part VII-Pro Forma'!$G$9="Yes"),"Choose One!",IF('Part VII-Pro Forma'!$G$8="Yes",ROUND((-$K$8*(1+'Part VII-Pro Forma'!$B$6)^('Part VII-Pro Forma'!E71-1)),),IF('Part VII-Pro Forma'!$G$9="Yes",ROUND((-(SUM(E72:E75)*'Part VII-Pro Forma'!$K$9)),),"Choose mgt fee")))</f>
        <v>-42265</v>
      </c>
      <c r="F78" s="25">
        <f>IF(AND('Part VII-Pro Forma'!$G$8="Yes",'Part VII-Pro Forma'!$G$9="Yes"),"Choose One!",IF('Part VII-Pro Forma'!$G$8="Yes",ROUND((-$K$8*(1+'Part VII-Pro Forma'!$B$6)^('Part VII-Pro Forma'!F71-1)),),IF('Part VII-Pro Forma'!$G$9="Yes",ROUND((-(SUM(F72:F75)*'Part VII-Pro Forma'!$K$9)),),"Choose mgt fee")))</f>
        <v>-43111</v>
      </c>
      <c r="G78" s="25">
        <f>IF(AND('Part VII-Pro Forma'!$G$8="Yes",'Part VII-Pro Forma'!$G$9="Yes"),"Choose One!",IF('Part VII-Pro Forma'!$G$8="Yes",ROUND((-$K$8*(1+'Part VII-Pro Forma'!$B$6)^('Part VII-Pro Forma'!G71-1)),),IF('Part VII-Pro Forma'!$G$9="Yes",ROUND((-(SUM(G72:G75)*'Part VII-Pro Forma'!$K$9)),),"Choose mgt fee")))</f>
        <v>-43973</v>
      </c>
      <c r="H78" s="25">
        <f>IF(AND('Part VII-Pro Forma'!$G$8="Yes",'Part VII-Pro Forma'!$G$9="Yes"),"Choose One!",IF('Part VII-Pro Forma'!$G$8="Yes",ROUND((-$K$8*(1+'Part VII-Pro Forma'!$B$6)^('Part VII-Pro Forma'!H71-1)),),IF('Part VII-Pro Forma'!$G$9="Yes",ROUND((-(SUM(H72:H75)*'Part VII-Pro Forma'!$K$9)),),"Choose mgt fee")))</f>
        <v>-44852</v>
      </c>
      <c r="I78" s="25">
        <f>IF(AND('Part VII-Pro Forma'!$G$8="Yes",'Part VII-Pro Forma'!$G$9="Yes"),"Choose One!",IF('Part VII-Pro Forma'!$G$8="Yes",ROUND((-$K$8*(1+'Part VII-Pro Forma'!$B$6)^('Part VII-Pro Forma'!I71-1)),),IF('Part VII-Pro Forma'!$G$9="Yes",ROUND((-(SUM(I72:I75)*'Part VII-Pro Forma'!$K$9)),),"Choose mgt fee")))</f>
        <v>-45749</v>
      </c>
      <c r="J78" s="25">
        <f>IF(AND('Part VII-Pro Forma'!$G$8="Yes",'Part VII-Pro Forma'!$G$9="Yes"),"Choose One!",IF('Part VII-Pro Forma'!$G$8="Yes",ROUND((-$K$8*(1+'Part VII-Pro Forma'!$B$6)^('Part VII-Pro Forma'!J71-1)),),IF('Part VII-Pro Forma'!$G$9="Yes",ROUND((-(SUM(J72:J75)*'Part VII-Pro Forma'!$K$9)),),"Choose mgt fee")))</f>
        <v>-46664</v>
      </c>
      <c r="K78" s="25">
        <f>IF(AND('Part VII-Pro Forma'!$G$8="Yes",'Part VII-Pro Forma'!$G$9="Yes"),"Choose One!",IF('Part VII-Pro Forma'!$G$8="Yes",ROUND((-$K$8*(1+'Part VII-Pro Forma'!$B$6)^('Part VII-Pro Forma'!K71-1)),),IF('Part VII-Pro Forma'!$G$9="Yes",ROUND((-(SUM(K72:K75)*'Part VII-Pro Forma'!$K$9)),),"Choose mgt fee")))</f>
        <v>-47598</v>
      </c>
      <c r="M78" s="1497"/>
      <c r="N78" s="1498"/>
    </row>
    <row r="79" spans="1:14" ht="13.15" customHeight="1">
      <c r="A79" s="24" t="s">
        <v>1622</v>
      </c>
      <c r="B79" s="25">
        <f t="shared" ref="B79:K79" si="33">$B$21*(1+$B$7)^(B71-1)</f>
        <v>-36122.224693388263</v>
      </c>
      <c r="C79" s="25">
        <f t="shared" si="33"/>
        <v>-37205.891434189907</v>
      </c>
      <c r="D79" s="25">
        <f t="shared" si="33"/>
        <v>-38322.068177215609</v>
      </c>
      <c r="E79" s="25">
        <f t="shared" si="33"/>
        <v>-39471.730222532082</v>
      </c>
      <c r="F79" s="25">
        <f t="shared" si="33"/>
        <v>-40655.882129208039</v>
      </c>
      <c r="G79" s="25">
        <f t="shared" si="33"/>
        <v>-41875.558593084279</v>
      </c>
      <c r="H79" s="25">
        <f t="shared" si="33"/>
        <v>-43131.82535087681</v>
      </c>
      <c r="I79" s="25">
        <f t="shared" si="33"/>
        <v>-44425.78011140311</v>
      </c>
      <c r="J79" s="25">
        <f t="shared" si="33"/>
        <v>-45758.553514745203</v>
      </c>
      <c r="K79" s="26">
        <f t="shared" si="33"/>
        <v>-47131.310120187554</v>
      </c>
      <c r="M79" s="1497"/>
      <c r="N79" s="1498"/>
    </row>
    <row r="80" spans="1:14" ht="13.15" customHeight="1">
      <c r="A80" s="24" t="s">
        <v>1623</v>
      </c>
      <c r="B80" s="25">
        <f t="shared" ref="B80:K80" si="34">SUM(B72:B79)</f>
        <v>160835.1959954651</v>
      </c>
      <c r="C80" s="25">
        <f t="shared" si="34"/>
        <v>158093.55711882963</v>
      </c>
      <c r="D80" s="25">
        <f t="shared" si="34"/>
        <v>155117.23838076511</v>
      </c>
      <c r="E80" s="25">
        <f t="shared" si="34"/>
        <v>151898.52317152589</v>
      </c>
      <c r="F80" s="25">
        <f t="shared" si="34"/>
        <v>148424.33965879647</v>
      </c>
      <c r="G80" s="25">
        <f t="shared" si="34"/>
        <v>144686.24885652744</v>
      </c>
      <c r="H80" s="25">
        <f t="shared" si="34"/>
        <v>140672.43231034998</v>
      </c>
      <c r="I80" s="25">
        <f t="shared" si="34"/>
        <v>136370.67938754937</v>
      </c>
      <c r="J80" s="25">
        <f t="shared" si="34"/>
        <v>131769.37415922305</v>
      </c>
      <c r="K80" s="26">
        <f t="shared" si="34"/>
        <v>126855.48186184748</v>
      </c>
      <c r="M80" s="1497"/>
      <c r="N80" s="1498"/>
    </row>
    <row r="81" spans="1:14" ht="13.15" customHeight="1">
      <c r="A81" s="24" t="str">
        <f>$A52</f>
        <v>Mortgage A</v>
      </c>
      <c r="B81" s="1600">
        <f>IF('Part III-Sources of Funds'!$M$32="", 0,-'Part III-Sources of Funds'!$M$32)</f>
        <v>-136697.51973482751</v>
      </c>
      <c r="C81" s="1600">
        <f>IF('Part III-Sources of Funds'!$M$32="", 0,-'Part III-Sources of Funds'!$M$32)</f>
        <v>-136697.51973482751</v>
      </c>
      <c r="D81" s="1600">
        <f>IF('Part III-Sources of Funds'!$M$32="", 0,-'Part III-Sources of Funds'!$M$32)</f>
        <v>-136697.51973482751</v>
      </c>
      <c r="E81" s="1600">
        <f>IF('Part III-Sources of Funds'!$M$32="", 0,-'Part III-Sources of Funds'!$M$32)</f>
        <v>-136697.51973482751</v>
      </c>
      <c r="F81" s="1600">
        <f>IF('Part III-Sources of Funds'!$M$32="", 0,-'Part III-Sources of Funds'!$M$32)</f>
        <v>-136697.51973482751</v>
      </c>
      <c r="G81" s="1600">
        <f>IF('Part III-Sources of Funds'!$M$32="", 0,-'Part III-Sources of Funds'!$M$32)</f>
        <v>-136697.51973482751</v>
      </c>
      <c r="H81" s="1600">
        <f>IF('Part III-Sources of Funds'!$M$32="", 0,-'Part III-Sources of Funds'!$M$32)</f>
        <v>-136697.51973482751</v>
      </c>
      <c r="I81" s="1600">
        <f>IF('Part III-Sources of Funds'!$M$32="", 0,-'Part III-Sources of Funds'!$M$32)</f>
        <v>-136697.51973482751</v>
      </c>
      <c r="J81" s="1600">
        <f>IF('Part III-Sources of Funds'!$M$32="", 0,-'Part III-Sources of Funds'!$M$32)</f>
        <v>-136697.51973482751</v>
      </c>
      <c r="K81" s="1600">
        <f>IF('Part III-Sources of Funds'!$M$32="", 0,-'Part III-Sources of Funds'!$M$32)</f>
        <v>-136697.51973482751</v>
      </c>
      <c r="M81" s="1497"/>
      <c r="N81" s="1498"/>
    </row>
    <row r="82" spans="1:14" ht="13.15" customHeight="1">
      <c r="A82" s="24" t="str">
        <f>$A53</f>
        <v>Mortgage B</v>
      </c>
      <c r="B82" s="1601">
        <f>IF('Part III-Sources of Funds'!$M$33="", 0,-'Part III-Sources of Funds'!$M$33)</f>
        <v>0</v>
      </c>
      <c r="C82" s="1601">
        <f>IF('Part III-Sources of Funds'!$M$33="", 0,-'Part III-Sources of Funds'!$M$33)</f>
        <v>0</v>
      </c>
      <c r="D82" s="1601">
        <f>IF('Part III-Sources of Funds'!$M$33="", 0,-'Part III-Sources of Funds'!$M$33)</f>
        <v>0</v>
      </c>
      <c r="E82" s="1601">
        <f>IF('Part III-Sources of Funds'!$M$33="", 0,-'Part III-Sources of Funds'!$M$33)</f>
        <v>0</v>
      </c>
      <c r="F82" s="1601">
        <f>IF('Part III-Sources of Funds'!$M$33="", 0,-'Part III-Sources of Funds'!$M$33)</f>
        <v>0</v>
      </c>
      <c r="G82" s="1601">
        <f>IF('Part III-Sources of Funds'!$M$33="", 0,-'Part III-Sources of Funds'!$M$33)</f>
        <v>0</v>
      </c>
      <c r="H82" s="1601">
        <f>IF('Part III-Sources of Funds'!$M$33="", 0,-'Part III-Sources of Funds'!$M$33)</f>
        <v>0</v>
      </c>
      <c r="I82" s="1601">
        <f>IF('Part III-Sources of Funds'!$M$33="", 0,-'Part III-Sources of Funds'!$M$33)</f>
        <v>0</v>
      </c>
      <c r="J82" s="1601">
        <f>IF('Part III-Sources of Funds'!$M$33="", 0,-'Part III-Sources of Funds'!$M$33)</f>
        <v>0</v>
      </c>
      <c r="K82" s="1601">
        <f>IF('Part III-Sources of Funds'!$M$33="", 0,-'Part III-Sources of Funds'!$M$33)</f>
        <v>0</v>
      </c>
      <c r="M82" s="1497"/>
      <c r="N82" s="1498"/>
    </row>
    <row r="83" spans="1:14" ht="13.15" customHeight="1">
      <c r="A83" s="24" t="str">
        <f>$A54</f>
        <v>Mortgage C</v>
      </c>
      <c r="B83" s="1601">
        <f>IF('Part III-Sources of Funds'!$M$34="", 0,-'Part III-Sources of Funds'!$M$34)</f>
        <v>0</v>
      </c>
      <c r="C83" s="1601">
        <f>IF('Part III-Sources of Funds'!$M$34="", 0,-'Part III-Sources of Funds'!$M$34)</f>
        <v>0</v>
      </c>
      <c r="D83" s="1601">
        <f>IF('Part III-Sources of Funds'!$M$34="", 0,-'Part III-Sources of Funds'!$M$34)</f>
        <v>0</v>
      </c>
      <c r="E83" s="1601">
        <f>IF('Part III-Sources of Funds'!$M$34="", 0,-'Part III-Sources of Funds'!$M$34)</f>
        <v>0</v>
      </c>
      <c r="F83" s="1601">
        <f>IF('Part III-Sources of Funds'!$M$34="", 0,-'Part III-Sources of Funds'!$M$34)</f>
        <v>0</v>
      </c>
      <c r="G83" s="1601">
        <f>IF('Part III-Sources of Funds'!$M$34="", 0,-'Part III-Sources of Funds'!$M$34)</f>
        <v>0</v>
      </c>
      <c r="H83" s="1601">
        <f>IF('Part III-Sources of Funds'!$M$34="", 0,-'Part III-Sources of Funds'!$M$34)</f>
        <v>0</v>
      </c>
      <c r="I83" s="1601">
        <f>IF('Part III-Sources of Funds'!$M$34="", 0,-'Part III-Sources of Funds'!$M$34)</f>
        <v>0</v>
      </c>
      <c r="J83" s="1601">
        <f>IF('Part III-Sources of Funds'!$M$34="", 0,-'Part III-Sources of Funds'!$M$34)</f>
        <v>0</v>
      </c>
      <c r="K83" s="1601">
        <f>IF('Part III-Sources of Funds'!$M$34="", 0,-'Part III-Sources of Funds'!$M$34)</f>
        <v>0</v>
      </c>
      <c r="M83" s="1497"/>
      <c r="N83" s="1498"/>
    </row>
    <row r="84" spans="1:14" ht="13.15" customHeight="1">
      <c r="A84" s="24" t="str">
        <f>$A55</f>
        <v>D/S Other Source</v>
      </c>
      <c r="B84" s="1601">
        <f>IF('Part III-Sources of Funds'!$M$35="", 0,-'Part III-Sources of Funds'!$M$35)</f>
        <v>0</v>
      </c>
      <c r="C84" s="1601">
        <f>IF('Part III-Sources of Funds'!$M$35="", 0,-'Part III-Sources of Funds'!$M$35)</f>
        <v>0</v>
      </c>
      <c r="D84" s="1601">
        <f>IF('Part III-Sources of Funds'!$M$35="", 0,-'Part III-Sources of Funds'!$M$35)</f>
        <v>0</v>
      </c>
      <c r="E84" s="1601">
        <f>IF('Part III-Sources of Funds'!$M$35="", 0,-'Part III-Sources of Funds'!$M$35)</f>
        <v>0</v>
      </c>
      <c r="F84" s="1601">
        <f>IF('Part III-Sources of Funds'!$M$35="", 0,-'Part III-Sources of Funds'!$M$35)</f>
        <v>0</v>
      </c>
      <c r="G84" s="1601">
        <f>IF('Part III-Sources of Funds'!$M$35="", 0,-'Part III-Sources of Funds'!$M$35)</f>
        <v>0</v>
      </c>
      <c r="H84" s="1601">
        <f>IF('Part III-Sources of Funds'!$M$35="", 0,-'Part III-Sources of Funds'!$M$35)</f>
        <v>0</v>
      </c>
      <c r="I84" s="1601">
        <f>IF('Part III-Sources of Funds'!$M$35="", 0,-'Part III-Sources of Funds'!$M$35)</f>
        <v>0</v>
      </c>
      <c r="J84" s="1601">
        <f>IF('Part III-Sources of Funds'!$M$35="", 0,-'Part III-Sources of Funds'!$M$35)</f>
        <v>0</v>
      </c>
      <c r="K84" s="1601">
        <f>IF('Part III-Sources of Funds'!$M$35="", 0,-'Part III-Sources of Funds'!$M$35)</f>
        <v>0</v>
      </c>
      <c r="M84" s="1497"/>
      <c r="N84" s="1498"/>
    </row>
    <row r="85" spans="1:14" ht="13.15" customHeight="1">
      <c r="A85" s="24" t="s">
        <v>1150</v>
      </c>
      <c r="B85" s="1602"/>
      <c r="C85" s="1602"/>
      <c r="D85" s="1602"/>
      <c r="E85" s="1602"/>
      <c r="F85" s="1602"/>
      <c r="G85" s="1602"/>
      <c r="H85" s="1602"/>
      <c r="I85" s="1602"/>
      <c r="J85" s="1602"/>
      <c r="K85" s="1602"/>
      <c r="M85" s="1497"/>
      <c r="N85" s="1498"/>
    </row>
    <row r="86" spans="1:14" ht="13.15" customHeight="1">
      <c r="A86" s="24" t="s">
        <v>1578</v>
      </c>
      <c r="B86" s="1601">
        <f>+K57</f>
        <v>-8000</v>
      </c>
      <c r="C86" s="1601">
        <f t="shared" ref="C86:K86" si="35">+B86</f>
        <v>-8000</v>
      </c>
      <c r="D86" s="1601">
        <f t="shared" si="35"/>
        <v>-8000</v>
      </c>
      <c r="E86" s="1601">
        <f t="shared" si="35"/>
        <v>-8000</v>
      </c>
      <c r="F86" s="1601">
        <f t="shared" si="35"/>
        <v>-8000</v>
      </c>
      <c r="G86" s="1601">
        <f t="shared" si="35"/>
        <v>-8000</v>
      </c>
      <c r="H86" s="1601">
        <f t="shared" si="35"/>
        <v>-8000</v>
      </c>
      <c r="I86" s="1601">
        <f t="shared" si="35"/>
        <v>-8000</v>
      </c>
      <c r="J86" s="1601">
        <f t="shared" si="35"/>
        <v>-8000</v>
      </c>
      <c r="K86" s="1601">
        <f t="shared" si="35"/>
        <v>-8000</v>
      </c>
      <c r="M86" s="1497"/>
      <c r="N86" s="1498"/>
    </row>
    <row r="87" spans="1:14" ht="13.15" customHeight="1">
      <c r="A87" s="24" t="s">
        <v>1624</v>
      </c>
      <c r="B87" s="1603">
        <f>IF('Part III-Sources of Funds'!$M$37="", 0,-'Part III-Sources of Funds'!$M$37)</f>
        <v>0</v>
      </c>
      <c r="C87" s="1603">
        <f>IF('Part III-Sources of Funds'!$M$37="", 0,-'Part III-Sources of Funds'!$M$37)</f>
        <v>0</v>
      </c>
      <c r="D87" s="1603">
        <f>IF('Part III-Sources of Funds'!$M$37="", 0,-'Part III-Sources of Funds'!$M$37)</f>
        <v>0</v>
      </c>
      <c r="E87" s="1603">
        <f>IF('Part III-Sources of Funds'!$M$37="", 0,-'Part III-Sources of Funds'!$M$37)</f>
        <v>0</v>
      </c>
      <c r="F87" s="1603">
        <f>IF('Part III-Sources of Funds'!$M$37="", 0,-'Part III-Sources of Funds'!$M$37)</f>
        <v>0</v>
      </c>
      <c r="G87" s="1603">
        <f>IF('Part III-Sources of Funds'!$M$37="", 0,-'Part III-Sources of Funds'!$M$37)</f>
        <v>0</v>
      </c>
      <c r="H87" s="1603">
        <f>IF('Part III-Sources of Funds'!$M$37="", 0,-'Part III-Sources of Funds'!$M$37)</f>
        <v>0</v>
      </c>
      <c r="I87" s="1603">
        <f>IF('Part III-Sources of Funds'!$M$37="", 0,-'Part III-Sources of Funds'!$M$37)</f>
        <v>0</v>
      </c>
      <c r="J87" s="1603">
        <f>IF('Part III-Sources of Funds'!$M$37="", 0,-'Part III-Sources of Funds'!$M$37)</f>
        <v>0</v>
      </c>
      <c r="K87" s="1601">
        <f>IF('Part III-Sources of Funds'!$M$37="", 0,-'Part III-Sources of Funds'!$M$37)</f>
        <v>0</v>
      </c>
      <c r="M87" s="1497"/>
      <c r="N87" s="1498"/>
    </row>
    <row r="88" spans="1:14" ht="13.15" customHeight="1">
      <c r="A88" s="24" t="s">
        <v>1579</v>
      </c>
      <c r="B88" s="25">
        <f t="shared" ref="B88:K88" si="36">SUM(B80:B87)</f>
        <v>16137.676260637585</v>
      </c>
      <c r="C88" s="25">
        <f t="shared" si="36"/>
        <v>13396.03738400212</v>
      </c>
      <c r="D88" s="25">
        <f t="shared" si="36"/>
        <v>10419.718645937595</v>
      </c>
      <c r="E88" s="25">
        <f t="shared" si="36"/>
        <v>7201.0034366983746</v>
      </c>
      <c r="F88" s="25">
        <f t="shared" si="36"/>
        <v>3726.8199239689566</v>
      </c>
      <c r="G88" s="25">
        <f t="shared" si="36"/>
        <v>-11.270878300070763</v>
      </c>
      <c r="H88" s="25">
        <f t="shared" si="36"/>
        <v>-4025.0874244775332</v>
      </c>
      <c r="I88" s="25">
        <f t="shared" si="36"/>
        <v>-8326.8403472781356</v>
      </c>
      <c r="J88" s="25">
        <f t="shared" si="36"/>
        <v>-12928.14557560446</v>
      </c>
      <c r="K88" s="23">
        <f t="shared" si="36"/>
        <v>-17842.037872980029</v>
      </c>
      <c r="M88" s="1497"/>
      <c r="N88" s="1498"/>
    </row>
    <row r="89" spans="1:14" ht="13.15" customHeight="1">
      <c r="A89" s="24" t="str">
        <f>$A60</f>
        <v>DCR Mortgage A</v>
      </c>
      <c r="B89" s="27">
        <f>IF(B81=0,"",-B80/B81)</f>
        <v>1.1765772803154075</v>
      </c>
      <c r="C89" s="27">
        <f t="shared" ref="C89:K89" si="37">IF(C81=0,"",-C80/C81)</f>
        <v>1.1565210358279154</v>
      </c>
      <c r="D89" s="27">
        <f t="shared" si="37"/>
        <v>1.1347480091933566</v>
      </c>
      <c r="E89" s="27">
        <f t="shared" si="37"/>
        <v>1.1112017501574718</v>
      </c>
      <c r="F89" s="27">
        <f t="shared" si="37"/>
        <v>1.0857866327546923</v>
      </c>
      <c r="G89" s="27">
        <f t="shared" si="37"/>
        <v>1.0584409222434823</v>
      </c>
      <c r="H89" s="27">
        <f t="shared" si="37"/>
        <v>1.0290781616464819</v>
      </c>
      <c r="I89" s="27">
        <f t="shared" si="37"/>
        <v>0.99760902503635651</v>
      </c>
      <c r="J89" s="27">
        <f t="shared" si="37"/>
        <v>0.96394853699493366</v>
      </c>
      <c r="K89" s="28">
        <f t="shared" si="37"/>
        <v>0.92800134273048929</v>
      </c>
      <c r="M89" s="1497"/>
      <c r="N89" s="1498"/>
    </row>
    <row r="90" spans="1:14" ht="13.15" customHeight="1">
      <c r="A90" s="24" t="str">
        <f>$A61</f>
        <v>DCR Mortgage B</v>
      </c>
      <c r="B90" s="27" t="str">
        <f>IF(OR(B82=0,AND(B82=0,B81=0)),"",-B80/(B81+B82))</f>
        <v/>
      </c>
      <c r="C90" s="27" t="str">
        <f t="shared" ref="C90:K90" si="38">IF(OR(C82=0,AND(C82=0,C81=0)),"",-C80/(C81+C82))</f>
        <v/>
      </c>
      <c r="D90" s="27" t="str">
        <f t="shared" si="38"/>
        <v/>
      </c>
      <c r="E90" s="27" t="str">
        <f t="shared" si="38"/>
        <v/>
      </c>
      <c r="F90" s="27" t="str">
        <f t="shared" si="38"/>
        <v/>
      </c>
      <c r="G90" s="27" t="str">
        <f t="shared" si="38"/>
        <v/>
      </c>
      <c r="H90" s="27" t="str">
        <f t="shared" si="38"/>
        <v/>
      </c>
      <c r="I90" s="27" t="str">
        <f t="shared" si="38"/>
        <v/>
      </c>
      <c r="J90" s="27" t="str">
        <f t="shared" si="38"/>
        <v/>
      </c>
      <c r="K90" s="28" t="str">
        <f t="shared" si="38"/>
        <v/>
      </c>
      <c r="M90" s="1497"/>
      <c r="N90" s="1498"/>
    </row>
    <row r="91" spans="1:14" ht="13.15" customHeight="1">
      <c r="A91" s="24" t="str">
        <f>$A62</f>
        <v>DCR Mortgage C</v>
      </c>
      <c r="B91" s="27" t="str">
        <f>IF(OR(B83=0,AND(B83=0,B82=0,B81=0)),"",-B80/(B81+B82+B83))</f>
        <v/>
      </c>
      <c r="C91" s="27" t="str">
        <f t="shared" ref="C91:K91" si="39">IF(OR(C83=0,AND(C83=0,C82=0,C81=0)),"",-C80/(C81+C82+C83))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497"/>
      <c r="N91" s="1498"/>
    </row>
    <row r="92" spans="1:14" ht="13.15" customHeight="1">
      <c r="A92" s="24" t="str">
        <f>$A63</f>
        <v>DCR Other Source</v>
      </c>
      <c r="B92" s="27" t="str">
        <f>IF(OR(B84=0,AND(B81=0,B82=0,B83=0,B84=0)),"",-B80/(B81+B82+B83+B84))</f>
        <v/>
      </c>
      <c r="C92" s="27" t="str">
        <f t="shared" ref="C92:K92" si="40">IF(OR(C84=0,AND(C81=0,C82=0,C83=0,C84=0)),"",-C80/(C81+C82+C83+C84))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497"/>
      <c r="N92" s="1498"/>
    </row>
    <row r="93" spans="1:14" ht="13.15" customHeight="1">
      <c r="A93" s="24" t="s">
        <v>1158</v>
      </c>
      <c r="B93" s="341">
        <f>IF(OR(B78="Choose mgt fee",B78="Choose One!"),"",(B72+B73+B74+B75+B76) / -(B77+B78+B79))</f>
        <v>1.2529975952286303</v>
      </c>
      <c r="C93" s="341">
        <f t="shared" ref="C93:K93" si="41">IF(OR(C78="Choose mgt fee",C78="Choose One!"),"",(C72+C73+C74+C75+C76) / -(C77+C78+C79))</f>
        <v>1.2415888360433416</v>
      </c>
      <c r="D93" s="341">
        <f t="shared" si="41"/>
        <v>1.2302751250543726</v>
      </c>
      <c r="E93" s="341">
        <f t="shared" si="41"/>
        <v>1.2190600598055135</v>
      </c>
      <c r="F93" s="341">
        <f t="shared" si="41"/>
        <v>1.2079381634941819</v>
      </c>
      <c r="G93" s="341">
        <f t="shared" si="41"/>
        <v>1.1969128136997931</v>
      </c>
      <c r="H93" s="341">
        <f t="shared" si="41"/>
        <v>1.1859821082763331</v>
      </c>
      <c r="I93" s="341">
        <f t="shared" si="41"/>
        <v>1.1751443262022609</v>
      </c>
      <c r="J93" s="341">
        <f t="shared" si="41"/>
        <v>1.1643993634180103</v>
      </c>
      <c r="K93" s="342">
        <f t="shared" si="41"/>
        <v>1.1537456484492354</v>
      </c>
      <c r="M93" s="1497"/>
      <c r="N93" s="1498"/>
    </row>
    <row r="94" spans="1:14" ht="13.15" customHeight="1">
      <c r="A94" s="564" t="s">
        <v>3416</v>
      </c>
      <c r="B94" s="1604">
        <f>IF('Part III-Sources of Funds'!$H$32="","",-FV('Part III-Sources of Funds'!$J$32/12,12,B81/12,K65))</f>
        <v>948833.71118781785</v>
      </c>
      <c r="C94" s="1604">
        <f>IF('Part III-Sources of Funds'!$H$32="","",-FV('Part III-Sources of Funds'!$J$32/12,12,C81/12,B94))</f>
        <v>866835.63324135076</v>
      </c>
      <c r="D94" s="1604">
        <f>IF('Part III-Sources of Funds'!$H$32="","",-FV('Part III-Sources of Funds'!$J$32/12,12,D81/12,C94))</f>
        <v>779780.09327005106</v>
      </c>
      <c r="E94" s="1604">
        <f>IF('Part III-Sources of Funds'!$H$32="","",-FV('Part III-Sources of Funds'!$J$32/12,12,E81/12,D94))</f>
        <v>687355.15808263933</v>
      </c>
      <c r="F94" s="1604">
        <f>IF('Part III-Sources of Funds'!$H$32="","",-FV('Part III-Sources of Funds'!$J$32/12,12,F81/12,E94))</f>
        <v>589229.65513115004</v>
      </c>
      <c r="G94" s="1604">
        <f>IF('Part III-Sources of Funds'!$H$32="","",-FV('Part III-Sources of Funds'!$J$32/12,12,G81/12,F94))</f>
        <v>485051.98586950958</v>
      </c>
      <c r="H94" s="1604">
        <f>IF('Part III-Sources of Funds'!$H$32="","",-FV('Part III-Sources of Funds'!$J$32/12,12,H81/12,G94))</f>
        <v>374448.86592266784</v>
      </c>
      <c r="I94" s="1604">
        <f>IF('Part III-Sources of Funds'!$H$32="","",-FV('Part III-Sources of Funds'!$J$32/12,12,I81/12,H94))</f>
        <v>257023.98755211831</v>
      </c>
      <c r="J94" s="1604">
        <f>IF('Part III-Sources of Funds'!$H$32="","",-FV('Part III-Sources of Funds'!$J$32/12,12,J81/12,I94))</f>
        <v>132356.59962521854</v>
      </c>
      <c r="K94" s="1604">
        <f>IF('Part III-Sources of Funds'!$H$32="","",-FV('Part III-Sources of Funds'!$J$32/12,12,K81/12,J94))</f>
        <v>1.2508826330304146E-7</v>
      </c>
      <c r="M94" s="1497"/>
      <c r="N94" s="1498"/>
    </row>
    <row r="95" spans="1:14" ht="13.15" customHeight="1">
      <c r="A95" s="564" t="s">
        <v>3417</v>
      </c>
      <c r="B95" s="1601">
        <f>IF('Part III-Sources of Funds'!$H$33="","",-FV('Part III-Sources of Funds'!$J$33/12,12,B82/12,K66))</f>
        <v>2728289.1245403956</v>
      </c>
      <c r="C95" s="1601">
        <f>IF('Part III-Sources of Funds'!$H$33="","",-FV('Part III-Sources of Funds'!$J$33/12,12,C82/12,B95))</f>
        <v>2796446.0212667612</v>
      </c>
      <c r="D95" s="1601">
        <f>IF('Part III-Sources of Funds'!$H$33="","",-FV('Part III-Sources of Funds'!$J$33/12,12,D82/12,C95))</f>
        <v>2866305.583055119</v>
      </c>
      <c r="E95" s="1601">
        <f>IF('Part III-Sources of Funds'!$H$33="","",-FV('Part III-Sources of Funds'!$J$33/12,12,E82/12,D95))</f>
        <v>2937910.3451213106</v>
      </c>
      <c r="F95" s="1601">
        <f>IF('Part III-Sources of Funds'!$H$33="","",-FV('Part III-Sources of Funds'!$J$33/12,12,F82/12,E95))</f>
        <v>3011303.9052768848</v>
      </c>
      <c r="G95" s="1601">
        <f>IF('Part III-Sources of Funds'!$H$33="","",-FV('Part III-Sources of Funds'!$J$33/12,12,G82/12,F95))</f>
        <v>3086530.9504743884</v>
      </c>
      <c r="H95" s="1601">
        <f>IF('Part III-Sources of Funds'!$H$33="","",-FV('Part III-Sources of Funds'!$J$33/12,12,H82/12,G95))</f>
        <v>3163637.2840157985</v>
      </c>
      <c r="I95" s="1601">
        <f>IF('Part III-Sources of Funds'!$H$33="","",-FV('Part III-Sources of Funds'!$J$33/12,12,I82/12,H95))</f>
        <v>3242669.8534406638</v>
      </c>
      <c r="J95" s="1601">
        <f>IF('Part III-Sources of Funds'!$H$33="","",-FV('Part III-Sources of Funds'!$J$33/12,12,J82/12,I95))</f>
        <v>3323676.7791109355</v>
      </c>
      <c r="K95" s="1601">
        <f>IF('Part III-Sources of Funds'!$H$33="","",-FV('Part III-Sources of Funds'!$J$33/12,12,K82/12,J95))</f>
        <v>3406707.3835098897</v>
      </c>
      <c r="M95" s="1497"/>
      <c r="N95" s="1498"/>
    </row>
    <row r="96" spans="1:14" ht="13.15" customHeight="1">
      <c r="A96" s="564" t="s">
        <v>3418</v>
      </c>
      <c r="B96" s="1601" t="str">
        <f>IF('Part III-Sources of Funds'!$H$34="","",-FV('Part III-Sources of Funds'!$J$34/12,12,B83/12,K67))</f>
        <v/>
      </c>
      <c r="C96" s="1601" t="str">
        <f>IF('Part III-Sources of Funds'!$H$34="","",-FV('Part III-Sources of Funds'!$J$34/12,12,C83/12,B96))</f>
        <v/>
      </c>
      <c r="D96" s="1601" t="str">
        <f>IF('Part III-Sources of Funds'!$H$34="","",-FV('Part III-Sources of Funds'!$J$34/12,12,D83/12,C96))</f>
        <v/>
      </c>
      <c r="E96" s="1601" t="str">
        <f>IF('Part III-Sources of Funds'!$H$34="","",-FV('Part III-Sources of Funds'!$J$34/12,12,E83/12,D96))</f>
        <v/>
      </c>
      <c r="F96" s="1601" t="str">
        <f>IF('Part III-Sources of Funds'!$H$34="","",-FV('Part III-Sources of Funds'!$J$34/12,12,F83/12,E96))</f>
        <v/>
      </c>
      <c r="G96" s="1601" t="str">
        <f>IF('Part III-Sources of Funds'!$H$34="","",-FV('Part III-Sources of Funds'!$J$34/12,12,G83/12,F96))</f>
        <v/>
      </c>
      <c r="H96" s="1601" t="str">
        <f>IF('Part III-Sources of Funds'!$H$34="","",-FV('Part III-Sources of Funds'!$J$34/12,12,H83/12,G96))</f>
        <v/>
      </c>
      <c r="I96" s="1601" t="str">
        <f>IF('Part III-Sources of Funds'!$H$34="","",-FV('Part III-Sources of Funds'!$J$34/12,12,I83/12,H96))</f>
        <v/>
      </c>
      <c r="J96" s="1601" t="str">
        <f>IF('Part III-Sources of Funds'!$H$34="","",-FV('Part III-Sources of Funds'!$J$34/12,12,J83/12,I96))</f>
        <v/>
      </c>
      <c r="K96" s="1601" t="str">
        <f>IF('Part III-Sources of Funds'!$H$34="","",-FV('Part III-Sources of Funds'!$J$34/12,12,K83/12,J96))</f>
        <v/>
      </c>
      <c r="M96" s="1497"/>
      <c r="N96" s="1498"/>
    </row>
    <row r="97" spans="1:14" ht="13.15" customHeight="1">
      <c r="A97" s="24" t="s">
        <v>1176</v>
      </c>
      <c r="B97" s="1601" t="str">
        <f>IF('Part III-Sources of Funds'!$H$35="","",-FV('Part III-Sources of Funds'!$J$35/12,12,B84/12,K68))</f>
        <v/>
      </c>
      <c r="C97" s="1601" t="str">
        <f>IF('Part III-Sources of Funds'!$H$35="","",-FV('Part III-Sources of Funds'!$J$35/12,12,C84/12,B97))</f>
        <v/>
      </c>
      <c r="D97" s="1601" t="str">
        <f>IF('Part III-Sources of Funds'!$H$35="","",-FV('Part III-Sources of Funds'!$J$35/12,12,D84/12,C97))</f>
        <v/>
      </c>
      <c r="E97" s="1601" t="str">
        <f>IF('Part III-Sources of Funds'!$H$35="","",-FV('Part III-Sources of Funds'!$J$35/12,12,E84/12,D97))</f>
        <v/>
      </c>
      <c r="F97" s="1601" t="str">
        <f>IF('Part III-Sources of Funds'!$H$35="","",-FV('Part III-Sources of Funds'!$J$35/12,12,F84/12,E97))</f>
        <v/>
      </c>
      <c r="G97" s="1601" t="str">
        <f>IF('Part III-Sources of Funds'!$H$35="","",-FV('Part III-Sources of Funds'!$J$35/12,12,G84/12,F97))</f>
        <v/>
      </c>
      <c r="H97" s="1601" t="str">
        <f>IF('Part III-Sources of Funds'!$H$35="","",-FV('Part III-Sources of Funds'!$J$35/12,12,H84/12,G97))</f>
        <v/>
      </c>
      <c r="I97" s="1601" t="str">
        <f>IF('Part III-Sources of Funds'!$H$35="","",-FV('Part III-Sources of Funds'!$J$35/12,12,I84/12,H97))</f>
        <v/>
      </c>
      <c r="J97" s="1601" t="str">
        <f>IF('Part III-Sources of Funds'!$H$35="","",-FV('Part III-Sources of Funds'!$J$35/12,12,J84/12,I97))</f>
        <v/>
      </c>
      <c r="K97" s="1601" t="str">
        <f>IF('Part III-Sources of Funds'!$H$35="","",-FV('Part III-Sources of Funds'!$J$35/12,12,K84/12,J97))</f>
        <v/>
      </c>
      <c r="M97" s="1497"/>
      <c r="N97" s="1498"/>
    </row>
    <row r="98" spans="1:14" ht="13.15" customHeight="1">
      <c r="A98" s="29" t="s">
        <v>1659</v>
      </c>
      <c r="B98" s="1603" t="str">
        <f>IF('Part III-Sources of Funds'!$H$37="","",-FV('Part III-Sources of Funds'!$J$37/12,12,B87/12,K69))</f>
        <v/>
      </c>
      <c r="C98" s="1603" t="str">
        <f>IF('Part III-Sources of Funds'!$H$37="","",-FV('Part III-Sources of Funds'!$J$37/12,12,C87/12,B98))</f>
        <v/>
      </c>
      <c r="D98" s="1603" t="str">
        <f>IF('Part III-Sources of Funds'!$H$37="","",-FV('Part III-Sources of Funds'!$J$37/12,12,D87/12,C98))</f>
        <v/>
      </c>
      <c r="E98" s="1603" t="str">
        <f>IF('Part III-Sources of Funds'!$H$37="","",-FV('Part III-Sources of Funds'!$J$37/12,12,E87/12,D98))</f>
        <v/>
      </c>
      <c r="F98" s="1603" t="str">
        <f>IF('Part III-Sources of Funds'!$H$37="","",-FV('Part III-Sources of Funds'!$J$37/12,12,F87/12,E98))</f>
        <v/>
      </c>
      <c r="G98" s="1603" t="str">
        <f>IF('Part III-Sources of Funds'!$H$37="","",-FV('Part III-Sources of Funds'!$J$37/12,12,G87/12,F98))</f>
        <v/>
      </c>
      <c r="H98" s="1603" t="str">
        <f>IF('Part III-Sources of Funds'!$H$37="","",-FV('Part III-Sources of Funds'!$J$37/12,12,H87/12,G98))</f>
        <v/>
      </c>
      <c r="I98" s="1603" t="str">
        <f>IF('Part III-Sources of Funds'!$H$37="","",-FV('Part III-Sources of Funds'!$J$37/12,12,I87/12,H98))</f>
        <v/>
      </c>
      <c r="J98" s="1603" t="str">
        <f>IF('Part III-Sources of Funds'!$H$37="","",-FV('Part III-Sources of Funds'!$J$37/12,12,J87/12,I98))</f>
        <v/>
      </c>
      <c r="K98" s="1603" t="str">
        <f>IF('Part III-Sources of Funds'!$H$37="","",-FV('Part III-Sources of Funds'!$J$37/12,12,K87/12,J98))</f>
        <v/>
      </c>
      <c r="M98" s="1500"/>
      <c r="N98" s="1501"/>
    </row>
    <row r="99" spans="1:14" ht="4.1500000000000004" customHeight="1">
      <c r="B99" s="20"/>
      <c r="C99" s="20"/>
      <c r="D99" s="20"/>
      <c r="E99" s="20"/>
      <c r="F99" s="20"/>
      <c r="G99" s="20"/>
      <c r="H99" s="20"/>
      <c r="I99" s="20"/>
      <c r="J99" s="20"/>
      <c r="K99" s="20"/>
    </row>
    <row r="100" spans="1:14" ht="4.1500000000000004" customHeight="1"/>
    <row r="101" spans="1:14" ht="12" customHeight="1">
      <c r="A101" s="16" t="s">
        <v>743</v>
      </c>
      <c r="B101" s="16"/>
      <c r="G101" s="16" t="s">
        <v>1435</v>
      </c>
    </row>
    <row r="102" spans="1:14" ht="12" customHeight="1">
      <c r="B102" s="35"/>
    </row>
    <row r="103" spans="1:14" ht="210" customHeight="1">
      <c r="A103" s="1375" t="s">
        <v>4182</v>
      </c>
      <c r="B103" s="1605"/>
      <c r="C103" s="1605"/>
      <c r="D103" s="1605"/>
      <c r="E103" s="1605"/>
      <c r="F103" s="1606"/>
      <c r="G103" s="1378"/>
      <c r="H103" s="1605"/>
      <c r="I103" s="1605"/>
      <c r="J103" s="1605"/>
      <c r="K103" s="1606"/>
      <c r="M103" s="915" t="s">
        <v>3595</v>
      </c>
      <c r="N103" s="915"/>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BD88"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7"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713"/>
  <sheetViews>
    <sheetView showGridLines="0" showZeros="0" zoomScaleNormal="100" zoomScaleSheetLayoutView="40" workbookViewId="0">
      <selection activeCell="A332"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8"/>
    <col min="33" max="16384" width="9.140625" style="43"/>
  </cols>
  <sheetData>
    <row r="1" spans="1:32" ht="13.9" customHeight="1">
      <c r="A1" s="919" t="str">
        <f>CONCATENATE("PART EIGHT - THRESHOLD CRITERIA","  -  ",'Part I-Project Information'!$O$4," ",'Part I-Project Information'!$F$23,", ",'Part I-Project Information'!F26,", ",'Part I-Project Information'!J27," County")</f>
        <v>PART EIGHT - THRESHOLD CRITERIA  -  2013-011 Mountain View Senior Residences, Stone Mountain, DeKalb County</v>
      </c>
      <c r="B1" s="920"/>
      <c r="C1" s="920"/>
      <c r="D1" s="920"/>
      <c r="E1" s="920"/>
      <c r="F1" s="920"/>
      <c r="G1" s="920"/>
      <c r="H1" s="920"/>
      <c r="I1" s="920"/>
      <c r="J1" s="920"/>
      <c r="K1" s="920"/>
      <c r="L1" s="920"/>
      <c r="M1" s="920"/>
      <c r="N1" s="920"/>
      <c r="O1" s="920"/>
      <c r="P1" s="920"/>
      <c r="Q1" s="920"/>
    </row>
    <row r="2" spans="1:32" s="31" customFormat="1" ht="3" customHeight="1">
      <c r="S2" s="43"/>
      <c r="T2" s="43"/>
      <c r="AE2" s="142"/>
      <c r="AF2" s="142"/>
    </row>
    <row r="3" spans="1:32" ht="13.5" customHeight="1">
      <c r="A3" s="1111" t="str">
        <f>IF(OR(P29="Fail",P41="Fail",P58="Fail",P64="Fail",P76="Fail",P91="Fail",P109="Fail",P145="Fail",P154="Fail",P163="Fail",P179="Fail",P187="Fail",P198="Fail",P210="Fail",P241="Fail",P253="Fail",P262="Fail",P271="Fail",P281="Fail",P300="Fail",P311="Fail",P322="Fail",P335="Fail",P360="Fail",P373="Fail",P383="Fail",P394="Fail",P412="Fail",P424="Fail"),"Preliminary Rating: FAIL",IF(OR(P29="",P41="",P58="",P64="",P76="",P91="",P109="",P145="",P154="",P163="",P179="",P187="",P198="",P210="",P241="",P253="",P262="",P271="",P281="",P300="",P311="",P322="",P335="",P360="",P373="",P383="",P394="",P412="",P424=""),"Preliminary Rating: Incomplete",IF(OR(P29="TBD",P41="TBD",P58="TBD",P64="TBD",P76="TBD",P91="TBD",P109="TBD",P145="TBD",P154="TBD",P163="TBD",P179="TBD",P187="TBD",P198="TBD",P210="TBD",P241="TBD",P253="TBD",P262="TBD",P271="TBD",P281="TBD",P300="TBD",P311="TBD",P322="TBD",P335="TBD",P360="TBD",P373="TBD",P383="TBD",P394="TBD",P412="TBD",P424="TBD"),"Preliminary Rating: TBD","")))</f>
        <v>Preliminary Rating: Incomplete</v>
      </c>
      <c r="B3" s="1111"/>
      <c r="C3" s="1111"/>
      <c r="D3" s="1111"/>
      <c r="E3" s="1111"/>
      <c r="F3" s="1111"/>
      <c r="G3" s="1111"/>
      <c r="H3" s="1111" t="str">
        <f>IF(AND(NOT(A3="Preliminary Rating: Fail"),NOT(A3="Preliminary Rating: Incomplete"),NOT(A3="Preliminary Rating: TBD"),OR(P29="Conditional Pass",P41="Conditional Pass",P58="Conditional Pass",P64="Conditional Pass",P76="Conditional Pass",P91="Conditional Pass",P109="Conditional Pass",P145="Conditional Pass",P154="Conditional Pass",P163="Conditional Pass",P179="Conditional Pass",P187="Conditional Pass",P198="Conditional Pass",P210="Conditional Pass",P241="Conditional Pass",P253="Conditional Pass",P262="Conditional Pass",P271="Conditional Pass",P281="Conditional Pass",P300="Conditional Pass",P311="Conditional Pass",P322="Conditional Pass",P335="Conditional Pass",P360="Conditional Pass",P373="Conditional Pass",P383="Conditional Pass",P394="Conditional Pass",P412="Conditional Pass",P424="Conditional Pass")),"Preliminary Rating: Conditional Pass","")</f>
        <v/>
      </c>
      <c r="I3" s="1111"/>
      <c r="J3" s="1111"/>
      <c r="K3" s="1111"/>
      <c r="L3" s="1111"/>
      <c r="M3" s="1111"/>
      <c r="N3" s="1112"/>
      <c r="O3" s="1113" t="s">
        <v>1331</v>
      </c>
      <c r="P3" s="1114"/>
      <c r="Q3" s="274" t="s">
        <v>2543</v>
      </c>
    </row>
    <row r="4" spans="1:32" ht="3" customHeight="1">
      <c r="A4" s="802"/>
      <c r="B4" s="1105"/>
      <c r="C4" s="1105"/>
      <c r="D4" s="1105"/>
      <c r="E4" s="802"/>
      <c r="F4" s="802"/>
      <c r="G4" s="802"/>
      <c r="H4" s="802"/>
      <c r="I4" s="802"/>
      <c r="J4" s="802"/>
      <c r="K4" s="802"/>
      <c r="L4" s="802"/>
      <c r="M4" s="802"/>
      <c r="N4" s="802"/>
      <c r="P4" s="802"/>
      <c r="Q4" s="802"/>
    </row>
    <row r="5" spans="1:32" ht="10.9" hidden="1" customHeight="1">
      <c r="A5" s="802"/>
      <c r="B5" s="802"/>
      <c r="C5" s="802"/>
      <c r="D5" s="802"/>
      <c r="E5" s="802"/>
      <c r="F5" s="802"/>
      <c r="G5" s="802"/>
      <c r="H5" s="802"/>
      <c r="I5" s="802"/>
      <c r="J5" s="802"/>
      <c r="K5" s="802"/>
      <c r="L5" s="802"/>
      <c r="M5" s="802"/>
      <c r="N5" s="802"/>
      <c r="P5" s="802"/>
      <c r="Q5" s="802"/>
    </row>
    <row r="6" spans="1:32" ht="15" customHeight="1">
      <c r="A6" s="156" t="s">
        <v>735</v>
      </c>
      <c r="J6" s="802"/>
      <c r="K6" s="802"/>
      <c r="L6" s="802"/>
      <c r="M6" s="802"/>
      <c r="N6" s="802"/>
      <c r="P6" s="1106"/>
      <c r="Q6" s="1107"/>
    </row>
    <row r="7" spans="1:32" ht="12.6" customHeight="1">
      <c r="A7" s="157" t="s">
        <v>304</v>
      </c>
      <c r="C7" s="158"/>
      <c r="D7" s="158"/>
      <c r="J7" s="802"/>
      <c r="K7" s="802"/>
      <c r="L7" s="802"/>
      <c r="M7" s="802"/>
      <c r="N7" s="802"/>
    </row>
    <row r="8" spans="1:32" ht="24.6" customHeight="1">
      <c r="A8" s="1108" t="s">
        <v>1848</v>
      </c>
      <c r="B8" s="1109"/>
      <c r="C8" s="1109"/>
      <c r="D8" s="1109"/>
      <c r="E8" s="1109"/>
      <c r="F8" s="1109"/>
      <c r="G8" s="1109"/>
      <c r="H8" s="1109"/>
      <c r="I8" s="1109"/>
      <c r="J8" s="1109"/>
      <c r="K8" s="1109"/>
      <c r="L8" s="1109"/>
      <c r="M8" s="1109"/>
      <c r="N8" s="1109"/>
      <c r="O8" s="1109"/>
      <c r="P8" s="1109"/>
      <c r="Q8" s="1110"/>
      <c r="R8" s="1074" t="s">
        <v>2743</v>
      </c>
      <c r="S8" s="817"/>
    </row>
    <row r="9" spans="1:32" ht="24.6" customHeight="1">
      <c r="A9" s="1085" t="s">
        <v>247</v>
      </c>
      <c r="B9" s="1086"/>
      <c r="C9" s="1086"/>
      <c r="D9" s="1086"/>
      <c r="E9" s="1086"/>
      <c r="F9" s="1086"/>
      <c r="G9" s="1086"/>
      <c r="H9" s="1086"/>
      <c r="I9" s="1086"/>
      <c r="J9" s="1086"/>
      <c r="K9" s="1086"/>
      <c r="L9" s="1086"/>
      <c r="M9" s="1086"/>
      <c r="N9" s="1086"/>
      <c r="O9" s="1086"/>
      <c r="P9" s="1086"/>
      <c r="Q9" s="1087"/>
      <c r="R9" s="1074"/>
      <c r="S9" s="817"/>
    </row>
    <row r="10" spans="1:32" ht="24.6" customHeight="1">
      <c r="A10" s="1085" t="s">
        <v>1844</v>
      </c>
      <c r="B10" s="1086"/>
      <c r="C10" s="1086"/>
      <c r="D10" s="1086"/>
      <c r="E10" s="1086"/>
      <c r="F10" s="1086"/>
      <c r="G10" s="1086"/>
      <c r="H10" s="1086"/>
      <c r="I10" s="1086"/>
      <c r="J10" s="1086"/>
      <c r="K10" s="1086"/>
      <c r="L10" s="1086"/>
      <c r="M10" s="1086"/>
      <c r="N10" s="1086"/>
      <c r="O10" s="1086"/>
      <c r="P10" s="1086"/>
      <c r="Q10" s="1087"/>
      <c r="R10" s="1074"/>
      <c r="S10" s="817"/>
    </row>
    <row r="11" spans="1:32" ht="24.6" customHeight="1">
      <c r="A11" s="1085" t="s">
        <v>1845</v>
      </c>
      <c r="B11" s="1086"/>
      <c r="C11" s="1086"/>
      <c r="D11" s="1086"/>
      <c r="E11" s="1086"/>
      <c r="F11" s="1086"/>
      <c r="G11" s="1086"/>
      <c r="H11" s="1086"/>
      <c r="I11" s="1086"/>
      <c r="J11" s="1086"/>
      <c r="K11" s="1086"/>
      <c r="L11" s="1086"/>
      <c r="M11" s="1086"/>
      <c r="N11" s="1086"/>
      <c r="O11" s="1086"/>
      <c r="P11" s="1086"/>
      <c r="Q11" s="1087"/>
      <c r="R11" s="1074"/>
      <c r="S11" s="817"/>
    </row>
    <row r="12" spans="1:32" ht="24.6" customHeight="1">
      <c r="A12" s="1085" t="s">
        <v>1846</v>
      </c>
      <c r="B12" s="1086"/>
      <c r="C12" s="1086"/>
      <c r="D12" s="1086"/>
      <c r="E12" s="1086"/>
      <c r="F12" s="1086"/>
      <c r="G12" s="1086"/>
      <c r="H12" s="1086"/>
      <c r="I12" s="1086"/>
      <c r="J12" s="1086"/>
      <c r="K12" s="1086"/>
      <c r="L12" s="1086"/>
      <c r="M12" s="1086"/>
      <c r="N12" s="1086"/>
      <c r="O12" s="1086"/>
      <c r="P12" s="1086"/>
      <c r="Q12" s="1087"/>
      <c r="R12" s="778"/>
      <c r="S12" s="778"/>
    </row>
    <row r="13" spans="1:32" ht="24.6" customHeight="1">
      <c r="A13" s="1085" t="s">
        <v>1847</v>
      </c>
      <c r="B13" s="1086"/>
      <c r="C13" s="1086"/>
      <c r="D13" s="1086"/>
      <c r="E13" s="1086"/>
      <c r="F13" s="1086"/>
      <c r="G13" s="1086"/>
      <c r="H13" s="1086"/>
      <c r="I13" s="1086"/>
      <c r="J13" s="1086"/>
      <c r="K13" s="1086"/>
      <c r="L13" s="1086"/>
      <c r="M13" s="1086"/>
      <c r="N13" s="1086"/>
      <c r="O13" s="1086"/>
      <c r="P13" s="1086"/>
      <c r="Q13" s="1087"/>
      <c r="R13" s="778"/>
      <c r="S13" s="778"/>
    </row>
    <row r="14" spans="1:32" ht="24.6" customHeight="1">
      <c r="A14" s="1085" t="s">
        <v>1849</v>
      </c>
      <c r="B14" s="1086"/>
      <c r="C14" s="1086"/>
      <c r="D14" s="1086"/>
      <c r="E14" s="1086"/>
      <c r="F14" s="1086"/>
      <c r="G14" s="1086"/>
      <c r="H14" s="1086"/>
      <c r="I14" s="1086"/>
      <c r="J14" s="1086"/>
      <c r="K14" s="1086"/>
      <c r="L14" s="1086"/>
      <c r="M14" s="1086"/>
      <c r="N14" s="1086"/>
      <c r="O14" s="1086"/>
      <c r="P14" s="1086"/>
      <c r="Q14" s="1087"/>
    </row>
    <row r="15" spans="1:32" ht="24.6" customHeight="1">
      <c r="A15" s="1085" t="s">
        <v>2730</v>
      </c>
      <c r="B15" s="1086"/>
      <c r="C15" s="1086"/>
      <c r="D15" s="1086"/>
      <c r="E15" s="1086"/>
      <c r="F15" s="1086"/>
      <c r="G15" s="1086"/>
      <c r="H15" s="1086"/>
      <c r="I15" s="1086"/>
      <c r="J15" s="1086"/>
      <c r="K15" s="1086"/>
      <c r="L15" s="1086"/>
      <c r="M15" s="1086"/>
      <c r="N15" s="1086"/>
      <c r="O15" s="1086"/>
      <c r="P15" s="1086"/>
      <c r="Q15" s="1087"/>
      <c r="R15" s="817" t="s">
        <v>2743</v>
      </c>
      <c r="S15" s="817"/>
    </row>
    <row r="16" spans="1:32" ht="24.6" customHeight="1">
      <c r="A16" s="1085" t="s">
        <v>2731</v>
      </c>
      <c r="B16" s="1086"/>
      <c r="C16" s="1086"/>
      <c r="D16" s="1086"/>
      <c r="E16" s="1086"/>
      <c r="F16" s="1086"/>
      <c r="G16" s="1086"/>
      <c r="H16" s="1086"/>
      <c r="I16" s="1086"/>
      <c r="J16" s="1086"/>
      <c r="K16" s="1086"/>
      <c r="L16" s="1086"/>
      <c r="M16" s="1086"/>
      <c r="N16" s="1086"/>
      <c r="O16" s="1086"/>
      <c r="P16" s="1086"/>
      <c r="Q16" s="1087"/>
      <c r="R16" s="817"/>
      <c r="S16" s="817"/>
    </row>
    <row r="17" spans="1:19" ht="24.6" customHeight="1">
      <c r="A17" s="1085" t="s">
        <v>2732</v>
      </c>
      <c r="B17" s="1086"/>
      <c r="C17" s="1086"/>
      <c r="D17" s="1086"/>
      <c r="E17" s="1086"/>
      <c r="F17" s="1086"/>
      <c r="G17" s="1086"/>
      <c r="H17" s="1086"/>
      <c r="I17" s="1086"/>
      <c r="J17" s="1086"/>
      <c r="K17" s="1086"/>
      <c r="L17" s="1086"/>
      <c r="M17" s="1086"/>
      <c r="N17" s="1086"/>
      <c r="O17" s="1086"/>
      <c r="P17" s="1086"/>
      <c r="Q17" s="1087"/>
      <c r="R17" s="817"/>
      <c r="S17" s="817"/>
    </row>
    <row r="18" spans="1:19" ht="24.6" customHeight="1">
      <c r="A18" s="1085" t="s">
        <v>2733</v>
      </c>
      <c r="B18" s="1086"/>
      <c r="C18" s="1086"/>
      <c r="D18" s="1086"/>
      <c r="E18" s="1086"/>
      <c r="F18" s="1086"/>
      <c r="G18" s="1086"/>
      <c r="H18" s="1086"/>
      <c r="I18" s="1086"/>
      <c r="J18" s="1086"/>
      <c r="K18" s="1086"/>
      <c r="L18" s="1086"/>
      <c r="M18" s="1086"/>
      <c r="N18" s="1086"/>
      <c r="O18" s="1086"/>
      <c r="P18" s="1086"/>
      <c r="Q18" s="1087"/>
      <c r="R18" s="817"/>
      <c r="S18" s="817"/>
    </row>
    <row r="19" spans="1:19" ht="24.6" customHeight="1">
      <c r="A19" s="1085" t="s">
        <v>2734</v>
      </c>
      <c r="B19" s="1086"/>
      <c r="C19" s="1086"/>
      <c r="D19" s="1086"/>
      <c r="E19" s="1086"/>
      <c r="F19" s="1086"/>
      <c r="G19" s="1086"/>
      <c r="H19" s="1086"/>
      <c r="I19" s="1086"/>
      <c r="J19" s="1086"/>
      <c r="K19" s="1086"/>
      <c r="L19" s="1086"/>
      <c r="M19" s="1086"/>
      <c r="N19" s="1086"/>
      <c r="O19" s="1086"/>
      <c r="P19" s="1086"/>
      <c r="Q19" s="1087"/>
      <c r="R19" s="778"/>
      <c r="S19" s="778"/>
    </row>
    <row r="20" spans="1:19" ht="24.6" customHeight="1">
      <c r="A20" s="1085" t="s">
        <v>2735</v>
      </c>
      <c r="B20" s="1086"/>
      <c r="C20" s="1086"/>
      <c r="D20" s="1086"/>
      <c r="E20" s="1086"/>
      <c r="F20" s="1086"/>
      <c r="G20" s="1086"/>
      <c r="H20" s="1086"/>
      <c r="I20" s="1086"/>
      <c r="J20" s="1086"/>
      <c r="K20" s="1086"/>
      <c r="L20" s="1086"/>
      <c r="M20" s="1086"/>
      <c r="N20" s="1086"/>
      <c r="O20" s="1086"/>
      <c r="P20" s="1086"/>
      <c r="Q20" s="1087"/>
      <c r="R20" s="778"/>
      <c r="S20" s="778"/>
    </row>
    <row r="21" spans="1:19" ht="24.6" customHeight="1">
      <c r="A21" s="1085" t="s">
        <v>2736</v>
      </c>
      <c r="B21" s="1086"/>
      <c r="C21" s="1086"/>
      <c r="D21" s="1086"/>
      <c r="E21" s="1086"/>
      <c r="F21" s="1086"/>
      <c r="G21" s="1086"/>
      <c r="H21" s="1086"/>
      <c r="I21" s="1086"/>
      <c r="J21" s="1086"/>
      <c r="K21" s="1086"/>
      <c r="L21" s="1086"/>
      <c r="M21" s="1086"/>
      <c r="N21" s="1086"/>
      <c r="O21" s="1086"/>
      <c r="P21" s="1086"/>
      <c r="Q21" s="1087"/>
    </row>
    <row r="22" spans="1:19" ht="24.6" customHeight="1">
      <c r="A22" s="1085" t="s">
        <v>2737</v>
      </c>
      <c r="B22" s="1086"/>
      <c r="C22" s="1086"/>
      <c r="D22" s="1086"/>
      <c r="E22" s="1086"/>
      <c r="F22" s="1086"/>
      <c r="G22" s="1086"/>
      <c r="H22" s="1086"/>
      <c r="I22" s="1086"/>
      <c r="J22" s="1086"/>
      <c r="K22" s="1086"/>
      <c r="L22" s="1086"/>
      <c r="M22" s="1086"/>
      <c r="N22" s="1086"/>
      <c r="O22" s="1086"/>
      <c r="P22" s="1086"/>
      <c r="Q22" s="1087"/>
      <c r="R22" s="817" t="s">
        <v>2743</v>
      </c>
      <c r="S22" s="817"/>
    </row>
    <row r="23" spans="1:19" ht="24.6" customHeight="1">
      <c r="A23" s="1085" t="s">
        <v>2738</v>
      </c>
      <c r="B23" s="1086"/>
      <c r="C23" s="1086"/>
      <c r="D23" s="1086"/>
      <c r="E23" s="1086"/>
      <c r="F23" s="1086"/>
      <c r="G23" s="1086"/>
      <c r="H23" s="1086"/>
      <c r="I23" s="1086"/>
      <c r="J23" s="1086"/>
      <c r="K23" s="1086"/>
      <c r="L23" s="1086"/>
      <c r="M23" s="1086"/>
      <c r="N23" s="1086"/>
      <c r="O23" s="1086"/>
      <c r="P23" s="1086"/>
      <c r="Q23" s="1087"/>
      <c r="R23" s="817"/>
      <c r="S23" s="817"/>
    </row>
    <row r="24" spans="1:19" ht="24.6" customHeight="1">
      <c r="A24" s="1085" t="s">
        <v>2739</v>
      </c>
      <c r="B24" s="1086"/>
      <c r="C24" s="1086"/>
      <c r="D24" s="1086"/>
      <c r="E24" s="1086"/>
      <c r="F24" s="1086"/>
      <c r="G24" s="1086"/>
      <c r="H24" s="1086"/>
      <c r="I24" s="1086"/>
      <c r="J24" s="1086"/>
      <c r="K24" s="1086"/>
      <c r="L24" s="1086"/>
      <c r="M24" s="1086"/>
      <c r="N24" s="1086"/>
      <c r="O24" s="1086"/>
      <c r="P24" s="1086"/>
      <c r="Q24" s="1087"/>
      <c r="R24" s="817"/>
      <c r="S24" s="817"/>
    </row>
    <row r="25" spans="1:19" ht="24.6" customHeight="1">
      <c r="A25" s="1085" t="s">
        <v>2740</v>
      </c>
      <c r="B25" s="1086"/>
      <c r="C25" s="1086"/>
      <c r="D25" s="1086"/>
      <c r="E25" s="1086"/>
      <c r="F25" s="1086"/>
      <c r="G25" s="1086"/>
      <c r="H25" s="1086"/>
      <c r="I25" s="1086"/>
      <c r="J25" s="1086"/>
      <c r="K25" s="1086"/>
      <c r="L25" s="1086"/>
      <c r="M25" s="1086"/>
      <c r="N25" s="1086"/>
      <c r="O25" s="1086"/>
      <c r="P25" s="1086"/>
      <c r="Q25" s="1087"/>
      <c r="R25" s="817"/>
      <c r="S25" s="817"/>
    </row>
    <row r="26" spans="1:19" ht="24.6" customHeight="1">
      <c r="A26" s="1085" t="s">
        <v>2741</v>
      </c>
      <c r="B26" s="1086"/>
      <c r="C26" s="1086"/>
      <c r="D26" s="1086"/>
      <c r="E26" s="1086"/>
      <c r="F26" s="1086"/>
      <c r="G26" s="1086"/>
      <c r="H26" s="1086"/>
      <c r="I26" s="1086"/>
      <c r="J26" s="1086"/>
      <c r="K26" s="1086"/>
      <c r="L26" s="1086"/>
      <c r="M26" s="1086"/>
      <c r="N26" s="1086"/>
      <c r="O26" s="1086"/>
      <c r="P26" s="1086"/>
      <c r="Q26" s="1087"/>
      <c r="R26" s="778"/>
      <c r="S26" s="778"/>
    </row>
    <row r="27" spans="1:19" ht="24.6" customHeight="1">
      <c r="A27" s="1088" t="s">
        <v>2742</v>
      </c>
      <c r="B27" s="1089"/>
      <c r="C27" s="1089"/>
      <c r="D27" s="1089"/>
      <c r="E27" s="1089"/>
      <c r="F27" s="1089"/>
      <c r="G27" s="1089"/>
      <c r="H27" s="1089"/>
      <c r="I27" s="1089"/>
      <c r="J27" s="1089"/>
      <c r="K27" s="1089"/>
      <c r="L27" s="1089"/>
      <c r="M27" s="1089"/>
      <c r="N27" s="1089"/>
      <c r="O27" s="1089"/>
      <c r="P27" s="1089"/>
      <c r="Q27" s="1090"/>
      <c r="R27" s="778"/>
      <c r="S27" s="778"/>
    </row>
    <row r="28" spans="1:19" ht="6" customHeight="1"/>
    <row r="29" spans="1:19" ht="13.9" customHeight="1">
      <c r="A29" s="159">
        <v>1</v>
      </c>
      <c r="B29" s="160" t="s">
        <v>3485</v>
      </c>
      <c r="C29" s="161"/>
      <c r="D29" s="104"/>
      <c r="E29" s="104"/>
      <c r="F29" s="104"/>
      <c r="G29" s="104"/>
      <c r="I29" s="162"/>
      <c r="J29" s="162"/>
      <c r="K29" s="162"/>
      <c r="L29" s="802"/>
      <c r="M29" s="802"/>
      <c r="O29" s="163" t="s">
        <v>2572</v>
      </c>
      <c r="P29" s="1051"/>
      <c r="Q29" s="1054"/>
    </row>
    <row r="30" spans="1:19" ht="3" customHeight="1"/>
    <row r="31" spans="1:19" ht="12" customHeight="1">
      <c r="B31" s="174" t="s">
        <v>2694</v>
      </c>
      <c r="C31" s="61" t="s">
        <v>3928</v>
      </c>
      <c r="E31" s="38"/>
      <c r="F31" s="38"/>
      <c r="G31" s="38"/>
      <c r="H31" s="38"/>
      <c r="I31" s="49"/>
      <c r="J31" s="40"/>
      <c r="K31" s="49"/>
      <c r="L31" s="40"/>
      <c r="M31" s="40"/>
      <c r="O31" s="78" t="s">
        <v>773</v>
      </c>
      <c r="P31" s="1607" t="s">
        <v>4074</v>
      </c>
      <c r="Q31" s="210"/>
    </row>
    <row r="32" spans="1:19" ht="12" customHeight="1">
      <c r="B32" s="54" t="s">
        <v>2697</v>
      </c>
      <c r="C32" s="61" t="s">
        <v>907</v>
      </c>
      <c r="E32" s="38"/>
      <c r="F32" s="38"/>
      <c r="G32" s="38"/>
      <c r="H32" s="38"/>
      <c r="J32" s="1608" t="s">
        <v>2874</v>
      </c>
      <c r="K32" s="1609"/>
      <c r="L32" s="1609"/>
      <c r="M32" s="1609"/>
      <c r="N32" s="1610"/>
      <c r="O32" s="78"/>
      <c r="P32" s="78"/>
      <c r="Q32" s="78"/>
    </row>
    <row r="33" spans="1:31" ht="11.25" customHeight="1">
      <c r="B33" s="79" t="s">
        <v>2570</v>
      </c>
      <c r="C33" s="79"/>
      <c r="D33" s="79"/>
      <c r="E33" s="79"/>
      <c r="F33" s="79"/>
      <c r="G33" s="162"/>
      <c r="H33" s="162"/>
      <c r="I33" s="162"/>
      <c r="J33" s="162"/>
      <c r="K33" s="802"/>
      <c r="L33" s="802"/>
      <c r="M33" s="802"/>
      <c r="N33" s="802"/>
      <c r="O33" s="802"/>
      <c r="P33" s="59"/>
      <c r="S33" s="195"/>
      <c r="T33" s="195"/>
    </row>
    <row r="34" spans="1:31" ht="12" customHeight="1">
      <c r="A34" s="1611"/>
      <c r="B34" s="1612"/>
      <c r="C34" s="1612"/>
      <c r="D34" s="1612"/>
      <c r="E34" s="1612"/>
      <c r="F34" s="1612"/>
      <c r="G34" s="1612"/>
      <c r="H34" s="1612"/>
      <c r="I34" s="1612"/>
      <c r="J34" s="1612"/>
      <c r="K34" s="1612"/>
      <c r="L34" s="1612"/>
      <c r="M34" s="1612"/>
      <c r="N34" s="1612"/>
      <c r="O34" s="1612"/>
      <c r="P34" s="1612"/>
      <c r="Q34" s="1613"/>
      <c r="R34" s="614" t="s">
        <v>1677</v>
      </c>
      <c r="S34" s="615"/>
      <c r="T34" s="195"/>
      <c r="U34" s="168"/>
      <c r="V34" s="168"/>
      <c r="W34" s="168"/>
      <c r="X34" s="168"/>
      <c r="Y34" s="168"/>
      <c r="Z34" s="168"/>
      <c r="AA34" s="168"/>
      <c r="AB34" s="168"/>
      <c r="AC34" s="168"/>
      <c r="AD34" s="168"/>
      <c r="AE34" s="656"/>
    </row>
    <row r="35" spans="1:31" ht="11.25" customHeight="1">
      <c r="B35" s="169" t="s">
        <v>2571</v>
      </c>
      <c r="C35" s="170"/>
      <c r="D35" s="809"/>
      <c r="E35" s="809"/>
      <c r="F35" s="809"/>
      <c r="G35" s="809"/>
      <c r="H35" s="809"/>
      <c r="I35" s="809"/>
      <c r="J35" s="809"/>
      <c r="K35" s="809"/>
      <c r="L35" s="809"/>
      <c r="M35" s="809"/>
      <c r="N35" s="809"/>
      <c r="O35" s="809"/>
      <c r="P35" s="809"/>
    </row>
    <row r="36" spans="1:31" ht="12" customHeight="1">
      <c r="A36" s="1082"/>
      <c r="B36" s="1083"/>
      <c r="C36" s="1083"/>
      <c r="D36" s="1083"/>
      <c r="E36" s="1083"/>
      <c r="F36" s="1083"/>
      <c r="G36" s="1083"/>
      <c r="H36" s="1083"/>
      <c r="I36" s="1083"/>
      <c r="J36" s="1083"/>
      <c r="K36" s="1083"/>
      <c r="L36" s="1083"/>
      <c r="M36" s="1083"/>
      <c r="N36" s="1083"/>
      <c r="O36" s="1083"/>
      <c r="P36" s="1083"/>
      <c r="Q36" s="1084"/>
      <c r="R36" s="614" t="s">
        <v>1677</v>
      </c>
      <c r="S36" s="615"/>
    </row>
    <row r="37" spans="1:31" ht="12" customHeight="1">
      <c r="A37" s="1095"/>
      <c r="B37" s="1096"/>
      <c r="C37" s="1096"/>
      <c r="D37" s="1096"/>
      <c r="E37" s="1096"/>
      <c r="F37" s="1096"/>
      <c r="G37" s="1096"/>
      <c r="H37" s="1096"/>
      <c r="I37" s="1096"/>
      <c r="J37" s="1096"/>
      <c r="K37" s="1096"/>
      <c r="L37" s="1096"/>
      <c r="M37" s="1096"/>
      <c r="N37" s="1096"/>
      <c r="O37" s="1096"/>
      <c r="P37" s="1096"/>
      <c r="Q37" s="1097"/>
    </row>
    <row r="38" spans="1:31" ht="12" customHeight="1">
      <c r="A38" s="1095"/>
      <c r="B38" s="1096"/>
      <c r="C38" s="1096"/>
      <c r="D38" s="1096"/>
      <c r="E38" s="1096"/>
      <c r="F38" s="1096"/>
      <c r="G38" s="1096"/>
      <c r="H38" s="1096"/>
      <c r="I38" s="1096"/>
      <c r="J38" s="1096"/>
      <c r="K38" s="1096"/>
      <c r="L38" s="1096"/>
      <c r="M38" s="1096"/>
      <c r="N38" s="1096"/>
      <c r="O38" s="1096"/>
      <c r="P38" s="1096"/>
      <c r="Q38" s="1097"/>
    </row>
    <row r="39" spans="1:31" ht="12" customHeight="1">
      <c r="A39" s="1079"/>
      <c r="B39" s="1080"/>
      <c r="C39" s="1080"/>
      <c r="D39" s="1080"/>
      <c r="E39" s="1080"/>
      <c r="F39" s="1080"/>
      <c r="G39" s="1080"/>
      <c r="H39" s="1080"/>
      <c r="I39" s="1080"/>
      <c r="J39" s="1080"/>
      <c r="K39" s="1080"/>
      <c r="L39" s="1080"/>
      <c r="M39" s="1080"/>
      <c r="N39" s="1080"/>
      <c r="O39" s="1080"/>
      <c r="P39" s="1080"/>
      <c r="Q39" s="1081"/>
    </row>
    <row r="40" spans="1:31" ht="3" customHeight="1">
      <c r="B40" s="162"/>
      <c r="C40" s="809"/>
      <c r="D40" s="809"/>
      <c r="E40" s="809"/>
      <c r="F40" s="809"/>
      <c r="G40" s="809"/>
      <c r="H40" s="809"/>
      <c r="I40" s="809"/>
      <c r="J40" s="809"/>
      <c r="K40" s="809"/>
      <c r="L40" s="809"/>
      <c r="M40" s="809"/>
      <c r="N40" s="809"/>
      <c r="O40" s="809"/>
      <c r="P40" s="809"/>
      <c r="Q40" s="802"/>
    </row>
    <row r="41" spans="1:31" ht="13.9" customHeight="1">
      <c r="A41" s="811">
        <v>2</v>
      </c>
      <c r="B41" s="5" t="s">
        <v>3642</v>
      </c>
      <c r="C41" s="5"/>
      <c r="D41" s="5"/>
      <c r="E41" s="809"/>
      <c r="F41" s="809"/>
      <c r="G41" s="809"/>
      <c r="H41" s="809"/>
      <c r="K41" s="809"/>
      <c r="L41" s="809"/>
      <c r="M41" s="809"/>
      <c r="O41" s="163" t="s">
        <v>2572</v>
      </c>
      <c r="P41" s="1051"/>
      <c r="Q41" s="1054"/>
    </row>
    <row r="42" spans="1:31" ht="3" customHeight="1">
      <c r="K42" s="809"/>
      <c r="L42" s="809"/>
    </row>
    <row r="43" spans="1:31" ht="12.75" customHeight="1">
      <c r="A43" s="1041" t="s">
        <v>3926</v>
      </c>
      <c r="B43" s="1041"/>
      <c r="C43" s="1041"/>
      <c r="D43" s="1041"/>
      <c r="E43" s="1041"/>
      <c r="F43" s="1614" t="s">
        <v>3649</v>
      </c>
      <c r="G43" s="1615"/>
      <c r="H43" s="1615"/>
      <c r="I43" s="1616"/>
      <c r="K43" s="1614" t="s">
        <v>3651</v>
      </c>
      <c r="L43" s="1615"/>
      <c r="M43" s="1615"/>
      <c r="N43" s="1616"/>
      <c r="P43" s="719" t="s">
        <v>3750</v>
      </c>
    </row>
    <row r="44" spans="1:31" ht="12.75" customHeight="1">
      <c r="A44" s="1041"/>
      <c r="B44" s="1041"/>
      <c r="C44" s="1041"/>
      <c r="D44" s="1041"/>
      <c r="E44" s="1041"/>
      <c r="F44" s="1617" t="s">
        <v>3650</v>
      </c>
      <c r="G44" s="1618"/>
      <c r="H44" s="1618"/>
      <c r="I44" s="1619"/>
      <c r="K44" s="1617" t="s">
        <v>3652</v>
      </c>
      <c r="L44" s="1618"/>
      <c r="M44" s="1618"/>
      <c r="N44" s="1619"/>
      <c r="P44" s="1607" t="s">
        <v>4073</v>
      </c>
    </row>
    <row r="45" spans="1:31" ht="10.5" customHeight="1">
      <c r="A45" s="1041"/>
      <c r="B45" s="1041"/>
      <c r="C45" s="1041"/>
      <c r="D45" s="1041"/>
      <c r="E45" s="1041"/>
      <c r="F45" s="1102" t="s">
        <v>3646</v>
      </c>
      <c r="G45" s="1103"/>
      <c r="H45" s="1103"/>
      <c r="I45" s="1104"/>
      <c r="K45" s="1620" t="s">
        <v>3648</v>
      </c>
      <c r="L45" s="1621"/>
      <c r="M45" s="1621"/>
      <c r="N45" s="1622"/>
      <c r="P45" s="1100" t="s">
        <v>3656</v>
      </c>
      <c r="Q45" s="1100"/>
    </row>
    <row r="46" spans="1:31" ht="22.5" customHeight="1">
      <c r="A46" s="1041"/>
      <c r="B46" s="1041"/>
      <c r="C46" s="1041"/>
      <c r="D46" s="1041"/>
      <c r="E46" s="1041"/>
      <c r="F46" s="1623" t="s">
        <v>3666</v>
      </c>
      <c r="G46" s="172"/>
      <c r="I46" s="1093" t="s">
        <v>3665</v>
      </c>
      <c r="K46" s="1623" t="s">
        <v>3666</v>
      </c>
      <c r="M46" s="809"/>
      <c r="N46" s="1093" t="s">
        <v>3665</v>
      </c>
      <c r="O46" s="809"/>
      <c r="P46" s="1100"/>
      <c r="Q46" s="1100"/>
    </row>
    <row r="47" spans="1:31" ht="12.75" customHeight="1">
      <c r="A47" s="171"/>
      <c r="D47" s="1624" t="s">
        <v>3645</v>
      </c>
      <c r="F47" s="1625"/>
      <c r="G47" s="1626" t="s">
        <v>3647</v>
      </c>
      <c r="I47" s="1094"/>
      <c r="K47" s="1625"/>
      <c r="L47" s="1626" t="s">
        <v>3647</v>
      </c>
      <c r="N47" s="1094"/>
      <c r="O47" s="809"/>
      <c r="P47" s="1101"/>
      <c r="Q47" s="1101"/>
    </row>
    <row r="48" spans="1:31" ht="11.45" customHeight="1">
      <c r="A48" s="171"/>
      <c r="D48" s="1627" t="s">
        <v>736</v>
      </c>
      <c r="F48" s="536">
        <f>'Part VI-Revenues &amp; Expenses'!H62-'Part VI-Revenues &amp; Expenses'!H82</f>
        <v>0</v>
      </c>
      <c r="G48" s="1628">
        <f>'DCA Underwriting Assumptions'!$J$11</f>
        <v>110481</v>
      </c>
      <c r="H48" s="575" t="str">
        <f>CONCATENATE("x ", F48," units = ")</f>
        <v xml:space="preserve">x 0 units = </v>
      </c>
      <c r="I48" s="678">
        <f>F48*G48</f>
        <v>0</v>
      </c>
      <c r="K48" s="536">
        <f>IF(AND('Part IV-Uses of Funds'!$T$162 = "Yes", 'Part IX A-Scoring Criteria'!$O$240 &gt; 0),'Part VI-Revenues &amp; Expenses'!H$82,0)</f>
        <v>0</v>
      </c>
      <c r="L48" s="1628">
        <f>'DCA Underwriting Assumptions'!$J$12</f>
        <v>121529</v>
      </c>
      <c r="M48" s="575" t="str">
        <f>CONCATENATE("x ", K48," units = ")</f>
        <v xml:space="preserve">x 0 units = </v>
      </c>
      <c r="N48" s="678">
        <f>K48*L48</f>
        <v>0</v>
      </c>
      <c r="O48" s="809"/>
      <c r="P48" s="1098">
        <f>IF(AND('Part I-Project Information'!I159="Yes",'Part I-Project Information'!O159&gt;1),'Part I-Project Information'!O159, IF(AND('Part IV-Uses of Funds'!$T$162="Yes",'Part IX A-Scoring Criteria'!$O$240&gt;0),I53+N53,I53))</f>
        <v>10514744</v>
      </c>
      <c r="Q48" s="1099"/>
    </row>
    <row r="49" spans="1:31" ht="11.45" customHeight="1">
      <c r="A49" s="171"/>
      <c r="D49" s="1627" t="s">
        <v>3643</v>
      </c>
      <c r="F49" s="536">
        <f>'Part VI-Revenues &amp; Expenses'!I62-'Part VI-Revenues &amp; Expenses'!I82</f>
        <v>66</v>
      </c>
      <c r="G49" s="1628">
        <f>'DCA Underwriting Assumptions'!$K$11</f>
        <v>126647</v>
      </c>
      <c r="H49" s="575" t="str">
        <f>CONCATENATE("x ", F49," units = ")</f>
        <v xml:space="preserve">x 66 units = </v>
      </c>
      <c r="I49" s="678">
        <f>F49*G49</f>
        <v>8358702</v>
      </c>
      <c r="K49" s="536">
        <f>IF(AND('Part IV-Uses of Funds'!$T$162 = "Yes", 'Part IX A-Scoring Criteria'!$O$240 &gt; 0),'Part VI-Revenues &amp; Expenses'!I$82,0)</f>
        <v>0</v>
      </c>
      <c r="L49" s="1628">
        <f>'DCA Underwriting Assumptions'!$K$12</f>
        <v>139312</v>
      </c>
      <c r="M49" s="575" t="str">
        <f>CONCATENATE("x ", K49," units = ")</f>
        <v xml:space="preserve">x 0 units = </v>
      </c>
      <c r="N49" s="678">
        <f>K49*L49</f>
        <v>0</v>
      </c>
      <c r="O49" s="809"/>
      <c r="P49" s="1046" t="s">
        <v>3733</v>
      </c>
      <c r="Q49" s="1046"/>
    </row>
    <row r="50" spans="1:31" ht="11.45" customHeight="1">
      <c r="A50" s="171"/>
      <c r="D50" s="1627" t="s">
        <v>3644</v>
      </c>
      <c r="F50" s="536">
        <f>'Part VI-Revenues &amp; Expenses'!J62-'Part VI-Revenues &amp; Expenses'!J82</f>
        <v>14</v>
      </c>
      <c r="G50" s="1628">
        <f>'DCA Underwriting Assumptions'!$L$11</f>
        <v>154003</v>
      </c>
      <c r="H50" s="575" t="str">
        <f>CONCATENATE("x ", F50," units = ")</f>
        <v xml:space="preserve">x 14 units = </v>
      </c>
      <c r="I50" s="678">
        <f>F50*G50</f>
        <v>2156042</v>
      </c>
      <c r="K50" s="536">
        <f>IF(AND('Part IV-Uses of Funds'!$T$162 = "Yes", 'Part IX A-Scoring Criteria'!$O$240 &gt; 0),'Part VI-Revenues &amp; Expenses'!J$82,0)</f>
        <v>0</v>
      </c>
      <c r="L50" s="1628">
        <f>'DCA Underwriting Assumptions'!$L$12</f>
        <v>169403</v>
      </c>
      <c r="M50" s="575" t="str">
        <f>CONCATENATE("x ", K50," units = ")</f>
        <v xml:space="preserve">x 0 units = </v>
      </c>
      <c r="N50" s="678">
        <f>K50*L50</f>
        <v>0</v>
      </c>
      <c r="O50" s="809"/>
      <c r="P50" s="1047"/>
      <c r="Q50" s="1047"/>
    </row>
    <row r="51" spans="1:31" ht="11.45" customHeight="1">
      <c r="A51" s="171"/>
      <c r="D51" s="1627" t="s">
        <v>3653</v>
      </c>
      <c r="F51" s="536">
        <f>'Part VI-Revenues &amp; Expenses'!K62-'Part VI-Revenues &amp; Expenses'!K82</f>
        <v>0</v>
      </c>
      <c r="G51" s="1628">
        <f>'DCA Underwriting Assumptions'!$M$11</f>
        <v>199229</v>
      </c>
      <c r="H51" s="575" t="str">
        <f>CONCATENATE("x ", F51," units = ")</f>
        <v xml:space="preserve">x 0 units = </v>
      </c>
      <c r="I51" s="678">
        <f>F51*G51</f>
        <v>0</v>
      </c>
      <c r="K51" s="536">
        <f>IF(AND('Part IV-Uses of Funds'!$T$162 = "Yes", 'Part IX A-Scoring Criteria'!$O$240 &gt; 0),'Part VI-Revenues &amp; Expenses'!K$82,0)</f>
        <v>0</v>
      </c>
      <c r="L51" s="1628">
        <f>'DCA Underwriting Assumptions'!$M$12</f>
        <v>219152</v>
      </c>
      <c r="M51" s="575" t="str">
        <f>CONCATENATE("x ", K51," units = ")</f>
        <v xml:space="preserve">x 0 units = </v>
      </c>
      <c r="N51" s="678">
        <f>K51*L51</f>
        <v>0</v>
      </c>
      <c r="O51" s="809"/>
      <c r="P51" s="1047"/>
      <c r="Q51" s="1047"/>
    </row>
    <row r="52" spans="1:31" ht="11.45" customHeight="1">
      <c r="A52" s="171"/>
      <c r="D52" s="1629" t="s">
        <v>3654</v>
      </c>
      <c r="F52" s="536">
        <f>'Part VI-Revenues &amp; Expenses'!L62-'Part VI-Revenues &amp; Expenses'!L82</f>
        <v>0</v>
      </c>
      <c r="G52" s="1628">
        <f>'DCA Underwriting Assumptions'!$N$11</f>
        <v>199229</v>
      </c>
      <c r="H52" s="575" t="str">
        <f>CONCATENATE("x ", F52," units = ")</f>
        <v xml:space="preserve">x 0 units = </v>
      </c>
      <c r="I52" s="678">
        <f>F52*G52</f>
        <v>0</v>
      </c>
      <c r="K52" s="536">
        <f>IF(AND('Part IV-Uses of Funds'!$T$162 = "Yes", 'Part IX A-Scoring Criteria'!$O$240 &gt; 0),'Part VI-Revenues &amp; Expenses'!L$82,0)</f>
        <v>0</v>
      </c>
      <c r="L52" s="1628">
        <f>'DCA Underwriting Assumptions'!$N$12</f>
        <v>219152</v>
      </c>
      <c r="M52" s="575" t="str">
        <f>CONCATENATE("x ", K52," units = ")</f>
        <v xml:space="preserve">x 0 units = </v>
      </c>
      <c r="N52" s="678">
        <f>K52*L52</f>
        <v>0</v>
      </c>
      <c r="O52" s="809"/>
      <c r="P52" s="1047"/>
      <c r="Q52" s="1047"/>
    </row>
    <row r="53" spans="1:31" ht="11.45" customHeight="1">
      <c r="A53" s="171"/>
      <c r="C53" s="172"/>
      <c r="D53" s="676" t="s">
        <v>3655</v>
      </c>
      <c r="F53" s="675">
        <f>SUM(F48:F52)</f>
        <v>80</v>
      </c>
      <c r="G53" s="1630"/>
      <c r="H53" s="536"/>
      <c r="I53" s="677">
        <f>SUM(I48:I52)</f>
        <v>10514744</v>
      </c>
      <c r="K53" s="675">
        <f>SUM(K48:K52)</f>
        <v>0</v>
      </c>
      <c r="M53" s="536"/>
      <c r="N53" s="677">
        <f>SUM(N48:N52)</f>
        <v>0</v>
      </c>
      <c r="O53" s="809"/>
      <c r="P53" s="1047"/>
      <c r="Q53" s="1047"/>
    </row>
    <row r="54" spans="1:31" ht="3.75" customHeight="1">
      <c r="A54" s="171"/>
      <c r="C54" s="172"/>
      <c r="E54" s="64"/>
      <c r="F54" s="1630"/>
      <c r="G54" s="64"/>
      <c r="I54" s="64"/>
      <c r="J54" s="64"/>
      <c r="K54" s="809"/>
      <c r="L54" s="1631"/>
      <c r="M54" s="809"/>
      <c r="N54" s="809"/>
      <c r="O54" s="809"/>
      <c r="P54" s="809"/>
      <c r="Q54" s="809"/>
    </row>
    <row r="55" spans="1:31" ht="11.25" customHeight="1">
      <c r="B55" s="116" t="s">
        <v>2570</v>
      </c>
      <c r="D55" s="116"/>
      <c r="E55" s="116"/>
      <c r="F55" s="116"/>
      <c r="G55" s="116"/>
      <c r="H55" s="813"/>
      <c r="I55" s="162"/>
      <c r="J55" s="162"/>
      <c r="K55" s="169" t="s">
        <v>2571</v>
      </c>
      <c r="L55" s="802"/>
      <c r="M55" s="802"/>
      <c r="N55" s="802"/>
      <c r="O55" s="802"/>
      <c r="P55" s="802"/>
      <c r="Q55" s="59"/>
    </row>
    <row r="56" spans="1:31" ht="11.45" customHeight="1">
      <c r="A56" s="1611" t="s">
        <v>4183</v>
      </c>
      <c r="B56" s="1612"/>
      <c r="C56" s="1612"/>
      <c r="D56" s="1612"/>
      <c r="E56" s="1612"/>
      <c r="F56" s="1612"/>
      <c r="G56" s="1612"/>
      <c r="H56" s="1612"/>
      <c r="I56" s="1612"/>
      <c r="J56" s="1613"/>
      <c r="K56" s="1048"/>
      <c r="L56" s="1049"/>
      <c r="M56" s="1049"/>
      <c r="N56" s="1049"/>
      <c r="O56" s="1049"/>
      <c r="P56" s="1049"/>
      <c r="Q56" s="1050"/>
      <c r="U56" s="168"/>
      <c r="V56" s="168"/>
      <c r="W56" s="168"/>
      <c r="X56" s="168"/>
      <c r="Y56" s="168"/>
      <c r="Z56" s="168"/>
      <c r="AA56" s="168"/>
      <c r="AB56" s="168"/>
      <c r="AC56" s="168"/>
      <c r="AD56" s="168"/>
      <c r="AE56" s="656"/>
    </row>
    <row r="57" spans="1:31" ht="3" customHeight="1">
      <c r="B57" s="162"/>
      <c r="C57" s="809"/>
      <c r="D57" s="809"/>
      <c r="E57" s="809"/>
      <c r="F57" s="809"/>
      <c r="G57" s="809"/>
      <c r="H57" s="809"/>
      <c r="I57" s="809"/>
      <c r="J57" s="809"/>
      <c r="K57" s="809"/>
      <c r="L57" s="809"/>
      <c r="M57" s="809"/>
      <c r="N57" s="809"/>
      <c r="O57" s="809"/>
      <c r="P57" s="809"/>
      <c r="Q57" s="802"/>
    </row>
    <row r="58" spans="1:31" ht="13.9" customHeight="1">
      <c r="A58" s="811">
        <v>3</v>
      </c>
      <c r="B58" s="5" t="s">
        <v>1606</v>
      </c>
      <c r="C58" s="5"/>
      <c r="D58" s="5"/>
      <c r="E58" s="809"/>
      <c r="F58" s="809"/>
      <c r="G58" s="809"/>
      <c r="H58" s="809"/>
      <c r="M58" s="809"/>
      <c r="O58" s="163" t="s">
        <v>2572</v>
      </c>
      <c r="P58" s="1051"/>
      <c r="Q58" s="1054"/>
    </row>
    <row r="59" spans="1:31" ht="3" customHeight="1"/>
    <row r="60" spans="1:31" ht="11.45" customHeight="1">
      <c r="A60" s="171"/>
      <c r="C60" s="172" t="s">
        <v>105</v>
      </c>
      <c r="D60" s="172"/>
      <c r="E60" s="172"/>
      <c r="F60" s="172"/>
      <c r="G60" s="172"/>
      <c r="H60" s="172"/>
      <c r="K60" s="1632" t="str">
        <f>'Part I-Project Information'!$H$65</f>
        <v>Elderly</v>
      </c>
      <c r="L60" s="1633"/>
      <c r="M60" s="1634"/>
      <c r="N60" s="809"/>
    </row>
    <row r="61" spans="1:31" ht="11.25" customHeight="1">
      <c r="B61" s="116" t="s">
        <v>2570</v>
      </c>
      <c r="D61" s="116"/>
      <c r="E61" s="116"/>
      <c r="F61" s="116"/>
      <c r="G61" s="116"/>
      <c r="H61" s="813"/>
      <c r="I61" s="162"/>
      <c r="J61" s="162"/>
      <c r="K61" s="169" t="s">
        <v>2571</v>
      </c>
      <c r="L61" s="802"/>
      <c r="M61" s="802"/>
      <c r="N61" s="802"/>
      <c r="O61" s="802"/>
      <c r="P61" s="802"/>
      <c r="Q61" s="59"/>
    </row>
    <row r="62" spans="1:31" ht="11.45" customHeight="1">
      <c r="A62" s="1611" t="s">
        <v>4138</v>
      </c>
      <c r="B62" s="1612"/>
      <c r="C62" s="1612"/>
      <c r="D62" s="1612"/>
      <c r="E62" s="1612"/>
      <c r="F62" s="1612"/>
      <c r="G62" s="1612"/>
      <c r="H62" s="1612"/>
      <c r="I62" s="1612"/>
      <c r="J62" s="1613"/>
      <c r="K62" s="1048"/>
      <c r="L62" s="1049"/>
      <c r="M62" s="1049"/>
      <c r="N62" s="1049"/>
      <c r="O62" s="1049"/>
      <c r="P62" s="1049"/>
      <c r="Q62" s="1050"/>
      <c r="U62" s="168"/>
      <c r="V62" s="168"/>
      <c r="W62" s="168"/>
      <c r="X62" s="168"/>
      <c r="Y62" s="168"/>
      <c r="Z62" s="168"/>
      <c r="AA62" s="168"/>
      <c r="AB62" s="168"/>
      <c r="AC62" s="168"/>
      <c r="AD62" s="168"/>
      <c r="AE62" s="656"/>
    </row>
    <row r="63" spans="1:31" ht="3" customHeight="1">
      <c r="A63" s="802"/>
      <c r="B63" s="162"/>
      <c r="C63" s="809"/>
      <c r="D63" s="809"/>
      <c r="E63" s="809"/>
      <c r="F63" s="809"/>
      <c r="G63" s="809"/>
      <c r="H63" s="809"/>
      <c r="I63" s="809"/>
      <c r="J63" s="809"/>
      <c r="K63" s="809"/>
      <c r="L63" s="809"/>
      <c r="M63" s="809"/>
      <c r="N63" s="809"/>
      <c r="O63" s="809"/>
      <c r="P63" s="809"/>
      <c r="Q63" s="802"/>
    </row>
    <row r="64" spans="1:31" ht="13.9" customHeight="1">
      <c r="A64" s="811">
        <v>4</v>
      </c>
      <c r="B64" s="811" t="s">
        <v>3486</v>
      </c>
      <c r="C64" s="136"/>
      <c r="D64" s="809"/>
      <c r="E64" s="809"/>
      <c r="F64" s="809"/>
      <c r="G64" s="809"/>
      <c r="H64" s="809"/>
      <c r="I64" s="809"/>
      <c r="J64" s="809"/>
      <c r="K64" s="809"/>
      <c r="L64" s="809"/>
      <c r="M64" s="809"/>
      <c r="O64" s="163" t="s">
        <v>2572</v>
      </c>
      <c r="P64" s="1051"/>
      <c r="Q64" s="1054"/>
    </row>
    <row r="65" spans="1:31" ht="3" customHeight="1"/>
    <row r="66" spans="1:31" ht="12.6" customHeight="1">
      <c r="B66" s="174" t="s">
        <v>2694</v>
      </c>
      <c r="C66" s="1091" t="s">
        <v>336</v>
      </c>
      <c r="D66" s="1092"/>
      <c r="E66" s="1092"/>
      <c r="F66" s="1092"/>
      <c r="G66" s="1092"/>
      <c r="H66" s="1092"/>
      <c r="I66" s="1092"/>
      <c r="J66" s="1092"/>
      <c r="K66" s="1092"/>
      <c r="L66" s="1092"/>
      <c r="M66" s="1092"/>
      <c r="O66" s="175"/>
      <c r="P66" s="1607" t="s">
        <v>4087</v>
      </c>
    </row>
    <row r="67" spans="1:31" ht="12" customHeight="1">
      <c r="B67" s="54" t="s">
        <v>2697</v>
      </c>
      <c r="C67" s="38" t="s">
        <v>3667</v>
      </c>
      <c r="D67" s="38"/>
      <c r="E67" s="38"/>
      <c r="F67" s="38"/>
      <c r="G67" s="38"/>
      <c r="H67" s="38"/>
      <c r="I67" s="38"/>
      <c r="J67" s="38"/>
      <c r="K67" s="38"/>
      <c r="L67" s="38"/>
      <c r="M67" s="38"/>
      <c r="O67" s="38"/>
      <c r="P67" s="38"/>
      <c r="Q67" s="38"/>
    </row>
    <row r="68" spans="1:31" ht="10.9" customHeight="1">
      <c r="A68" s="176"/>
      <c r="B68" s="49"/>
      <c r="C68" s="78" t="s">
        <v>2430</v>
      </c>
      <c r="D68" s="38" t="s">
        <v>747</v>
      </c>
      <c r="E68" s="807"/>
      <c r="F68" s="807"/>
      <c r="G68" s="807"/>
      <c r="H68" s="40"/>
      <c r="I68" s="49"/>
      <c r="J68" s="44" t="s">
        <v>3621</v>
      </c>
      <c r="K68" s="1635" t="s">
        <v>4130</v>
      </c>
      <c r="L68" s="1636"/>
      <c r="M68" s="1636"/>
      <c r="N68" s="1636"/>
      <c r="O68" s="1636"/>
      <c r="P68" s="1637"/>
      <c r="Q68" s="38"/>
    </row>
    <row r="69" spans="1:31" ht="10.9" customHeight="1">
      <c r="A69" s="176"/>
      <c r="B69" s="49"/>
      <c r="C69" s="78" t="s">
        <v>2431</v>
      </c>
      <c r="D69" s="38" t="s">
        <v>2507</v>
      </c>
      <c r="E69" s="807"/>
      <c r="F69" s="807"/>
      <c r="G69" s="807"/>
      <c r="H69" s="40"/>
      <c r="I69" s="49"/>
      <c r="J69" s="44" t="s">
        <v>3621</v>
      </c>
      <c r="K69" s="1638" t="s">
        <v>4131</v>
      </c>
      <c r="L69" s="1639"/>
      <c r="M69" s="1639"/>
      <c r="N69" s="1639"/>
      <c r="O69" s="1639"/>
      <c r="P69" s="1640"/>
      <c r="Q69" s="38"/>
    </row>
    <row r="70" spans="1:31" ht="10.9" customHeight="1">
      <c r="A70" s="176"/>
      <c r="B70" s="49"/>
      <c r="C70" s="78" t="s">
        <v>2432</v>
      </c>
      <c r="D70" s="38" t="s">
        <v>337</v>
      </c>
      <c r="E70" s="807"/>
      <c r="J70" s="44" t="s">
        <v>3621</v>
      </c>
      <c r="K70" s="1641"/>
      <c r="L70" s="1642"/>
      <c r="M70" s="1642"/>
      <c r="N70" s="1642"/>
      <c r="O70" s="1642"/>
      <c r="P70" s="1643"/>
      <c r="Q70" s="38"/>
    </row>
    <row r="71" spans="1:31" ht="11.25" customHeight="1">
      <c r="B71" s="116" t="s">
        <v>2570</v>
      </c>
      <c r="D71" s="116"/>
      <c r="E71" s="116"/>
      <c r="F71" s="116"/>
      <c r="G71" s="116"/>
      <c r="H71" s="813"/>
      <c r="I71" s="162"/>
      <c r="J71" s="162"/>
      <c r="K71" s="162"/>
      <c r="L71" s="802"/>
      <c r="M71" s="802"/>
      <c r="N71" s="802"/>
      <c r="O71" s="802"/>
      <c r="P71" s="802"/>
      <c r="Q71" s="59"/>
    </row>
    <row r="72" spans="1:31" ht="27" customHeight="1">
      <c r="A72" s="1611" t="s">
        <v>4184</v>
      </c>
      <c r="B72" s="1612"/>
      <c r="C72" s="1612"/>
      <c r="D72" s="1612"/>
      <c r="E72" s="1612"/>
      <c r="F72" s="1612"/>
      <c r="G72" s="1612"/>
      <c r="H72" s="1612"/>
      <c r="I72" s="1612"/>
      <c r="J72" s="1612"/>
      <c r="K72" s="1612"/>
      <c r="L72" s="1612"/>
      <c r="M72" s="1612"/>
      <c r="N72" s="1612"/>
      <c r="O72" s="1612"/>
      <c r="P72" s="1612"/>
      <c r="Q72" s="1613"/>
      <c r="U72" s="168"/>
      <c r="V72" s="168"/>
      <c r="W72" s="168"/>
      <c r="X72" s="168"/>
      <c r="Y72" s="168"/>
      <c r="Z72" s="168"/>
      <c r="AA72" s="168"/>
      <c r="AB72" s="168"/>
      <c r="AC72" s="168"/>
      <c r="AD72" s="168"/>
      <c r="AE72" s="656"/>
    </row>
    <row r="73" spans="1:31" ht="11.25" customHeight="1">
      <c r="B73" s="169" t="s">
        <v>2571</v>
      </c>
      <c r="C73" s="170"/>
      <c r="D73" s="809"/>
      <c r="E73" s="809"/>
      <c r="F73" s="809"/>
      <c r="G73" s="809"/>
      <c r="H73" s="809"/>
      <c r="I73" s="809"/>
      <c r="J73" s="809"/>
      <c r="K73" s="809"/>
      <c r="L73" s="809"/>
      <c r="M73" s="809"/>
      <c r="N73" s="809"/>
      <c r="O73" s="809"/>
      <c r="P73" s="809"/>
      <c r="Q73" s="809"/>
    </row>
    <row r="74" spans="1:31" ht="12" customHeight="1">
      <c r="A74" s="1048"/>
      <c r="B74" s="1049"/>
      <c r="C74" s="1049"/>
      <c r="D74" s="1049"/>
      <c r="E74" s="1049"/>
      <c r="F74" s="1049"/>
      <c r="G74" s="1049"/>
      <c r="H74" s="1049"/>
      <c r="I74" s="1049"/>
      <c r="J74" s="1049"/>
      <c r="K74" s="1049"/>
      <c r="L74" s="1049"/>
      <c r="M74" s="1049"/>
      <c r="N74" s="1049"/>
      <c r="O74" s="1049"/>
      <c r="P74" s="1049"/>
      <c r="Q74" s="1050"/>
    </row>
    <row r="75" spans="1:31" ht="4.9000000000000004" customHeight="1">
      <c r="A75" s="802"/>
      <c r="B75" s="162"/>
      <c r="C75" s="809"/>
      <c r="D75" s="809"/>
      <c r="E75" s="809"/>
      <c r="F75" s="809"/>
      <c r="G75" s="809"/>
      <c r="H75" s="809"/>
      <c r="I75" s="809"/>
      <c r="J75" s="809"/>
      <c r="K75" s="809"/>
      <c r="L75" s="809"/>
      <c r="M75" s="809"/>
      <c r="N75" s="809"/>
      <c r="O75" s="809"/>
      <c r="P75" s="809"/>
      <c r="Q75" s="802"/>
    </row>
    <row r="76" spans="1:31" ht="13.9" customHeight="1">
      <c r="A76" s="811">
        <v>5</v>
      </c>
      <c r="B76" s="811" t="s">
        <v>3487</v>
      </c>
      <c r="C76" s="811"/>
      <c r="D76" s="809"/>
      <c r="E76" s="809"/>
      <c r="F76" s="809"/>
      <c r="G76" s="809"/>
      <c r="H76" s="809"/>
      <c r="I76" s="809"/>
      <c r="J76" s="809"/>
      <c r="K76" s="809"/>
      <c r="O76" s="163" t="s">
        <v>2572</v>
      </c>
      <c r="P76" s="1051"/>
      <c r="Q76" s="1054"/>
    </row>
    <row r="77" spans="1:31" ht="3" customHeight="1"/>
    <row r="78" spans="1:31" ht="12" customHeight="1">
      <c r="B78" s="54" t="s">
        <v>2694</v>
      </c>
      <c r="C78" s="177" t="s">
        <v>3238</v>
      </c>
      <c r="D78" s="165"/>
      <c r="E78" s="165"/>
      <c r="F78" s="165"/>
      <c r="G78" s="165"/>
      <c r="H78" s="165"/>
      <c r="I78" s="49"/>
      <c r="J78" s="49"/>
      <c r="K78" s="49"/>
      <c r="L78" s="654" t="s">
        <v>2694</v>
      </c>
      <c r="M78" s="1635" t="s">
        <v>4137</v>
      </c>
      <c r="N78" s="1636"/>
      <c r="O78" s="1636"/>
      <c r="P78" s="1644"/>
      <c r="Q78" s="210"/>
    </row>
    <row r="79" spans="1:31" ht="12" customHeight="1">
      <c r="B79" s="54" t="s">
        <v>2697</v>
      </c>
      <c r="C79" s="61" t="s">
        <v>2749</v>
      </c>
      <c r="D79" s="165"/>
      <c r="E79" s="165"/>
      <c r="F79" s="165"/>
      <c r="L79" s="654" t="s">
        <v>2697</v>
      </c>
      <c r="M79" s="1638" t="s">
        <v>4135</v>
      </c>
      <c r="N79" s="1639"/>
      <c r="O79" s="1639"/>
      <c r="P79" s="1645"/>
      <c r="Q79" s="210"/>
    </row>
    <row r="80" spans="1:31" ht="12" customHeight="1">
      <c r="B80" s="54" t="s">
        <v>1054</v>
      </c>
      <c r="C80" s="61" t="s">
        <v>3239</v>
      </c>
      <c r="D80" s="165"/>
      <c r="E80" s="165"/>
      <c r="F80" s="165"/>
      <c r="L80" s="654" t="s">
        <v>1054</v>
      </c>
      <c r="M80" s="1638" t="s">
        <v>4136</v>
      </c>
      <c r="N80" s="1639"/>
      <c r="O80" s="1639"/>
      <c r="P80" s="1645"/>
      <c r="Q80" s="321"/>
    </row>
    <row r="81" spans="1:31" ht="12" customHeight="1">
      <c r="B81" s="54" t="s">
        <v>2830</v>
      </c>
      <c r="C81" s="61" t="s">
        <v>3240</v>
      </c>
      <c r="D81" s="165"/>
      <c r="E81" s="165"/>
      <c r="F81" s="165"/>
      <c r="L81" s="654" t="s">
        <v>2830</v>
      </c>
      <c r="M81" s="1646">
        <v>1.0999999999999999E-2</v>
      </c>
      <c r="N81" s="1642"/>
      <c r="O81" s="1642"/>
      <c r="P81" s="1647"/>
      <c r="Q81" s="210"/>
    </row>
    <row r="82" spans="1:31" ht="22.15" customHeight="1">
      <c r="B82" s="174" t="s">
        <v>2428</v>
      </c>
      <c r="C82" s="1045" t="s">
        <v>3635</v>
      </c>
      <c r="D82" s="1045"/>
      <c r="E82" s="1045"/>
      <c r="F82" s="1045"/>
      <c r="G82" s="1045"/>
      <c r="H82" s="1045"/>
      <c r="I82" s="1045"/>
      <c r="J82" s="1045"/>
      <c r="K82" s="1045"/>
      <c r="L82" s="1045"/>
      <c r="M82" s="1045"/>
      <c r="N82" s="1045"/>
      <c r="O82" s="1045"/>
      <c r="P82" s="1045"/>
      <c r="Q82" s="1045"/>
    </row>
    <row r="83" spans="1:31" ht="12" customHeight="1">
      <c r="B83" s="54"/>
      <c r="C83" s="61"/>
      <c r="D83" s="669" t="s">
        <v>3134</v>
      </c>
      <c r="E83" s="38" t="s">
        <v>797</v>
      </c>
      <c r="F83" s="38"/>
      <c r="H83" s="61"/>
      <c r="I83" s="669" t="s">
        <v>3134</v>
      </c>
      <c r="J83" s="38" t="s">
        <v>797</v>
      </c>
      <c r="K83" s="38"/>
      <c r="M83" s="61"/>
      <c r="N83" s="669" t="s">
        <v>3134</v>
      </c>
      <c r="O83" s="38" t="s">
        <v>797</v>
      </c>
      <c r="P83" s="38"/>
      <c r="Q83" s="654"/>
    </row>
    <row r="84" spans="1:31" ht="12" customHeight="1">
      <c r="B84" s="54"/>
      <c r="C84" s="61">
        <v>1</v>
      </c>
      <c r="D84" s="1648"/>
      <c r="E84" s="1649"/>
      <c r="F84" s="1649"/>
      <c r="G84" s="1649"/>
      <c r="H84" s="61">
        <v>3</v>
      </c>
      <c r="I84" s="1648"/>
      <c r="J84" s="1649"/>
      <c r="K84" s="1649"/>
      <c r="L84" s="1649"/>
      <c r="M84" s="61">
        <v>5</v>
      </c>
      <c r="N84" s="1648"/>
      <c r="O84" s="1649"/>
      <c r="P84" s="1649"/>
      <c r="Q84" s="1649"/>
    </row>
    <row r="85" spans="1:31" ht="12" customHeight="1">
      <c r="B85" s="54"/>
      <c r="C85" s="61">
        <v>2</v>
      </c>
      <c r="D85" s="1650"/>
      <c r="E85" s="1651"/>
      <c r="F85" s="1651"/>
      <c r="G85" s="1651"/>
      <c r="H85" s="61">
        <v>4</v>
      </c>
      <c r="I85" s="1650"/>
      <c r="J85" s="1651"/>
      <c r="K85" s="1651"/>
      <c r="L85" s="1651"/>
      <c r="M85" s="61">
        <v>6</v>
      </c>
      <c r="N85" s="1650"/>
      <c r="O85" s="1651"/>
      <c r="P85" s="1651"/>
      <c r="Q85" s="1651"/>
    </row>
    <row r="86" spans="1:31" ht="12" customHeight="1">
      <c r="B86" s="54" t="s">
        <v>2429</v>
      </c>
      <c r="C86" s="61" t="s">
        <v>0</v>
      </c>
      <c r="D86" s="165"/>
      <c r="E86" s="165"/>
      <c r="F86" s="165"/>
      <c r="G86" s="165"/>
      <c r="H86" s="165"/>
      <c r="I86" s="49"/>
      <c r="J86" s="49"/>
      <c r="K86" s="165"/>
      <c r="L86" s="807"/>
      <c r="M86" s="807"/>
      <c r="O86" s="654" t="s">
        <v>2429</v>
      </c>
      <c r="P86" s="1652" t="s">
        <v>4073</v>
      </c>
      <c r="Q86" s="321"/>
    </row>
    <row r="87" spans="1:31" ht="11.25" customHeight="1">
      <c r="B87" s="173" t="s">
        <v>2570</v>
      </c>
      <c r="D87" s="173"/>
      <c r="E87" s="173"/>
      <c r="F87" s="173"/>
      <c r="G87" s="173"/>
      <c r="H87" s="813"/>
      <c r="I87" s="162"/>
      <c r="J87" s="162"/>
      <c r="K87" s="162"/>
      <c r="L87" s="802"/>
      <c r="M87" s="802"/>
      <c r="N87" s="802"/>
      <c r="O87" s="802"/>
      <c r="P87" s="802"/>
      <c r="Q87" s="59"/>
    </row>
    <row r="88" spans="1:31" ht="22.9" customHeight="1">
      <c r="A88" s="1611" t="s">
        <v>4161</v>
      </c>
      <c r="B88" s="1612"/>
      <c r="C88" s="1612"/>
      <c r="D88" s="1612"/>
      <c r="E88" s="1612"/>
      <c r="F88" s="1612"/>
      <c r="G88" s="1612"/>
      <c r="H88" s="1612"/>
      <c r="I88" s="1612"/>
      <c r="J88" s="1612"/>
      <c r="K88" s="1612"/>
      <c r="L88" s="1612"/>
      <c r="M88" s="1612"/>
      <c r="N88" s="1612"/>
      <c r="O88" s="1612"/>
      <c r="P88" s="1612"/>
      <c r="Q88" s="1613"/>
      <c r="U88" s="168"/>
      <c r="V88" s="168"/>
      <c r="W88" s="168"/>
      <c r="X88" s="168"/>
      <c r="Y88" s="168"/>
      <c r="Z88" s="168"/>
      <c r="AA88" s="168"/>
      <c r="AB88" s="168"/>
      <c r="AC88" s="168"/>
      <c r="AD88" s="168"/>
      <c r="AE88" s="656"/>
    </row>
    <row r="89" spans="1:31" ht="11.25" customHeight="1">
      <c r="B89" s="169" t="s">
        <v>2571</v>
      </c>
      <c r="C89" s="170"/>
      <c r="D89" s="809"/>
      <c r="E89" s="809"/>
      <c r="F89" s="809"/>
      <c r="G89" s="809"/>
      <c r="H89" s="809"/>
      <c r="I89" s="809"/>
      <c r="J89" s="809"/>
      <c r="K89" s="809"/>
      <c r="L89" s="809"/>
      <c r="M89" s="809"/>
      <c r="N89" s="809"/>
      <c r="O89" s="809"/>
      <c r="P89" s="809"/>
      <c r="Q89" s="809"/>
    </row>
    <row r="90" spans="1:31" ht="22.9" customHeight="1">
      <c r="A90" s="1048"/>
      <c r="B90" s="1049"/>
      <c r="C90" s="1049"/>
      <c r="D90" s="1049"/>
      <c r="E90" s="1049"/>
      <c r="F90" s="1049"/>
      <c r="G90" s="1049"/>
      <c r="H90" s="1049"/>
      <c r="I90" s="1049"/>
      <c r="J90" s="1049"/>
      <c r="K90" s="1049"/>
      <c r="L90" s="1049"/>
      <c r="M90" s="1049"/>
      <c r="N90" s="1049"/>
      <c r="O90" s="1049"/>
      <c r="P90" s="1049"/>
      <c r="Q90" s="1050"/>
    </row>
    <row r="91" spans="1:31" ht="13.9" customHeight="1">
      <c r="A91" s="811">
        <v>6</v>
      </c>
      <c r="B91" s="811" t="s">
        <v>3488</v>
      </c>
      <c r="C91" s="811"/>
      <c r="D91" s="809"/>
      <c r="E91" s="809"/>
      <c r="F91" s="809"/>
      <c r="G91" s="809"/>
      <c r="H91" s="809"/>
      <c r="I91" s="809"/>
      <c r="J91" s="809"/>
      <c r="K91" s="809"/>
      <c r="L91" s="809"/>
      <c r="M91" s="809"/>
      <c r="O91" s="163" t="s">
        <v>2572</v>
      </c>
      <c r="P91" s="1051"/>
      <c r="Q91" s="1054"/>
    </row>
    <row r="92" spans="1:31" ht="3" customHeight="1"/>
    <row r="93" spans="1:31" ht="12" customHeight="1">
      <c r="B93" s="54" t="s">
        <v>2694</v>
      </c>
      <c r="C93" s="61" t="s">
        <v>628</v>
      </c>
      <c r="D93" s="61"/>
      <c r="E93" s="61"/>
      <c r="F93" s="61"/>
      <c r="G93" s="61"/>
      <c r="H93" s="61"/>
      <c r="I93" s="61"/>
      <c r="J93" s="61"/>
      <c r="K93" s="61"/>
      <c r="L93" s="61"/>
      <c r="M93" s="61"/>
      <c r="O93" s="654" t="s">
        <v>2694</v>
      </c>
      <c r="P93" s="1607"/>
      <c r="Q93" s="210"/>
    </row>
    <row r="94" spans="1:31" ht="12" customHeight="1">
      <c r="B94" s="54" t="s">
        <v>2697</v>
      </c>
      <c r="C94" s="61" t="s">
        <v>1738</v>
      </c>
      <c r="D94" s="61"/>
      <c r="E94" s="61"/>
      <c r="F94" s="61"/>
      <c r="G94" s="61"/>
      <c r="H94" s="61"/>
      <c r="I94" s="61"/>
      <c r="J94" s="61"/>
      <c r="K94" s="61"/>
      <c r="L94" s="38"/>
      <c r="M94" s="38"/>
      <c r="O94" s="654" t="s">
        <v>2697</v>
      </c>
      <c r="P94" s="1607"/>
      <c r="Q94" s="210"/>
    </row>
    <row r="95" spans="1:31" ht="12" customHeight="1">
      <c r="A95" s="164"/>
      <c r="B95" s="44"/>
      <c r="D95" s="47" t="s">
        <v>721</v>
      </c>
      <c r="E95" s="49"/>
      <c r="F95" s="49"/>
      <c r="G95" s="49"/>
      <c r="H95" s="49"/>
      <c r="I95" s="49"/>
      <c r="L95" s="78" t="s">
        <v>722</v>
      </c>
      <c r="M95" s="1653"/>
      <c r="N95" s="1654"/>
      <c r="O95" s="1654"/>
      <c r="P95" s="1655"/>
      <c r="Q95" s="210"/>
    </row>
    <row r="96" spans="1:31" ht="22.9" customHeight="1">
      <c r="A96" s="176"/>
      <c r="B96" s="162"/>
      <c r="C96" s="183" t="s">
        <v>2430</v>
      </c>
      <c r="D96" s="1027" t="s">
        <v>591</v>
      </c>
      <c r="E96" s="1656"/>
      <c r="F96" s="1656"/>
      <c r="G96" s="1656"/>
      <c r="H96" s="1656"/>
      <c r="I96" s="1656"/>
      <c r="J96" s="1656"/>
      <c r="K96" s="1656"/>
      <c r="L96" s="1656"/>
      <c r="M96" s="1656"/>
      <c r="N96" s="1656"/>
      <c r="O96" s="183" t="s">
        <v>2430</v>
      </c>
      <c r="P96" s="1607"/>
      <c r="Q96" s="210"/>
    </row>
    <row r="97" spans="1:32" ht="12" customHeight="1">
      <c r="A97" s="176"/>
      <c r="B97" s="162"/>
      <c r="C97" s="78" t="s">
        <v>2431</v>
      </c>
      <c r="D97" s="61" t="s">
        <v>153</v>
      </c>
      <c r="E97" s="61"/>
      <c r="F97" s="61"/>
      <c r="G97" s="61"/>
      <c r="H97" s="61"/>
      <c r="I97" s="61"/>
      <c r="J97" s="61"/>
      <c r="K97" s="61"/>
      <c r="L97" s="61"/>
      <c r="M97" s="61"/>
      <c r="O97" s="78" t="s">
        <v>2431</v>
      </c>
      <c r="P97" s="1607"/>
      <c r="Q97" s="210"/>
    </row>
    <row r="98" spans="1:32" s="164" customFormat="1" ht="24.75" customHeight="1">
      <c r="A98" s="176"/>
      <c r="B98" s="592"/>
      <c r="C98" s="183" t="s">
        <v>2432</v>
      </c>
      <c r="D98" s="1045" t="s">
        <v>3583</v>
      </c>
      <c r="E98" s="1045"/>
      <c r="F98" s="1045"/>
      <c r="G98" s="1045"/>
      <c r="H98" s="1045"/>
      <c r="I98" s="1045"/>
      <c r="J98" s="1045"/>
      <c r="K98" s="1045"/>
      <c r="L98" s="1045"/>
      <c r="M98" s="1045"/>
      <c r="N98" s="1045"/>
      <c r="O98" s="183" t="s">
        <v>2432</v>
      </c>
      <c r="P98" s="1657"/>
      <c r="Q98" s="323"/>
      <c r="AE98" s="657"/>
      <c r="AF98" s="657"/>
    </row>
    <row r="99" spans="1:32" ht="12" customHeight="1">
      <c r="B99" s="54" t="s">
        <v>1054</v>
      </c>
      <c r="C99" s="61" t="s">
        <v>154</v>
      </c>
      <c r="D99" s="61"/>
      <c r="E99" s="61"/>
      <c r="F99" s="61"/>
      <c r="G99" s="61"/>
      <c r="H99" s="61"/>
      <c r="I99" s="61"/>
      <c r="J99" s="61"/>
      <c r="K99" s="61"/>
      <c r="L99" s="61"/>
      <c r="M99" s="61"/>
      <c r="O99" s="654" t="s">
        <v>1054</v>
      </c>
      <c r="P99" s="1607"/>
      <c r="Q99" s="210"/>
    </row>
    <row r="100" spans="1:32" ht="12" customHeight="1">
      <c r="B100" s="54" t="s">
        <v>2830</v>
      </c>
      <c r="C100" s="61" t="s">
        <v>1871</v>
      </c>
      <c r="D100" s="61"/>
      <c r="E100" s="61"/>
      <c r="G100" s="61"/>
      <c r="I100" s="61"/>
      <c r="K100" s="61"/>
      <c r="L100" s="38"/>
      <c r="M100" s="38"/>
      <c r="N100" s="38"/>
      <c r="O100" s="38"/>
      <c r="P100" s="38"/>
      <c r="Q100" s="38"/>
    </row>
    <row r="101" spans="1:32" ht="12" customHeight="1">
      <c r="B101" s="54"/>
      <c r="C101" s="78" t="s">
        <v>2430</v>
      </c>
      <c r="D101" s="61" t="s">
        <v>1872</v>
      </c>
      <c r="E101" s="61"/>
      <c r="F101" s="61"/>
      <c r="G101" s="61"/>
      <c r="H101" s="61"/>
      <c r="I101" s="61"/>
      <c r="J101" s="61"/>
      <c r="K101" s="61"/>
      <c r="L101" s="38"/>
      <c r="M101" s="38"/>
      <c r="O101" s="78" t="s">
        <v>2430</v>
      </c>
      <c r="P101" s="1607" t="s">
        <v>4073</v>
      </c>
      <c r="Q101" s="210"/>
    </row>
    <row r="102" spans="1:32" ht="12" customHeight="1">
      <c r="B102" s="54"/>
      <c r="C102" s="78" t="s">
        <v>2431</v>
      </c>
      <c r="D102" s="61" t="s">
        <v>1873</v>
      </c>
      <c r="E102" s="61"/>
      <c r="F102" s="61"/>
      <c r="G102" s="61"/>
      <c r="H102" s="61"/>
      <c r="I102" s="61"/>
      <c r="J102" s="61"/>
      <c r="K102" s="61"/>
      <c r="L102" s="38"/>
      <c r="M102" s="38"/>
      <c r="O102" s="78" t="s">
        <v>2431</v>
      </c>
      <c r="P102" s="1607"/>
      <c r="Q102" s="210"/>
    </row>
    <row r="103" spans="1:32" ht="12" customHeight="1">
      <c r="B103" s="54"/>
      <c r="C103" s="78" t="s">
        <v>2432</v>
      </c>
      <c r="D103" s="61" t="s">
        <v>1874</v>
      </c>
      <c r="E103" s="61"/>
      <c r="F103" s="61"/>
      <c r="G103" s="61"/>
      <c r="H103" s="61"/>
      <c r="I103" s="61"/>
      <c r="J103" s="61"/>
      <c r="K103" s="61"/>
      <c r="L103" s="38"/>
      <c r="M103" s="38"/>
      <c r="O103" s="78" t="s">
        <v>2432</v>
      </c>
      <c r="P103" s="1607"/>
      <c r="Q103" s="210"/>
    </row>
    <row r="104" spans="1:32" ht="11.25" customHeight="1">
      <c r="B104" s="173" t="s">
        <v>2570</v>
      </c>
      <c r="D104" s="173"/>
      <c r="E104" s="173"/>
      <c r="F104" s="173"/>
      <c r="G104" s="173"/>
      <c r="H104" s="813"/>
      <c r="I104" s="162"/>
      <c r="J104" s="162"/>
      <c r="K104" s="162"/>
      <c r="L104" s="802"/>
      <c r="M104" s="802"/>
      <c r="N104" s="802"/>
      <c r="O104" s="802"/>
      <c r="P104" s="802"/>
      <c r="Q104" s="59"/>
    </row>
    <row r="105" spans="1:32" ht="13.15" customHeight="1">
      <c r="A105" s="1611" t="s">
        <v>4185</v>
      </c>
      <c r="B105" s="1612"/>
      <c r="C105" s="1612"/>
      <c r="D105" s="1612"/>
      <c r="E105" s="1612"/>
      <c r="F105" s="1612"/>
      <c r="G105" s="1612"/>
      <c r="H105" s="1612"/>
      <c r="I105" s="1612"/>
      <c r="J105" s="1612"/>
      <c r="K105" s="1612"/>
      <c r="L105" s="1612"/>
      <c r="M105" s="1612"/>
      <c r="N105" s="1612"/>
      <c r="O105" s="1612"/>
      <c r="P105" s="1612"/>
      <c r="Q105" s="1613"/>
      <c r="U105" s="168"/>
      <c r="V105" s="168"/>
      <c r="W105" s="168"/>
      <c r="X105" s="168"/>
      <c r="Y105" s="168"/>
      <c r="Z105" s="168"/>
      <c r="AA105" s="168"/>
      <c r="AB105" s="168"/>
      <c r="AC105" s="168"/>
      <c r="AD105" s="168"/>
      <c r="AE105" s="656"/>
    </row>
    <row r="106" spans="1:32" ht="11.25" customHeight="1">
      <c r="B106" s="169" t="s">
        <v>2571</v>
      </c>
      <c r="C106" s="170"/>
      <c r="D106" s="809"/>
      <c r="E106" s="809"/>
      <c r="F106" s="809"/>
      <c r="G106" s="809"/>
      <c r="H106" s="809"/>
      <c r="I106" s="809"/>
      <c r="J106" s="809"/>
      <c r="K106" s="809"/>
      <c r="L106" s="809"/>
      <c r="M106" s="809"/>
      <c r="N106" s="809"/>
      <c r="O106" s="809"/>
      <c r="P106" s="809"/>
      <c r="Q106" s="809"/>
    </row>
    <row r="107" spans="1:32" ht="13.15" customHeight="1">
      <c r="A107" s="1048"/>
      <c r="B107" s="1049"/>
      <c r="C107" s="1049"/>
      <c r="D107" s="1049"/>
      <c r="E107" s="1049"/>
      <c r="F107" s="1049"/>
      <c r="G107" s="1049"/>
      <c r="H107" s="1049"/>
      <c r="I107" s="1049"/>
      <c r="J107" s="1049"/>
      <c r="K107" s="1049"/>
      <c r="L107" s="1049"/>
      <c r="M107" s="1049"/>
      <c r="N107" s="1049"/>
      <c r="O107" s="1049"/>
      <c r="P107" s="1049"/>
      <c r="Q107" s="1050"/>
    </row>
    <row r="108" spans="1:32" ht="4.9000000000000004" customHeight="1">
      <c r="A108" s="802"/>
      <c r="B108" s="162"/>
      <c r="C108" s="809"/>
      <c r="D108" s="809"/>
      <c r="E108" s="809"/>
      <c r="F108" s="809"/>
      <c r="G108" s="809"/>
      <c r="H108" s="809"/>
      <c r="I108" s="809"/>
      <c r="J108" s="809"/>
      <c r="K108" s="809"/>
      <c r="L108" s="809"/>
      <c r="M108" s="809"/>
      <c r="N108" s="809"/>
      <c r="O108" s="809"/>
      <c r="P108" s="809"/>
      <c r="Q108" s="802"/>
    </row>
    <row r="109" spans="1:32" ht="13.9" customHeight="1">
      <c r="A109" s="811">
        <v>7</v>
      </c>
      <c r="B109" s="811" t="s">
        <v>3489</v>
      </c>
      <c r="C109" s="813"/>
      <c r="D109" s="809"/>
      <c r="E109" s="809"/>
      <c r="F109" s="809"/>
      <c r="G109" s="809"/>
      <c r="H109" s="809"/>
      <c r="I109" s="809"/>
      <c r="J109" s="809"/>
      <c r="K109" s="809"/>
      <c r="L109" s="809"/>
      <c r="M109" s="809"/>
      <c r="O109" s="163" t="s">
        <v>2572</v>
      </c>
      <c r="P109" s="1051"/>
      <c r="Q109" s="1054"/>
    </row>
    <row r="110" spans="1:32" ht="6.6" customHeight="1"/>
    <row r="111" spans="1:32" ht="12" customHeight="1">
      <c r="B111" s="54" t="s">
        <v>2694</v>
      </c>
      <c r="C111" s="61" t="s">
        <v>3580</v>
      </c>
      <c r="D111" s="165"/>
      <c r="E111" s="165"/>
      <c r="F111" s="165"/>
      <c r="G111" s="165"/>
      <c r="H111" s="165"/>
      <c r="I111" s="49"/>
      <c r="J111" s="49"/>
      <c r="K111" s="49"/>
      <c r="L111" s="654" t="s">
        <v>2694</v>
      </c>
      <c r="M111" s="1658" t="s">
        <v>4081</v>
      </c>
      <c r="N111" s="1659"/>
      <c r="O111" s="1659"/>
      <c r="P111" s="1660"/>
      <c r="Q111" s="210"/>
    </row>
    <row r="112" spans="1:32" ht="12" customHeight="1">
      <c r="B112" s="54" t="s">
        <v>2697</v>
      </c>
      <c r="C112" s="61" t="s">
        <v>1997</v>
      </c>
      <c r="D112" s="165"/>
      <c r="E112" s="165"/>
      <c r="F112" s="165"/>
      <c r="G112" s="165"/>
      <c r="H112" s="165"/>
      <c r="I112" s="49"/>
      <c r="J112" s="49"/>
      <c r="K112" s="165"/>
      <c r="L112" s="165"/>
      <c r="M112" s="807"/>
      <c r="O112" s="654" t="s">
        <v>2697</v>
      </c>
      <c r="P112" s="1607" t="s">
        <v>4074</v>
      </c>
      <c r="Q112" s="321"/>
    </row>
    <row r="113" spans="2:17" ht="12" customHeight="1">
      <c r="B113" s="54" t="s">
        <v>1054</v>
      </c>
      <c r="C113" s="61" t="s">
        <v>165</v>
      </c>
      <c r="D113" s="165"/>
      <c r="E113" s="165"/>
      <c r="F113" s="165"/>
      <c r="G113" s="165"/>
      <c r="H113" s="165"/>
      <c r="I113" s="49"/>
      <c r="J113" s="49"/>
      <c r="K113" s="165"/>
      <c r="L113" s="807"/>
      <c r="M113" s="807"/>
      <c r="O113" s="654" t="s">
        <v>1054</v>
      </c>
      <c r="P113" s="1607" t="s">
        <v>4073</v>
      </c>
      <c r="Q113" s="210"/>
    </row>
    <row r="114" spans="2:17" ht="12" customHeight="1">
      <c r="B114" s="54"/>
      <c r="C114" s="77" t="s">
        <v>2430</v>
      </c>
      <c r="D114" s="61" t="s">
        <v>3581</v>
      </c>
      <c r="E114" s="165"/>
      <c r="F114" s="165"/>
      <c r="G114" s="165"/>
      <c r="H114" s="165"/>
      <c r="I114" s="49"/>
      <c r="J114" s="49"/>
      <c r="K114" s="165"/>
      <c r="L114" s="78" t="s">
        <v>2430</v>
      </c>
      <c r="M114" s="1658" t="s">
        <v>4081</v>
      </c>
      <c r="N114" s="1659"/>
      <c r="O114" s="1659"/>
      <c r="P114" s="1660"/>
      <c r="Q114" s="321"/>
    </row>
    <row r="115" spans="2:17" ht="12" customHeight="1">
      <c r="B115" s="171"/>
      <c r="C115" s="78" t="s">
        <v>2431</v>
      </c>
      <c r="D115" s="44" t="s">
        <v>3401</v>
      </c>
      <c r="E115" s="49"/>
      <c r="F115" s="49"/>
      <c r="G115" s="49"/>
      <c r="H115" s="61"/>
      <c r="I115" s="49"/>
      <c r="J115" s="49"/>
      <c r="K115" s="165"/>
      <c r="L115" s="807"/>
      <c r="M115" s="807"/>
      <c r="O115" s="654" t="s">
        <v>2431</v>
      </c>
      <c r="P115" s="1652" t="s">
        <v>4142</v>
      </c>
      <c r="Q115" s="321"/>
    </row>
    <row r="116" spans="2:17" ht="12" customHeight="1">
      <c r="B116" s="171"/>
      <c r="C116" s="654" t="s">
        <v>2432</v>
      </c>
      <c r="D116" s="61" t="s">
        <v>1819</v>
      </c>
      <c r="E116" s="49"/>
      <c r="F116" s="49"/>
      <c r="G116" s="49"/>
      <c r="H116" s="61"/>
      <c r="I116" s="49"/>
      <c r="J116" s="49"/>
      <c r="K116" s="165"/>
      <c r="L116" s="807"/>
      <c r="M116" s="807"/>
      <c r="N116" s="807"/>
      <c r="O116" s="807"/>
    </row>
    <row r="117" spans="2:17" ht="11.45" customHeight="1">
      <c r="B117" s="802"/>
      <c r="C117" s="78"/>
      <c r="D117" s="1661" t="s">
        <v>4144</v>
      </c>
      <c r="E117" s="1662"/>
      <c r="F117" s="1662"/>
      <c r="G117" s="1662"/>
      <c r="H117" s="1662"/>
      <c r="I117" s="1662"/>
      <c r="J117" s="1662"/>
      <c r="K117" s="1662"/>
      <c r="L117" s="1662"/>
      <c r="M117" s="1662"/>
      <c r="N117" s="1662"/>
      <c r="O117" s="1662"/>
      <c r="P117" s="1662"/>
      <c r="Q117" s="1663"/>
    </row>
    <row r="118" spans="2:17" ht="12" customHeight="1">
      <c r="B118" s="54" t="s">
        <v>2830</v>
      </c>
      <c r="C118" s="61" t="s">
        <v>1685</v>
      </c>
      <c r="D118" s="165"/>
      <c r="E118" s="165"/>
      <c r="F118" s="165"/>
      <c r="G118" s="165"/>
      <c r="H118" s="165"/>
      <c r="I118" s="49"/>
      <c r="J118" s="49"/>
      <c r="K118" s="165"/>
      <c r="L118" s="807"/>
      <c r="M118" s="807"/>
      <c r="N118" s="807"/>
      <c r="O118" s="654" t="s">
        <v>2830</v>
      </c>
    </row>
    <row r="119" spans="2:17" ht="12" customHeight="1">
      <c r="B119" s="54"/>
      <c r="C119" s="78" t="s">
        <v>2430</v>
      </c>
      <c r="D119" s="61" t="s">
        <v>163</v>
      </c>
      <c r="E119" s="165"/>
      <c r="F119" s="165"/>
      <c r="G119" s="165"/>
      <c r="H119" s="165"/>
      <c r="I119" s="49"/>
      <c r="J119" s="49"/>
      <c r="K119" s="165"/>
      <c r="L119" s="807"/>
      <c r="M119" s="807"/>
      <c r="O119" s="78" t="s">
        <v>2430</v>
      </c>
      <c r="P119" s="1607" t="s">
        <v>4074</v>
      </c>
      <c r="Q119" s="210"/>
    </row>
    <row r="120" spans="2:17" ht="12" customHeight="1">
      <c r="B120" s="54"/>
      <c r="C120" s="78" t="s">
        <v>2431</v>
      </c>
      <c r="D120" s="61" t="s">
        <v>1686</v>
      </c>
      <c r="E120" s="165"/>
      <c r="F120" s="165"/>
      <c r="G120" s="165"/>
      <c r="H120" s="49"/>
      <c r="I120" s="49"/>
      <c r="J120" s="49"/>
      <c r="K120" s="165"/>
      <c r="L120" s="807"/>
      <c r="M120" s="807"/>
      <c r="O120" s="78" t="s">
        <v>2431</v>
      </c>
      <c r="P120" s="1652" t="s">
        <v>4074</v>
      </c>
      <c r="Q120" s="321"/>
    </row>
    <row r="121" spans="2:17" ht="12" customHeight="1">
      <c r="B121" s="54"/>
      <c r="C121" s="78"/>
      <c r="D121" s="61" t="s">
        <v>3464</v>
      </c>
      <c r="E121" s="608" t="s">
        <v>3201</v>
      </c>
      <c r="F121" s="61" t="s">
        <v>3465</v>
      </c>
      <c r="G121" s="49"/>
      <c r="H121" s="61"/>
      <c r="I121" s="49"/>
      <c r="J121" s="49"/>
      <c r="K121" s="165"/>
      <c r="L121" s="807"/>
      <c r="M121" s="807"/>
      <c r="O121" s="608" t="s">
        <v>3201</v>
      </c>
      <c r="P121" s="1664"/>
      <c r="Q121" s="385"/>
    </row>
    <row r="122" spans="2:17" ht="12" customHeight="1">
      <c r="B122" s="54"/>
      <c r="C122" s="78"/>
      <c r="E122" s="608" t="s">
        <v>3202</v>
      </c>
      <c r="F122" s="61" t="s">
        <v>3466</v>
      </c>
      <c r="G122" s="49"/>
      <c r="H122" s="61"/>
      <c r="I122" s="49"/>
      <c r="J122" s="49"/>
      <c r="K122" s="165"/>
      <c r="L122" s="807"/>
      <c r="M122" s="807"/>
      <c r="O122" s="608" t="s">
        <v>3202</v>
      </c>
      <c r="P122" s="1652"/>
      <c r="Q122" s="321"/>
    </row>
    <row r="123" spans="2:17" ht="12" customHeight="1">
      <c r="B123" s="54"/>
      <c r="C123" s="78"/>
      <c r="E123" s="608" t="s">
        <v>3203</v>
      </c>
      <c r="F123" s="61" t="s">
        <v>3467</v>
      </c>
      <c r="G123" s="49"/>
      <c r="H123" s="61"/>
      <c r="I123" s="49"/>
      <c r="J123" s="49"/>
      <c r="K123" s="165"/>
      <c r="L123" s="807"/>
      <c r="M123" s="807"/>
      <c r="O123" s="608" t="s">
        <v>3203</v>
      </c>
      <c r="P123" s="1652"/>
      <c r="Q123" s="321"/>
    </row>
    <row r="124" spans="2:17" ht="12" customHeight="1">
      <c r="B124" s="54"/>
      <c r="C124" s="78" t="s">
        <v>2432</v>
      </c>
      <c r="D124" s="61" t="s">
        <v>1687</v>
      </c>
      <c r="E124" s="165"/>
      <c r="F124" s="165"/>
      <c r="G124" s="165"/>
      <c r="H124" s="61"/>
      <c r="I124" s="49"/>
      <c r="J124" s="49"/>
      <c r="K124" s="165"/>
      <c r="L124" s="807"/>
      <c r="M124" s="807"/>
      <c r="O124" s="78" t="s">
        <v>2432</v>
      </c>
      <c r="P124" s="1607" t="s">
        <v>4073</v>
      </c>
      <c r="Q124" s="210"/>
    </row>
    <row r="125" spans="2:17" ht="12" customHeight="1">
      <c r="B125" s="54"/>
      <c r="C125" s="78"/>
      <c r="D125" s="61" t="s">
        <v>3464</v>
      </c>
      <c r="E125" s="608" t="s">
        <v>3201</v>
      </c>
      <c r="F125" s="61" t="s">
        <v>3468</v>
      </c>
      <c r="G125" s="49"/>
      <c r="H125" s="61"/>
      <c r="I125" s="49"/>
      <c r="J125" s="49"/>
      <c r="K125" s="165"/>
      <c r="L125" s="807"/>
      <c r="O125" s="608" t="s">
        <v>3201</v>
      </c>
      <c r="P125" s="1664">
        <v>6.4999999999999997E-3</v>
      </c>
      <c r="Q125" s="322"/>
    </row>
    <row r="126" spans="2:17" ht="12" customHeight="1">
      <c r="B126" s="54"/>
      <c r="C126" s="78"/>
      <c r="E126" s="608" t="s">
        <v>3202</v>
      </c>
      <c r="F126" s="61" t="s">
        <v>3469</v>
      </c>
      <c r="G126" s="49"/>
      <c r="H126" s="61"/>
      <c r="I126" s="49"/>
      <c r="J126" s="49"/>
      <c r="K126" s="165"/>
      <c r="L126" s="807"/>
      <c r="O126" s="608" t="s">
        <v>3202</v>
      </c>
      <c r="P126" s="1652" t="s">
        <v>4074</v>
      </c>
      <c r="Q126" s="321"/>
    </row>
    <row r="127" spans="2:17" ht="12" customHeight="1">
      <c r="B127" s="54"/>
      <c r="C127" s="78"/>
      <c r="E127" s="608" t="s">
        <v>3203</v>
      </c>
      <c r="F127" s="61" t="s">
        <v>3467</v>
      </c>
      <c r="G127" s="49"/>
      <c r="H127" s="61"/>
      <c r="I127" s="49"/>
      <c r="J127" s="49"/>
      <c r="K127" s="165"/>
      <c r="L127" s="807"/>
      <c r="O127" s="608" t="s">
        <v>3203</v>
      </c>
      <c r="P127" s="1652" t="s">
        <v>4073</v>
      </c>
      <c r="Q127" s="321"/>
    </row>
    <row r="128" spans="2:17" ht="12" customHeight="1">
      <c r="B128" s="44"/>
      <c r="C128" s="78" t="s">
        <v>3119</v>
      </c>
      <c r="D128" s="61" t="s">
        <v>3470</v>
      </c>
      <c r="E128" s="165"/>
      <c r="F128" s="165"/>
      <c r="G128" s="165"/>
      <c r="H128" s="165"/>
      <c r="I128" s="49"/>
      <c r="J128" s="49"/>
      <c r="K128" s="165"/>
      <c r="L128" s="807"/>
      <c r="M128" s="807"/>
      <c r="O128" s="78" t="s">
        <v>3119</v>
      </c>
      <c r="P128" s="1607" t="s">
        <v>4073</v>
      </c>
      <c r="Q128" s="210"/>
    </row>
    <row r="129" spans="1:31" ht="12" customHeight="1">
      <c r="B129" s="54" t="s">
        <v>2428</v>
      </c>
      <c r="C129" s="178" t="s">
        <v>3178</v>
      </c>
      <c r="D129" s="165"/>
      <c r="E129" s="165"/>
      <c r="F129" s="165"/>
      <c r="G129" s="165"/>
      <c r="H129" s="165"/>
      <c r="I129" s="49"/>
      <c r="J129" s="49"/>
      <c r="K129" s="165"/>
      <c r="L129" s="807"/>
      <c r="M129" s="807"/>
      <c r="N129" s="807"/>
      <c r="O129" s="807"/>
      <c r="P129" s="807"/>
      <c r="Q129" s="807"/>
    </row>
    <row r="130" spans="1:31" ht="12" customHeight="1">
      <c r="B130" s="54"/>
      <c r="C130" s="78" t="s">
        <v>2430</v>
      </c>
      <c r="D130" s="61" t="s">
        <v>3179</v>
      </c>
      <c r="E130" s="165"/>
      <c r="F130" s="1665" t="s">
        <v>4074</v>
      </c>
      <c r="G130" s="324"/>
      <c r="H130" s="78" t="s">
        <v>3119</v>
      </c>
      <c r="I130" s="61" t="s">
        <v>2012</v>
      </c>
      <c r="J130" s="1665" t="s">
        <v>4074</v>
      </c>
      <c r="K130" s="324"/>
      <c r="L130" s="654" t="s">
        <v>104</v>
      </c>
      <c r="M130" s="61" t="s">
        <v>2013</v>
      </c>
      <c r="O130" s="1665" t="s">
        <v>4074</v>
      </c>
      <c r="P130" s="324"/>
    </row>
    <row r="131" spans="1:31" ht="12" customHeight="1">
      <c r="B131" s="44"/>
      <c r="C131" s="78" t="s">
        <v>2431</v>
      </c>
      <c r="D131" s="61" t="s">
        <v>3276</v>
      </c>
      <c r="E131" s="165"/>
      <c r="F131" s="1666" t="s">
        <v>4074</v>
      </c>
      <c r="G131" s="473"/>
      <c r="H131" s="78" t="s">
        <v>2009</v>
      </c>
      <c r="I131" s="61" t="s">
        <v>3668</v>
      </c>
      <c r="J131" s="1666" t="s">
        <v>4074</v>
      </c>
      <c r="K131" s="473"/>
      <c r="L131" s="654" t="s">
        <v>678</v>
      </c>
      <c r="M131" s="64" t="s">
        <v>3472</v>
      </c>
      <c r="O131" s="1666" t="s">
        <v>4074</v>
      </c>
      <c r="P131" s="473"/>
    </row>
    <row r="132" spans="1:31" ht="12" customHeight="1">
      <c r="B132" s="44"/>
      <c r="C132" s="78" t="s">
        <v>2432</v>
      </c>
      <c r="D132" s="61" t="s">
        <v>3471</v>
      </c>
      <c r="E132" s="165"/>
      <c r="F132" s="1667" t="s">
        <v>4074</v>
      </c>
      <c r="G132" s="325"/>
      <c r="H132" s="78" t="s">
        <v>2010</v>
      </c>
      <c r="I132" s="61" t="s">
        <v>2011</v>
      </c>
      <c r="J132" s="1667" t="s">
        <v>4074</v>
      </c>
      <c r="K132" s="325"/>
      <c r="L132" s="654" t="s">
        <v>679</v>
      </c>
      <c r="M132" s="64" t="s">
        <v>3473</v>
      </c>
      <c r="O132" s="1667" t="s">
        <v>4074</v>
      </c>
      <c r="P132" s="325"/>
    </row>
    <row r="133" spans="1:31" ht="12" customHeight="1">
      <c r="B133" s="44"/>
      <c r="C133" s="654" t="s">
        <v>680</v>
      </c>
      <c r="D133" s="61" t="s">
        <v>3961</v>
      </c>
      <c r="E133" s="165"/>
      <c r="F133" s="165"/>
      <c r="G133" s="165"/>
      <c r="H133" s="165"/>
      <c r="J133" s="1658" t="s">
        <v>4143</v>
      </c>
      <c r="K133" s="1659"/>
      <c r="L133" s="1659"/>
      <c r="M133" s="1659"/>
      <c r="N133" s="1659"/>
      <c r="O133" s="1659"/>
      <c r="P133" s="1660"/>
      <c r="Q133" s="210"/>
    </row>
    <row r="134" spans="1:31" ht="12" customHeight="1">
      <c r="B134" s="54" t="s">
        <v>2429</v>
      </c>
      <c r="C134" s="61" t="s">
        <v>1718</v>
      </c>
      <c r="D134" s="165"/>
      <c r="E134" s="165"/>
      <c r="F134" s="165"/>
      <c r="G134" s="165"/>
      <c r="H134" s="165"/>
      <c r="I134" s="49"/>
      <c r="J134" s="49"/>
      <c r="K134" s="165"/>
      <c r="L134" s="165"/>
      <c r="M134" s="807"/>
      <c r="O134" s="654" t="s">
        <v>2429</v>
      </c>
      <c r="P134" s="1607" t="s">
        <v>4073</v>
      </c>
      <c r="Q134" s="210"/>
    </row>
    <row r="135" spans="1:31" ht="12" customHeight="1">
      <c r="A135" s="176"/>
      <c r="B135" s="49"/>
      <c r="C135" s="78" t="s">
        <v>2430</v>
      </c>
      <c r="D135" s="61" t="s">
        <v>908</v>
      </c>
      <c r="E135" s="165"/>
      <c r="F135" s="165"/>
      <c r="G135" s="165"/>
      <c r="H135" s="165"/>
      <c r="O135" s="78" t="s">
        <v>2430</v>
      </c>
      <c r="P135" s="1607" t="s">
        <v>4074</v>
      </c>
      <c r="Q135" s="210"/>
    </row>
    <row r="136" spans="1:31" ht="12" customHeight="1">
      <c r="A136" s="176"/>
      <c r="B136" s="162"/>
      <c r="C136" s="78" t="s">
        <v>2431</v>
      </c>
      <c r="D136" s="61" t="s">
        <v>625</v>
      </c>
      <c r="E136" s="61"/>
      <c r="F136" s="61"/>
      <c r="G136" s="61"/>
      <c r="H136" s="61"/>
      <c r="I136" s="49"/>
      <c r="J136" s="49"/>
      <c r="K136" s="61"/>
      <c r="L136" s="61"/>
      <c r="M136" s="61"/>
      <c r="O136" s="78" t="s">
        <v>2431</v>
      </c>
      <c r="P136" s="1607" t="s">
        <v>4073</v>
      </c>
      <c r="Q136" s="210"/>
    </row>
    <row r="137" spans="1:31" ht="12" customHeight="1">
      <c r="A137" s="176"/>
      <c r="B137" s="162"/>
      <c r="C137" s="78" t="s">
        <v>2432</v>
      </c>
      <c r="D137" s="61" t="s">
        <v>867</v>
      </c>
      <c r="E137" s="61"/>
      <c r="F137" s="61"/>
      <c r="G137" s="61"/>
      <c r="H137" s="61"/>
      <c r="I137" s="49"/>
      <c r="J137" s="49"/>
      <c r="K137" s="61"/>
      <c r="L137" s="61"/>
      <c r="M137" s="61"/>
      <c r="O137" s="78" t="s">
        <v>2432</v>
      </c>
      <c r="P137" s="1607" t="s">
        <v>4073</v>
      </c>
      <c r="Q137" s="210"/>
    </row>
    <row r="138" spans="1:31" ht="12" customHeight="1">
      <c r="B138" s="54" t="s">
        <v>2657</v>
      </c>
      <c r="C138" s="61" t="s">
        <v>2447</v>
      </c>
      <c r="D138" s="165"/>
      <c r="E138" s="165"/>
      <c r="F138" s="165"/>
      <c r="G138" s="165"/>
      <c r="H138" s="165"/>
      <c r="I138" s="49"/>
      <c r="J138" s="49"/>
      <c r="K138" s="165"/>
      <c r="L138" s="165"/>
      <c r="M138" s="807"/>
      <c r="O138" s="654" t="s">
        <v>2657</v>
      </c>
      <c r="P138" s="1607" t="s">
        <v>1369</v>
      </c>
      <c r="Q138" s="210"/>
    </row>
    <row r="139" spans="1:31" ht="4.9000000000000004" customHeight="1"/>
    <row r="140" spans="1:31" ht="11.25" customHeight="1">
      <c r="B140" s="173" t="s">
        <v>2570</v>
      </c>
      <c r="D140" s="173"/>
      <c r="E140" s="173"/>
      <c r="F140" s="173"/>
      <c r="G140" s="173"/>
      <c r="H140" s="813"/>
      <c r="I140" s="162"/>
      <c r="J140" s="162"/>
      <c r="K140" s="162"/>
      <c r="L140" s="802"/>
      <c r="M140" s="802"/>
      <c r="N140" s="802"/>
      <c r="O140" s="802"/>
      <c r="P140" s="802"/>
      <c r="Q140" s="59"/>
    </row>
    <row r="141" spans="1:31" ht="130.5" customHeight="1">
      <c r="A141" s="1611" t="s">
        <v>4195</v>
      </c>
      <c r="B141" s="1612"/>
      <c r="C141" s="1612"/>
      <c r="D141" s="1612"/>
      <c r="E141" s="1612"/>
      <c r="F141" s="1612"/>
      <c r="G141" s="1612"/>
      <c r="H141" s="1612"/>
      <c r="I141" s="1612"/>
      <c r="J141" s="1612"/>
      <c r="K141" s="1612"/>
      <c r="L141" s="1612"/>
      <c r="M141" s="1612"/>
      <c r="N141" s="1612"/>
      <c r="O141" s="1612"/>
      <c r="P141" s="1612"/>
      <c r="Q141" s="1613"/>
      <c r="R141" s="614" t="s">
        <v>1677</v>
      </c>
      <c r="S141" s="615"/>
      <c r="U141" s="168"/>
      <c r="V141" s="168"/>
      <c r="W141" s="168"/>
      <c r="X141" s="168"/>
      <c r="Y141" s="168"/>
      <c r="Z141" s="168"/>
      <c r="AA141" s="168"/>
      <c r="AB141" s="168"/>
      <c r="AC141" s="168"/>
      <c r="AD141" s="168"/>
      <c r="AE141" s="656"/>
    </row>
    <row r="142" spans="1:31" ht="11.25" customHeight="1">
      <c r="B142" s="169" t="s">
        <v>2571</v>
      </c>
      <c r="C142" s="170"/>
      <c r="D142" s="809"/>
      <c r="E142" s="809"/>
      <c r="F142" s="809"/>
      <c r="G142" s="809"/>
      <c r="H142" s="809"/>
      <c r="I142" s="809"/>
      <c r="J142" s="809"/>
      <c r="K142" s="809"/>
      <c r="L142" s="809"/>
      <c r="M142" s="809"/>
      <c r="N142" s="809"/>
      <c r="O142" s="809"/>
      <c r="P142" s="809"/>
      <c r="Q142" s="809"/>
    </row>
    <row r="143" spans="1:31" ht="12" customHeight="1">
      <c r="A143" s="1048"/>
      <c r="B143" s="1049"/>
      <c r="C143" s="1049"/>
      <c r="D143" s="1049"/>
      <c r="E143" s="1049"/>
      <c r="F143" s="1049"/>
      <c r="G143" s="1049"/>
      <c r="H143" s="1049"/>
      <c r="I143" s="1049"/>
      <c r="J143" s="1049"/>
      <c r="K143" s="1049"/>
      <c r="L143" s="1049"/>
      <c r="M143" s="1049"/>
      <c r="N143" s="1049"/>
      <c r="O143" s="1049"/>
      <c r="P143" s="1049"/>
      <c r="Q143" s="1050"/>
      <c r="R143" s="614" t="s">
        <v>1677</v>
      </c>
      <c r="S143" s="615"/>
    </row>
    <row r="144" spans="1:31" ht="8.4499999999999993" customHeight="1">
      <c r="A144" s="802"/>
      <c r="B144" s="162"/>
      <c r="C144" s="809"/>
      <c r="D144" s="809"/>
      <c r="E144" s="809"/>
      <c r="F144" s="809"/>
      <c r="G144" s="809"/>
      <c r="H144" s="809"/>
      <c r="I144" s="809"/>
      <c r="J144" s="809"/>
      <c r="K144" s="809"/>
      <c r="L144" s="809"/>
      <c r="M144" s="809"/>
      <c r="N144" s="809"/>
      <c r="O144" s="809"/>
      <c r="P144" s="809"/>
      <c r="Q144" s="802"/>
    </row>
    <row r="145" spans="1:31" ht="13.9" customHeight="1">
      <c r="A145" s="811">
        <v>8</v>
      </c>
      <c r="B145" s="811" t="s">
        <v>3490</v>
      </c>
      <c r="C145" s="811"/>
      <c r="D145" s="809"/>
      <c r="E145" s="809"/>
      <c r="F145" s="809"/>
      <c r="G145" s="809"/>
      <c r="H145" s="809"/>
      <c r="I145" s="809"/>
      <c r="J145" s="809"/>
      <c r="K145" s="809"/>
      <c r="O145" s="163" t="s">
        <v>2572</v>
      </c>
      <c r="P145" s="1051"/>
      <c r="Q145" s="1054"/>
    </row>
    <row r="146" spans="1:31" ht="12" customHeight="1">
      <c r="B146" s="54" t="s">
        <v>2694</v>
      </c>
      <c r="C146" s="61" t="s">
        <v>3633</v>
      </c>
      <c r="D146" s="61"/>
      <c r="E146" s="61"/>
      <c r="F146" s="61"/>
      <c r="G146" s="61"/>
      <c r="I146" s="61" t="s">
        <v>3632</v>
      </c>
      <c r="K146" s="1668">
        <v>41639</v>
      </c>
      <c r="L146" s="1669"/>
      <c r="N146" s="61"/>
      <c r="O146" s="654" t="s">
        <v>2694</v>
      </c>
      <c r="P146" s="1607" t="s">
        <v>4073</v>
      </c>
      <c r="Q146" s="210"/>
    </row>
    <row r="147" spans="1:31" ht="12" customHeight="1">
      <c r="A147" s="171"/>
      <c r="B147" s="54" t="s">
        <v>2697</v>
      </c>
      <c r="C147" s="172" t="s">
        <v>164</v>
      </c>
      <c r="D147" s="172"/>
      <c r="E147" s="172"/>
      <c r="F147" s="172"/>
      <c r="G147" s="172"/>
      <c r="H147" s="172"/>
      <c r="M147" s="654" t="s">
        <v>2697</v>
      </c>
      <c r="N147" s="1670" t="s">
        <v>4082</v>
      </c>
      <c r="O147" s="1671"/>
      <c r="P147" s="1075"/>
      <c r="Q147" s="1076"/>
    </row>
    <row r="148" spans="1:31" ht="12" customHeight="1">
      <c r="A148" s="171"/>
      <c r="B148" s="54" t="s">
        <v>1054</v>
      </c>
      <c r="C148" s="172" t="s">
        <v>868</v>
      </c>
      <c r="D148" s="172"/>
      <c r="E148" s="172"/>
      <c r="F148" s="172"/>
      <c r="G148" s="172"/>
      <c r="H148" s="172"/>
      <c r="J148" s="654" t="s">
        <v>1054</v>
      </c>
      <c r="K148" s="1672" t="s">
        <v>4063</v>
      </c>
      <c r="L148" s="1673"/>
      <c r="M148" s="1673"/>
      <c r="N148" s="1673"/>
      <c r="O148" s="1673"/>
      <c r="P148" s="1674"/>
      <c r="Q148" s="210"/>
    </row>
    <row r="149" spans="1:31" ht="12" customHeight="1">
      <c r="B149" s="173" t="s">
        <v>2570</v>
      </c>
      <c r="D149" s="173"/>
      <c r="E149" s="173"/>
      <c r="F149" s="173"/>
      <c r="G149" s="173"/>
      <c r="H149" s="813"/>
      <c r="I149" s="162"/>
      <c r="J149" s="162"/>
      <c r="K149" s="162"/>
      <c r="L149" s="802"/>
      <c r="M149" s="802"/>
      <c r="N149" s="802"/>
      <c r="O149" s="802"/>
      <c r="P149" s="802"/>
      <c r="Q149" s="59"/>
    </row>
    <row r="150" spans="1:31" ht="19.5" customHeight="1">
      <c r="A150" s="1611" t="s">
        <v>4139</v>
      </c>
      <c r="B150" s="1612"/>
      <c r="C150" s="1612"/>
      <c r="D150" s="1612"/>
      <c r="E150" s="1612"/>
      <c r="F150" s="1612"/>
      <c r="G150" s="1612"/>
      <c r="H150" s="1612"/>
      <c r="I150" s="1612"/>
      <c r="J150" s="1612"/>
      <c r="K150" s="1612"/>
      <c r="L150" s="1612"/>
      <c r="M150" s="1612"/>
      <c r="N150" s="1612"/>
      <c r="O150" s="1612"/>
      <c r="P150" s="1612"/>
      <c r="Q150" s="1613"/>
      <c r="U150" s="168"/>
      <c r="V150" s="168"/>
      <c r="W150" s="168"/>
      <c r="X150" s="168"/>
      <c r="Y150" s="168"/>
      <c r="Z150" s="168"/>
      <c r="AA150" s="168"/>
      <c r="AB150" s="168"/>
      <c r="AC150" s="168"/>
      <c r="AD150" s="168"/>
      <c r="AE150" s="656"/>
    </row>
    <row r="151" spans="1:31" ht="12" customHeight="1">
      <c r="B151" s="169" t="s">
        <v>2571</v>
      </c>
      <c r="C151" s="170"/>
      <c r="D151" s="809"/>
      <c r="E151" s="809"/>
      <c r="F151" s="809"/>
      <c r="G151" s="809"/>
      <c r="H151" s="809"/>
      <c r="I151" s="809"/>
      <c r="J151" s="809"/>
      <c r="K151" s="809"/>
      <c r="L151" s="809"/>
      <c r="M151" s="809"/>
      <c r="N151" s="809"/>
      <c r="O151" s="809"/>
      <c r="P151" s="809"/>
      <c r="Q151" s="809"/>
    </row>
    <row r="152" spans="1:31" ht="11.45" customHeight="1">
      <c r="A152" s="1048"/>
      <c r="B152" s="1049"/>
      <c r="C152" s="1049"/>
      <c r="D152" s="1049"/>
      <c r="E152" s="1049"/>
      <c r="F152" s="1049"/>
      <c r="G152" s="1049"/>
      <c r="H152" s="1049"/>
      <c r="I152" s="1049"/>
      <c r="J152" s="1049"/>
      <c r="K152" s="1049"/>
      <c r="L152" s="1049"/>
      <c r="M152" s="1049"/>
      <c r="N152" s="1049"/>
      <c r="O152" s="1049"/>
      <c r="P152" s="1049"/>
      <c r="Q152" s="1050"/>
    </row>
    <row r="153" spans="1:31" ht="3" customHeight="1">
      <c r="A153" s="802"/>
      <c r="B153" s="162"/>
      <c r="C153" s="809"/>
      <c r="D153" s="809"/>
      <c r="E153" s="809"/>
      <c r="F153" s="809"/>
      <c r="G153" s="809"/>
      <c r="H153" s="809"/>
      <c r="I153" s="809"/>
      <c r="J153" s="809"/>
      <c r="K153" s="809"/>
      <c r="L153" s="809"/>
      <c r="M153" s="809"/>
      <c r="Q153" s="802"/>
    </row>
    <row r="154" spans="1:31" ht="13.9" customHeight="1">
      <c r="A154" s="811">
        <v>9</v>
      </c>
      <c r="B154" s="811" t="s">
        <v>3491</v>
      </c>
      <c r="C154" s="811"/>
      <c r="D154" s="809"/>
      <c r="E154" s="809"/>
      <c r="F154" s="809"/>
      <c r="G154" s="809"/>
      <c r="H154" s="809"/>
      <c r="I154" s="809"/>
      <c r="J154" s="809"/>
      <c r="K154" s="809"/>
      <c r="L154" s="809"/>
      <c r="M154" s="809"/>
      <c r="O154" s="163" t="s">
        <v>2572</v>
      </c>
      <c r="P154" s="1051"/>
      <c r="Q154" s="1054"/>
    </row>
    <row r="155" spans="1:31" ht="12" customHeight="1">
      <c r="B155" s="174" t="s">
        <v>2694</v>
      </c>
      <c r="C155" s="172" t="s">
        <v>102</v>
      </c>
      <c r="D155" s="172"/>
      <c r="E155" s="172"/>
      <c r="F155" s="172"/>
      <c r="G155" s="172"/>
      <c r="H155" s="172"/>
      <c r="I155" s="172"/>
      <c r="J155" s="172"/>
      <c r="K155" s="172"/>
      <c r="L155" s="179"/>
      <c r="M155" s="179"/>
      <c r="N155" s="179"/>
      <c r="O155" s="199" t="s">
        <v>2694</v>
      </c>
      <c r="P155" s="1607" t="s">
        <v>4073</v>
      </c>
      <c r="Q155" s="210"/>
    </row>
    <row r="156" spans="1:31" ht="22.15" customHeight="1">
      <c r="B156" s="174" t="s">
        <v>2697</v>
      </c>
      <c r="C156" s="1045" t="s">
        <v>3292</v>
      </c>
      <c r="D156" s="1045"/>
      <c r="E156" s="1045"/>
      <c r="F156" s="1045"/>
      <c r="G156" s="1045"/>
      <c r="H156" s="1045"/>
      <c r="I156" s="1045"/>
      <c r="J156" s="1045"/>
      <c r="K156" s="1045"/>
      <c r="L156" s="1045"/>
      <c r="M156" s="1045"/>
      <c r="N156" s="1045"/>
      <c r="O156" s="199" t="s">
        <v>2697</v>
      </c>
      <c r="P156" s="1607"/>
      <c r="Q156" s="210"/>
    </row>
    <row r="157" spans="1:31" ht="21.75" customHeight="1">
      <c r="B157" s="174" t="s">
        <v>1054</v>
      </c>
      <c r="C157" s="1045" t="s">
        <v>3474</v>
      </c>
      <c r="D157" s="1045"/>
      <c r="E157" s="1045"/>
      <c r="F157" s="1045"/>
      <c r="G157" s="1045"/>
      <c r="H157" s="1045"/>
      <c r="I157" s="1045"/>
      <c r="J157" s="1045"/>
      <c r="K157" s="1045"/>
      <c r="L157" s="1045"/>
      <c r="M157" s="1045"/>
      <c r="N157" s="1045"/>
      <c r="O157" s="199" t="s">
        <v>1054</v>
      </c>
      <c r="P157" s="1607"/>
      <c r="Q157" s="210"/>
    </row>
    <row r="158" spans="1:31" ht="12" customHeight="1">
      <c r="B158" s="173" t="s">
        <v>2570</v>
      </c>
      <c r="D158" s="173"/>
      <c r="E158" s="173"/>
      <c r="F158" s="173"/>
      <c r="G158" s="173"/>
      <c r="H158" s="813"/>
      <c r="I158" s="162"/>
      <c r="J158" s="162"/>
      <c r="K158" s="162"/>
      <c r="L158" s="802"/>
      <c r="M158" s="802"/>
      <c r="N158" s="802"/>
      <c r="O158" s="802"/>
      <c r="P158" s="802"/>
      <c r="Q158" s="59"/>
    </row>
    <row r="159" spans="1:31" ht="11.45" customHeight="1">
      <c r="A159" s="1611" t="s">
        <v>4158</v>
      </c>
      <c r="B159" s="1612"/>
      <c r="C159" s="1612"/>
      <c r="D159" s="1612"/>
      <c r="E159" s="1612"/>
      <c r="F159" s="1612"/>
      <c r="G159" s="1612"/>
      <c r="H159" s="1612"/>
      <c r="I159" s="1612"/>
      <c r="J159" s="1612"/>
      <c r="K159" s="1612"/>
      <c r="L159" s="1612"/>
      <c r="M159" s="1612"/>
      <c r="N159" s="1612"/>
      <c r="O159" s="1612"/>
      <c r="P159" s="1612"/>
      <c r="Q159" s="1613"/>
      <c r="U159" s="168"/>
      <c r="V159" s="168"/>
      <c r="W159" s="168"/>
      <c r="X159" s="168"/>
      <c r="Y159" s="168"/>
      <c r="Z159" s="168"/>
      <c r="AA159" s="168"/>
      <c r="AB159" s="168"/>
      <c r="AC159" s="168"/>
      <c r="AD159" s="168"/>
      <c r="AE159" s="656"/>
    </row>
    <row r="160" spans="1:31" ht="12" customHeight="1">
      <c r="B160" s="169" t="s">
        <v>2571</v>
      </c>
      <c r="C160" s="170"/>
      <c r="D160" s="809"/>
      <c r="E160" s="809"/>
      <c r="F160" s="809"/>
      <c r="G160" s="809"/>
      <c r="H160" s="809"/>
      <c r="I160" s="809"/>
      <c r="J160" s="809"/>
      <c r="K160" s="809"/>
      <c r="L160" s="809"/>
      <c r="M160" s="809"/>
      <c r="N160" s="809"/>
      <c r="O160" s="809"/>
      <c r="P160" s="809"/>
      <c r="Q160" s="809"/>
    </row>
    <row r="161" spans="1:32" ht="11.45" customHeight="1">
      <c r="A161" s="1048"/>
      <c r="B161" s="1049"/>
      <c r="C161" s="1049"/>
      <c r="D161" s="1049"/>
      <c r="E161" s="1049"/>
      <c r="F161" s="1049"/>
      <c r="G161" s="1049"/>
      <c r="H161" s="1049"/>
      <c r="I161" s="1049"/>
      <c r="J161" s="1049"/>
      <c r="K161" s="1049"/>
      <c r="L161" s="1049"/>
      <c r="M161" s="1049"/>
      <c r="N161" s="1049"/>
      <c r="O161" s="1049"/>
      <c r="P161" s="1049"/>
      <c r="Q161" s="1050"/>
    </row>
    <row r="162" spans="1:32" ht="3" customHeight="1">
      <c r="B162" s="162"/>
      <c r="C162" s="809"/>
      <c r="D162" s="809"/>
      <c r="E162" s="809"/>
      <c r="F162" s="809"/>
      <c r="G162" s="809"/>
      <c r="H162" s="809"/>
      <c r="I162" s="809"/>
      <c r="J162" s="809"/>
      <c r="K162" s="809"/>
      <c r="L162" s="809"/>
      <c r="M162" s="809"/>
      <c r="N162" s="809"/>
      <c r="O162" s="809"/>
      <c r="P162" s="809"/>
      <c r="Q162" s="802"/>
    </row>
    <row r="163" spans="1:32" ht="13.9" customHeight="1">
      <c r="A163" s="785">
        <v>10</v>
      </c>
      <c r="B163" s="1073" t="s">
        <v>3492</v>
      </c>
      <c r="C163" s="1073"/>
      <c r="D163" s="1073"/>
      <c r="O163" s="163" t="s">
        <v>2572</v>
      </c>
      <c r="P163" s="1051"/>
      <c r="Q163" s="1054"/>
    </row>
    <row r="164" spans="1:32" ht="12" customHeight="1">
      <c r="B164" s="174" t="s">
        <v>2694</v>
      </c>
      <c r="C164" s="179" t="s">
        <v>600</v>
      </c>
      <c r="D164" s="179"/>
      <c r="E164" s="179"/>
      <c r="F164" s="179"/>
      <c r="G164" s="179"/>
      <c r="H164" s="179"/>
      <c r="I164" s="179"/>
      <c r="J164" s="179"/>
      <c r="K164" s="179"/>
      <c r="L164" s="179"/>
      <c r="M164" s="179"/>
      <c r="O164" s="199" t="s">
        <v>2694</v>
      </c>
      <c r="P164" s="1607" t="s">
        <v>4073</v>
      </c>
      <c r="Q164" s="210"/>
    </row>
    <row r="165" spans="1:32" ht="12" customHeight="1">
      <c r="B165" s="174" t="s">
        <v>2697</v>
      </c>
      <c r="C165" s="179" t="s">
        <v>3475</v>
      </c>
      <c r="D165" s="179"/>
      <c r="E165" s="179"/>
      <c r="F165" s="179"/>
      <c r="G165" s="179"/>
      <c r="H165" s="179"/>
      <c r="I165" s="179"/>
      <c r="J165" s="179"/>
      <c r="K165" s="179"/>
      <c r="L165" s="179"/>
      <c r="M165" s="179"/>
      <c r="O165" s="199" t="s">
        <v>2697</v>
      </c>
      <c r="P165" s="1607" t="s">
        <v>4073</v>
      </c>
      <c r="Q165" s="210"/>
    </row>
    <row r="166" spans="1:32" ht="12" customHeight="1">
      <c r="B166" s="174" t="s">
        <v>1054</v>
      </c>
      <c r="C166" s="179" t="s">
        <v>3476</v>
      </c>
      <c r="D166" s="179"/>
      <c r="E166" s="179"/>
      <c r="F166" s="179"/>
      <c r="G166" s="179"/>
      <c r="H166" s="179"/>
      <c r="I166" s="179"/>
      <c r="J166" s="179"/>
      <c r="K166" s="179"/>
      <c r="L166" s="179"/>
      <c r="M166" s="179"/>
      <c r="O166" s="199" t="s">
        <v>1054</v>
      </c>
      <c r="P166" s="1607" t="s">
        <v>4073</v>
      </c>
      <c r="Q166" s="210"/>
    </row>
    <row r="167" spans="1:32" ht="12" customHeight="1">
      <c r="B167" s="174"/>
      <c r="C167" s="179" t="s">
        <v>3464</v>
      </c>
      <c r="D167" s="179"/>
      <c r="E167" s="608" t="s">
        <v>2430</v>
      </c>
      <c r="F167" s="179" t="s">
        <v>3477</v>
      </c>
      <c r="G167" s="179"/>
      <c r="H167" s="179"/>
      <c r="I167" s="179"/>
      <c r="J167" s="179"/>
      <c r="K167" s="179"/>
      <c r="L167" s="179"/>
      <c r="M167" s="179"/>
      <c r="O167" s="608" t="s">
        <v>2430</v>
      </c>
      <c r="P167" s="1607" t="s">
        <v>4073</v>
      </c>
      <c r="Q167" s="210"/>
    </row>
    <row r="168" spans="1:32" ht="12" customHeight="1">
      <c r="B168" s="174"/>
      <c r="C168" s="179"/>
      <c r="D168" s="179"/>
      <c r="E168" s="608" t="s">
        <v>2431</v>
      </c>
      <c r="F168" s="179" t="s">
        <v>3478</v>
      </c>
      <c r="G168" s="179"/>
      <c r="H168" s="179"/>
      <c r="I168" s="179"/>
      <c r="J168" s="179"/>
      <c r="K168" s="179"/>
      <c r="L168" s="179"/>
      <c r="M168" s="179"/>
      <c r="O168" s="608" t="s">
        <v>2431</v>
      </c>
      <c r="P168" s="1607" t="s">
        <v>4073</v>
      </c>
      <c r="Q168" s="210"/>
    </row>
    <row r="169" spans="1:32" s="164" customFormat="1" ht="21.75" customHeight="1">
      <c r="B169" s="174"/>
      <c r="C169" s="179"/>
      <c r="D169" s="179"/>
      <c r="E169" s="199" t="s">
        <v>2432</v>
      </c>
      <c r="F169" s="1045" t="s">
        <v>3479</v>
      </c>
      <c r="G169" s="1045"/>
      <c r="H169" s="1045"/>
      <c r="I169" s="1045"/>
      <c r="J169" s="1045"/>
      <c r="K169" s="1045"/>
      <c r="L169" s="1045"/>
      <c r="M169" s="1045"/>
      <c r="N169" s="1045"/>
      <c r="O169" s="199" t="s">
        <v>2432</v>
      </c>
      <c r="P169" s="1657" t="s">
        <v>4073</v>
      </c>
      <c r="Q169" s="323"/>
      <c r="AE169" s="657"/>
      <c r="AF169" s="657"/>
    </row>
    <row r="170" spans="1:32" ht="12" customHeight="1">
      <c r="B170" s="174"/>
      <c r="C170" s="179"/>
      <c r="D170" s="179"/>
      <c r="E170" s="608" t="s">
        <v>3119</v>
      </c>
      <c r="F170" s="179" t="s">
        <v>3480</v>
      </c>
      <c r="G170" s="179"/>
      <c r="H170" s="179"/>
      <c r="I170" s="179"/>
      <c r="J170" s="179"/>
      <c r="K170" s="179"/>
      <c r="L170" s="179"/>
      <c r="M170" s="179"/>
      <c r="O170" s="608" t="s">
        <v>3119</v>
      </c>
      <c r="P170" s="1607" t="s">
        <v>4073</v>
      </c>
      <c r="Q170" s="210"/>
    </row>
    <row r="171" spans="1:32" s="164" customFormat="1" ht="21.75" customHeight="1">
      <c r="B171" s="174"/>
      <c r="C171" s="179"/>
      <c r="D171" s="179"/>
      <c r="E171" s="199" t="s">
        <v>2009</v>
      </c>
      <c r="F171" s="1045" t="s">
        <v>3481</v>
      </c>
      <c r="G171" s="1045"/>
      <c r="H171" s="1045"/>
      <c r="I171" s="1045"/>
      <c r="J171" s="1045"/>
      <c r="K171" s="1045"/>
      <c r="L171" s="1045"/>
      <c r="M171" s="1045"/>
      <c r="N171" s="1045"/>
      <c r="O171" s="199" t="s">
        <v>2009</v>
      </c>
      <c r="P171" s="1657"/>
      <c r="Q171" s="323"/>
      <c r="AE171" s="657"/>
      <c r="AF171" s="657"/>
    </row>
    <row r="172" spans="1:32" ht="21.75" customHeight="1">
      <c r="B172" s="174" t="s">
        <v>2830</v>
      </c>
      <c r="C172" s="1045" t="s">
        <v>3482</v>
      </c>
      <c r="D172" s="1045"/>
      <c r="E172" s="1045"/>
      <c r="F172" s="1045"/>
      <c r="G172" s="1045"/>
      <c r="H172" s="1045"/>
      <c r="I172" s="1045"/>
      <c r="J172" s="1045"/>
      <c r="K172" s="1045"/>
      <c r="L172" s="1045"/>
      <c r="M172" s="1045"/>
      <c r="N172" s="1045"/>
      <c r="O172" s="199" t="s">
        <v>2830</v>
      </c>
      <c r="P172" s="1607" t="s">
        <v>4073</v>
      </c>
      <c r="Q172" s="210"/>
    </row>
    <row r="173" spans="1:32" ht="12" customHeight="1">
      <c r="B173" s="174" t="s">
        <v>2428</v>
      </c>
      <c r="C173" s="179" t="s">
        <v>3135</v>
      </c>
      <c r="D173" s="179"/>
      <c r="E173" s="179"/>
      <c r="F173" s="179"/>
      <c r="G173" s="179"/>
      <c r="H173" s="179"/>
      <c r="I173" s="179"/>
      <c r="J173" s="179"/>
      <c r="K173" s="179"/>
      <c r="L173" s="179"/>
      <c r="M173" s="179"/>
      <c r="O173" s="199" t="s">
        <v>2428</v>
      </c>
      <c r="P173" s="1607" t="s">
        <v>4073</v>
      </c>
      <c r="Q173" s="210"/>
    </row>
    <row r="174" spans="1:32" ht="12" customHeight="1">
      <c r="B174" s="173" t="s">
        <v>2570</v>
      </c>
      <c r="D174" s="173"/>
      <c r="E174" s="173"/>
      <c r="F174" s="173"/>
      <c r="G174" s="173"/>
      <c r="H174" s="813"/>
      <c r="I174" s="162"/>
      <c r="J174" s="162"/>
      <c r="K174" s="162"/>
      <c r="L174" s="802"/>
      <c r="M174" s="802"/>
      <c r="N174" s="802"/>
      <c r="O174" s="802"/>
      <c r="P174" s="802"/>
      <c r="Q174" s="59"/>
    </row>
    <row r="175" spans="1:32" ht="19.5" customHeight="1">
      <c r="A175" s="1611" t="s">
        <v>4186</v>
      </c>
      <c r="B175" s="1612"/>
      <c r="C175" s="1612"/>
      <c r="D175" s="1612"/>
      <c r="E175" s="1612"/>
      <c r="F175" s="1612"/>
      <c r="G175" s="1612"/>
      <c r="H175" s="1612"/>
      <c r="I175" s="1612"/>
      <c r="J175" s="1612"/>
      <c r="K175" s="1612"/>
      <c r="L175" s="1612"/>
      <c r="M175" s="1612"/>
      <c r="N175" s="1612"/>
      <c r="O175" s="1612"/>
      <c r="P175" s="1612"/>
      <c r="Q175" s="1613"/>
      <c r="U175" s="168"/>
      <c r="V175" s="168"/>
      <c r="W175" s="168"/>
      <c r="X175" s="168"/>
      <c r="Y175" s="168"/>
      <c r="Z175" s="168"/>
      <c r="AA175" s="168"/>
      <c r="AB175" s="168"/>
      <c r="AC175" s="168"/>
      <c r="AD175" s="168"/>
      <c r="AE175" s="656"/>
    </row>
    <row r="176" spans="1:32" ht="12" customHeight="1">
      <c r="B176" s="169" t="s">
        <v>2571</v>
      </c>
      <c r="C176" s="170"/>
      <c r="D176" s="809"/>
      <c r="E176" s="809"/>
      <c r="F176" s="809"/>
      <c r="G176" s="809"/>
      <c r="H176" s="809"/>
      <c r="I176" s="809"/>
      <c r="J176" s="809"/>
      <c r="K176" s="809"/>
      <c r="L176" s="809"/>
      <c r="M176" s="809"/>
      <c r="N176" s="809"/>
      <c r="O176" s="809"/>
      <c r="P176" s="809"/>
      <c r="Q176" s="809"/>
    </row>
    <row r="177" spans="1:31" ht="11.45" customHeight="1">
      <c r="A177" s="1048"/>
      <c r="B177" s="1049"/>
      <c r="C177" s="1049"/>
      <c r="D177" s="1049"/>
      <c r="E177" s="1049"/>
      <c r="F177" s="1049"/>
      <c r="G177" s="1049"/>
      <c r="H177" s="1049"/>
      <c r="I177" s="1049"/>
      <c r="J177" s="1049"/>
      <c r="K177" s="1049"/>
      <c r="L177" s="1049"/>
      <c r="M177" s="1049"/>
      <c r="N177" s="1049"/>
      <c r="O177" s="1049"/>
      <c r="P177" s="1049"/>
      <c r="Q177" s="1050"/>
    </row>
    <row r="178" spans="1:31" ht="3" customHeight="1">
      <c r="A178" s="802"/>
      <c r="B178" s="162"/>
      <c r="C178" s="809"/>
      <c r="D178" s="809"/>
      <c r="E178" s="809"/>
      <c r="F178" s="809"/>
      <c r="G178" s="809"/>
      <c r="H178" s="809"/>
      <c r="I178" s="809"/>
      <c r="J178" s="809"/>
      <c r="K178" s="809"/>
      <c r="L178" s="809"/>
      <c r="M178" s="809"/>
      <c r="N178" s="809"/>
      <c r="O178" s="809"/>
      <c r="P178" s="809"/>
      <c r="Q178" s="802"/>
    </row>
    <row r="179" spans="1:31" ht="13.9" customHeight="1">
      <c r="A179" s="811">
        <v>11</v>
      </c>
      <c r="B179" s="811" t="s">
        <v>3493</v>
      </c>
      <c r="C179" s="811"/>
      <c r="D179" s="809"/>
      <c r="E179" s="180"/>
      <c r="F179" s="180"/>
      <c r="G179" s="809"/>
      <c r="J179" s="607"/>
      <c r="K179" s="750"/>
      <c r="L179" s="750"/>
      <c r="M179" s="750"/>
      <c r="N179" s="750"/>
      <c r="O179" s="163" t="s">
        <v>2572</v>
      </c>
      <c r="P179" s="1051"/>
      <c r="Q179" s="1054"/>
    </row>
    <row r="180" spans="1:31" ht="12" customHeight="1">
      <c r="A180" s="171"/>
      <c r="B180" s="54" t="s">
        <v>2694</v>
      </c>
      <c r="C180" s="1045" t="s">
        <v>103</v>
      </c>
      <c r="D180" s="1045"/>
      <c r="E180" s="1045"/>
      <c r="F180" s="1045"/>
      <c r="G180" s="1045"/>
      <c r="H180" s="78" t="s">
        <v>2430</v>
      </c>
      <c r="I180" s="61" t="s">
        <v>166</v>
      </c>
      <c r="K180" s="1635" t="s">
        <v>4112</v>
      </c>
      <c r="L180" s="1636"/>
      <c r="M180" s="1636"/>
      <c r="N180" s="1637"/>
      <c r="O180" s="78" t="s">
        <v>2430</v>
      </c>
      <c r="P180" s="1607" t="s">
        <v>4074</v>
      </c>
      <c r="Q180" s="210"/>
    </row>
    <row r="181" spans="1:31" ht="12" customHeight="1">
      <c r="A181" s="171"/>
      <c r="B181" s="162"/>
      <c r="C181" s="125"/>
      <c r="D181" s="125"/>
      <c r="E181" s="125"/>
      <c r="F181" s="125"/>
      <c r="H181" s="78" t="s">
        <v>2431</v>
      </c>
      <c r="I181" s="61" t="s">
        <v>2060</v>
      </c>
      <c r="K181" s="1641" t="s">
        <v>4083</v>
      </c>
      <c r="L181" s="1642"/>
      <c r="M181" s="1642"/>
      <c r="N181" s="1643"/>
      <c r="O181" s="78" t="s">
        <v>2431</v>
      </c>
      <c r="P181" s="1607" t="s">
        <v>4073</v>
      </c>
      <c r="Q181" s="210"/>
    </row>
    <row r="182" spans="1:31" ht="12" customHeight="1">
      <c r="B182" s="173" t="s">
        <v>2570</v>
      </c>
      <c r="D182" s="173"/>
      <c r="E182" s="173"/>
      <c r="F182" s="173"/>
      <c r="G182" s="173"/>
      <c r="J182" s="162"/>
      <c r="K182" s="162"/>
      <c r="L182" s="802"/>
      <c r="M182" s="802"/>
      <c r="N182" s="802"/>
      <c r="O182" s="802"/>
      <c r="P182" s="802"/>
      <c r="Q182" s="59"/>
    </row>
    <row r="183" spans="1:31" ht="11.45" customHeight="1">
      <c r="A183" s="1611" t="s">
        <v>4159</v>
      </c>
      <c r="B183" s="1612"/>
      <c r="C183" s="1612"/>
      <c r="D183" s="1612"/>
      <c r="E183" s="1612"/>
      <c r="F183" s="1612"/>
      <c r="G183" s="1612"/>
      <c r="H183" s="1612"/>
      <c r="I183" s="1612"/>
      <c r="J183" s="1612"/>
      <c r="K183" s="1612"/>
      <c r="L183" s="1612"/>
      <c r="M183" s="1612"/>
      <c r="N183" s="1612"/>
      <c r="O183" s="1612"/>
      <c r="P183" s="1612"/>
      <c r="Q183" s="1613"/>
      <c r="U183" s="168"/>
      <c r="V183" s="168"/>
      <c r="W183" s="168"/>
      <c r="X183" s="168"/>
      <c r="Y183" s="168"/>
      <c r="Z183" s="168"/>
      <c r="AA183" s="168"/>
      <c r="AB183" s="168"/>
      <c r="AC183" s="168"/>
      <c r="AD183" s="168"/>
      <c r="AE183" s="656"/>
    </row>
    <row r="184" spans="1:31" ht="12" customHeight="1">
      <c r="B184" s="169" t="s">
        <v>2571</v>
      </c>
      <c r="C184" s="170"/>
      <c r="D184" s="809"/>
      <c r="E184" s="809"/>
      <c r="F184" s="809"/>
      <c r="G184" s="809"/>
      <c r="H184" s="809"/>
      <c r="I184" s="809"/>
      <c r="J184" s="809"/>
      <c r="K184" s="809"/>
      <c r="L184" s="809"/>
      <c r="M184" s="809"/>
      <c r="N184" s="809"/>
      <c r="O184" s="809"/>
      <c r="P184" s="809"/>
      <c r="Q184" s="809"/>
    </row>
    <row r="185" spans="1:31" ht="11.45" customHeight="1">
      <c r="A185" s="1048"/>
      <c r="B185" s="1049"/>
      <c r="C185" s="1049"/>
      <c r="D185" s="1049"/>
      <c r="E185" s="1049"/>
      <c r="F185" s="1049"/>
      <c r="G185" s="1049"/>
      <c r="H185" s="1049"/>
      <c r="I185" s="1049"/>
      <c r="J185" s="1049"/>
      <c r="K185" s="1049"/>
      <c r="L185" s="1049"/>
      <c r="M185" s="1049"/>
      <c r="N185" s="1049"/>
      <c r="O185" s="1049"/>
      <c r="P185" s="1049"/>
      <c r="Q185" s="1050"/>
    </row>
    <row r="186" spans="1:31" ht="4.1500000000000004" customHeight="1">
      <c r="B186" s="162"/>
      <c r="C186" s="809"/>
      <c r="D186" s="809"/>
      <c r="E186" s="809"/>
      <c r="F186" s="809"/>
      <c r="G186" s="809"/>
      <c r="H186" s="809"/>
      <c r="I186" s="809"/>
      <c r="J186" s="809"/>
      <c r="K186" s="809"/>
      <c r="L186" s="809"/>
      <c r="M186" s="809"/>
      <c r="Q186" s="59"/>
    </row>
    <row r="187" spans="1:31" ht="13.9" customHeight="1">
      <c r="A187" s="811">
        <v>12</v>
      </c>
      <c r="B187" s="5" t="s">
        <v>3494</v>
      </c>
      <c r="C187" s="5"/>
      <c r="D187" s="104"/>
      <c r="E187" s="104"/>
      <c r="F187" s="104"/>
      <c r="G187" s="809"/>
      <c r="H187" s="809"/>
      <c r="I187" s="809"/>
      <c r="J187" s="809"/>
      <c r="K187" s="809"/>
      <c r="L187" s="809"/>
      <c r="M187" s="809"/>
      <c r="O187" s="163" t="s">
        <v>2572</v>
      </c>
      <c r="P187" s="1051"/>
      <c r="Q187" s="1054"/>
    </row>
    <row r="188" spans="1:31" ht="4.1500000000000004" customHeight="1"/>
    <row r="189" spans="1:31" ht="11.45" customHeight="1">
      <c r="B189" s="174" t="s">
        <v>2694</v>
      </c>
      <c r="C189" s="536" t="s">
        <v>2430</v>
      </c>
      <c r="D189" s="535" t="s">
        <v>681</v>
      </c>
      <c r="E189" s="535"/>
      <c r="F189" s="535"/>
      <c r="G189" s="535"/>
      <c r="H189" s="535"/>
      <c r="I189" s="535"/>
      <c r="J189" s="535"/>
      <c r="K189" s="535"/>
      <c r="L189" s="535"/>
      <c r="M189" s="535"/>
      <c r="N189" s="535"/>
      <c r="O189" s="199" t="s">
        <v>1938</v>
      </c>
      <c r="P189" s="1607" t="s">
        <v>4074</v>
      </c>
      <c r="Q189" s="210"/>
    </row>
    <row r="190" spans="1:31" ht="11.45" customHeight="1">
      <c r="B190" s="174"/>
      <c r="C190" s="536" t="s">
        <v>2431</v>
      </c>
      <c r="D190" s="535" t="s">
        <v>1915</v>
      </c>
      <c r="E190" s="535"/>
      <c r="F190" s="535"/>
      <c r="G190" s="535"/>
      <c r="H190" s="535"/>
      <c r="I190" s="535"/>
      <c r="J190" s="535"/>
      <c r="K190" s="535"/>
      <c r="L190" s="535"/>
      <c r="M190" s="535"/>
      <c r="N190" s="535"/>
      <c r="O190" s="199" t="s">
        <v>2431</v>
      </c>
      <c r="P190" s="1607"/>
      <c r="Q190" s="210"/>
    </row>
    <row r="191" spans="1:31" ht="11.45" customHeight="1">
      <c r="A191" s="171"/>
      <c r="B191" s="174" t="s">
        <v>2697</v>
      </c>
      <c r="C191" s="1045" t="s">
        <v>2553</v>
      </c>
      <c r="D191" s="1045"/>
      <c r="E191" s="1045"/>
      <c r="F191" s="1045"/>
      <c r="G191" s="1045"/>
      <c r="H191" s="78" t="s">
        <v>2430</v>
      </c>
      <c r="I191" s="61" t="s">
        <v>815</v>
      </c>
      <c r="K191" s="1635" t="s">
        <v>4084</v>
      </c>
      <c r="L191" s="1636"/>
      <c r="M191" s="1636"/>
      <c r="N191" s="1637"/>
      <c r="O191" s="78" t="s">
        <v>1891</v>
      </c>
      <c r="P191" s="1607" t="s">
        <v>4073</v>
      </c>
      <c r="Q191" s="210"/>
    </row>
    <row r="192" spans="1:31" ht="11.45" customHeight="1">
      <c r="A192" s="171"/>
      <c r="B192" s="814"/>
      <c r="C192" s="1045"/>
      <c r="D192" s="1045"/>
      <c r="E192" s="1045"/>
      <c r="F192" s="1045"/>
      <c r="G192" s="1045"/>
      <c r="H192" s="78" t="s">
        <v>2431</v>
      </c>
      <c r="I192" s="61" t="s">
        <v>122</v>
      </c>
      <c r="K192" s="1635" t="s">
        <v>4084</v>
      </c>
      <c r="L192" s="1636"/>
      <c r="M192" s="1636"/>
      <c r="N192" s="1637"/>
      <c r="O192" s="78" t="s">
        <v>2431</v>
      </c>
      <c r="P192" s="1607" t="s">
        <v>4073</v>
      </c>
      <c r="Q192" s="210"/>
    </row>
    <row r="193" spans="1:32" ht="11.25" customHeight="1">
      <c r="B193" s="173" t="s">
        <v>2570</v>
      </c>
      <c r="D193" s="173"/>
      <c r="E193" s="173"/>
      <c r="F193" s="173"/>
      <c r="G193" s="173"/>
      <c r="H193" s="813"/>
      <c r="I193" s="162"/>
      <c r="J193" s="162"/>
      <c r="K193" s="162"/>
      <c r="L193" s="802"/>
      <c r="M193" s="802"/>
      <c r="N193" s="802"/>
      <c r="O193" s="802"/>
      <c r="P193" s="802"/>
      <c r="Q193" s="59"/>
    </row>
    <row r="194" spans="1:32" ht="11.45" customHeight="1">
      <c r="A194" s="1611" t="s">
        <v>4187</v>
      </c>
      <c r="B194" s="1612"/>
      <c r="C194" s="1612"/>
      <c r="D194" s="1612"/>
      <c r="E194" s="1612"/>
      <c r="F194" s="1612"/>
      <c r="G194" s="1612"/>
      <c r="H194" s="1612"/>
      <c r="I194" s="1612"/>
      <c r="J194" s="1612"/>
      <c r="K194" s="1612"/>
      <c r="L194" s="1612"/>
      <c r="M194" s="1612"/>
      <c r="N194" s="1612"/>
      <c r="O194" s="1612"/>
      <c r="P194" s="1612"/>
      <c r="Q194" s="1613"/>
      <c r="U194" s="168"/>
      <c r="V194" s="168"/>
      <c r="W194" s="168"/>
      <c r="X194" s="168"/>
      <c r="Y194" s="168"/>
      <c r="Z194" s="168"/>
      <c r="AA194" s="168"/>
      <c r="AB194" s="168"/>
      <c r="AC194" s="168"/>
      <c r="AD194" s="168"/>
      <c r="AE194" s="656"/>
    </row>
    <row r="195" spans="1:32" ht="11.25" customHeight="1">
      <c r="B195" s="169" t="s">
        <v>2571</v>
      </c>
      <c r="C195" s="170"/>
      <c r="D195" s="809"/>
      <c r="E195" s="809"/>
      <c r="F195" s="809"/>
      <c r="G195" s="809"/>
      <c r="H195" s="809"/>
      <c r="I195" s="809"/>
      <c r="J195" s="809"/>
      <c r="K195" s="809"/>
      <c r="L195" s="809"/>
      <c r="M195" s="809"/>
      <c r="N195" s="809"/>
      <c r="O195" s="809"/>
      <c r="P195" s="809"/>
      <c r="Q195" s="809"/>
    </row>
    <row r="196" spans="1:32" ht="11.45" customHeight="1">
      <c r="A196" s="1048"/>
      <c r="B196" s="1049"/>
      <c r="C196" s="1049"/>
      <c r="D196" s="1049"/>
      <c r="E196" s="1049"/>
      <c r="F196" s="1049"/>
      <c r="G196" s="1049"/>
      <c r="H196" s="1049"/>
      <c r="I196" s="1049"/>
      <c r="J196" s="1049"/>
      <c r="K196" s="1049"/>
      <c r="L196" s="1049"/>
      <c r="M196" s="1049"/>
      <c r="N196" s="1049"/>
      <c r="O196" s="1049"/>
      <c r="P196" s="1049"/>
      <c r="Q196" s="1050"/>
    </row>
    <row r="197" spans="1:32" ht="3" customHeight="1">
      <c r="A197" s="802"/>
      <c r="B197" s="162"/>
      <c r="C197" s="809"/>
      <c r="D197" s="809"/>
      <c r="E197" s="809"/>
      <c r="F197" s="809"/>
      <c r="G197" s="809"/>
      <c r="H197" s="809"/>
      <c r="I197" s="809"/>
      <c r="J197" s="809"/>
      <c r="K197" s="809"/>
      <c r="L197" s="809"/>
      <c r="M197" s="809"/>
      <c r="Q197" s="802"/>
    </row>
    <row r="198" spans="1:32" ht="13.9" customHeight="1">
      <c r="A198" s="811">
        <v>13</v>
      </c>
      <c r="B198" s="5" t="s">
        <v>3495</v>
      </c>
      <c r="C198" s="5"/>
      <c r="D198" s="104"/>
      <c r="E198" s="104"/>
      <c r="F198" s="104"/>
      <c r="G198" s="104"/>
      <c r="H198" s="809"/>
      <c r="I198" s="809"/>
      <c r="J198" s="809"/>
      <c r="K198" s="809"/>
      <c r="L198" s="809"/>
      <c r="M198" s="809"/>
      <c r="O198" s="163" t="s">
        <v>2572</v>
      </c>
      <c r="P198" s="1051"/>
      <c r="Q198" s="1054"/>
    </row>
    <row r="199" spans="1:32" ht="10.9" customHeight="1">
      <c r="B199" s="177" t="s">
        <v>155</v>
      </c>
    </row>
    <row r="200" spans="1:32" ht="11.45" customHeight="1">
      <c r="B200" s="54" t="s">
        <v>2694</v>
      </c>
      <c r="C200" s="61" t="s">
        <v>159</v>
      </c>
      <c r="D200" s="49"/>
      <c r="E200" s="61"/>
      <c r="F200" s="61"/>
      <c r="G200" s="61"/>
      <c r="H200" s="61"/>
      <c r="I200" s="49"/>
      <c r="J200" s="49"/>
      <c r="K200" s="49"/>
      <c r="L200" s="179"/>
      <c r="M200" s="179"/>
      <c r="O200" s="199" t="s">
        <v>2694</v>
      </c>
      <c r="P200" s="1607" t="s">
        <v>4073</v>
      </c>
      <c r="Q200" s="210"/>
    </row>
    <row r="201" spans="1:32" ht="11.45" customHeight="1">
      <c r="B201" s="54" t="s">
        <v>2697</v>
      </c>
      <c r="C201" s="61" t="s">
        <v>156</v>
      </c>
      <c r="D201" s="61"/>
      <c r="E201" s="61"/>
      <c r="F201" s="61"/>
      <c r="G201" s="61"/>
      <c r="H201" s="61"/>
      <c r="I201" s="49"/>
      <c r="J201" s="49"/>
      <c r="K201" s="49"/>
      <c r="L201" s="172"/>
      <c r="M201" s="172"/>
      <c r="O201" s="199" t="s">
        <v>2697</v>
      </c>
      <c r="P201" s="1607" t="s">
        <v>4073</v>
      </c>
      <c r="Q201" s="210"/>
    </row>
    <row r="202" spans="1:32" s="181" customFormat="1" ht="11.45" customHeight="1">
      <c r="B202" s="54" t="s">
        <v>1054</v>
      </c>
      <c r="C202" s="61" t="s">
        <v>157</v>
      </c>
      <c r="D202" s="61"/>
      <c r="E202" s="61"/>
      <c r="F202" s="61"/>
      <c r="G202" s="61"/>
      <c r="H202" s="61"/>
      <c r="I202" s="115"/>
      <c r="J202" s="115"/>
      <c r="K202" s="115"/>
      <c r="L202" s="179"/>
      <c r="M202" s="179"/>
      <c r="N202" s="43"/>
      <c r="O202" s="199" t="s">
        <v>1054</v>
      </c>
      <c r="P202" s="1607" t="s">
        <v>4073</v>
      </c>
      <c r="Q202" s="210"/>
      <c r="AE202" s="658"/>
      <c r="AF202" s="658"/>
    </row>
    <row r="203" spans="1:32" s="181" customFormat="1" ht="11.45" customHeight="1">
      <c r="B203" s="54" t="s">
        <v>2830</v>
      </c>
      <c r="C203" s="61" t="s">
        <v>158</v>
      </c>
      <c r="D203" s="61"/>
      <c r="E203" s="61"/>
      <c r="F203" s="61"/>
      <c r="G203" s="61"/>
      <c r="H203" s="61"/>
      <c r="I203" s="115"/>
      <c r="J203" s="115"/>
      <c r="K203" s="115"/>
      <c r="L203" s="115"/>
      <c r="M203" s="115"/>
      <c r="O203" s="654" t="s">
        <v>2830</v>
      </c>
      <c r="P203" s="1607" t="s">
        <v>4073</v>
      </c>
      <c r="Q203" s="210"/>
      <c r="AE203" s="658"/>
      <c r="AF203" s="658"/>
    </row>
    <row r="204" spans="1:32" ht="11.25" customHeight="1">
      <c r="B204" s="173" t="s">
        <v>2570</v>
      </c>
      <c r="D204" s="173"/>
      <c r="E204" s="173"/>
      <c r="F204" s="173"/>
      <c r="G204" s="173"/>
      <c r="H204" s="813"/>
      <c r="I204" s="162"/>
      <c r="J204" s="162"/>
      <c r="K204" s="162"/>
      <c r="L204" s="802"/>
      <c r="M204" s="802"/>
      <c r="N204" s="802"/>
      <c r="O204" s="802"/>
      <c r="P204" s="802"/>
      <c r="Q204" s="59"/>
    </row>
    <row r="205" spans="1:32" ht="13.15" customHeight="1">
      <c r="A205" s="1611" t="s">
        <v>4160</v>
      </c>
      <c r="B205" s="1612"/>
      <c r="C205" s="1612"/>
      <c r="D205" s="1612"/>
      <c r="E205" s="1612"/>
      <c r="F205" s="1612"/>
      <c r="G205" s="1612"/>
      <c r="H205" s="1612"/>
      <c r="I205" s="1612"/>
      <c r="J205" s="1612"/>
      <c r="K205" s="1612"/>
      <c r="L205" s="1612"/>
      <c r="M205" s="1612"/>
      <c r="N205" s="1612"/>
      <c r="O205" s="1612"/>
      <c r="P205" s="1612"/>
      <c r="Q205" s="1613"/>
      <c r="R205" s="615" t="s">
        <v>1677</v>
      </c>
      <c r="S205" s="615"/>
      <c r="U205" s="168"/>
      <c r="V205" s="168"/>
      <c r="W205" s="168"/>
      <c r="X205" s="168"/>
      <c r="Y205" s="168"/>
      <c r="Z205" s="168"/>
      <c r="AA205" s="168"/>
      <c r="AB205" s="168"/>
      <c r="AC205" s="168"/>
      <c r="AD205" s="168"/>
      <c r="AE205" s="656"/>
    </row>
    <row r="206" spans="1:32" s="31" customFormat="1" ht="3" customHeight="1">
      <c r="C206" s="142"/>
      <c r="D206" s="142"/>
      <c r="R206" s="615"/>
      <c r="S206" s="615"/>
      <c r="AE206" s="142"/>
      <c r="AF206" s="142"/>
    </row>
    <row r="207" spans="1:32" ht="11.25" customHeight="1">
      <c r="B207" s="169" t="s">
        <v>2571</v>
      </c>
      <c r="C207" s="170"/>
      <c r="D207" s="809"/>
      <c r="E207" s="809"/>
      <c r="F207" s="809"/>
      <c r="G207" s="809"/>
      <c r="H207" s="809"/>
      <c r="I207" s="809"/>
      <c r="J207" s="809"/>
      <c r="K207" s="809"/>
      <c r="L207" s="809"/>
      <c r="M207" s="809"/>
      <c r="N207" s="809"/>
      <c r="O207" s="809"/>
      <c r="P207" s="809"/>
      <c r="Q207" s="809"/>
    </row>
    <row r="208" spans="1:32" ht="13.15" customHeight="1">
      <c r="A208" s="1048"/>
      <c r="B208" s="1049"/>
      <c r="C208" s="1049"/>
      <c r="D208" s="1049"/>
      <c r="E208" s="1049"/>
      <c r="F208" s="1049"/>
      <c r="G208" s="1049"/>
      <c r="H208" s="1049"/>
      <c r="I208" s="1049"/>
      <c r="J208" s="1049"/>
      <c r="K208" s="1049"/>
      <c r="L208" s="1049"/>
      <c r="M208" s="1049"/>
      <c r="N208" s="1049"/>
      <c r="O208" s="1049"/>
      <c r="P208" s="1049"/>
      <c r="Q208" s="1050"/>
    </row>
    <row r="209" spans="1:32" ht="3" customHeight="1">
      <c r="A209" s="802"/>
      <c r="B209" s="162"/>
      <c r="C209" s="809"/>
      <c r="D209" s="809"/>
      <c r="E209" s="809"/>
      <c r="F209" s="809"/>
      <c r="G209" s="809"/>
      <c r="H209" s="809"/>
      <c r="I209" s="809"/>
      <c r="J209" s="809"/>
      <c r="K209" s="809"/>
      <c r="L209" s="809"/>
      <c r="M209" s="809"/>
      <c r="Q209" s="802"/>
    </row>
    <row r="210" spans="1:32" ht="13.9" customHeight="1">
      <c r="A210" s="811">
        <v>14</v>
      </c>
      <c r="B210" s="811" t="s">
        <v>3496</v>
      </c>
      <c r="C210" s="136"/>
      <c r="D210" s="809"/>
      <c r="E210" s="809"/>
      <c r="F210" s="809"/>
      <c r="G210" s="809"/>
      <c r="H210" s="809"/>
      <c r="I210" s="809"/>
      <c r="J210" s="809"/>
      <c r="K210" s="809"/>
      <c r="L210" s="809"/>
      <c r="M210" s="809"/>
      <c r="O210" s="163" t="s">
        <v>2572</v>
      </c>
      <c r="P210" s="1051"/>
      <c r="Q210" s="1054"/>
    </row>
    <row r="211" spans="1:32" s="31" customFormat="1" ht="11.45" customHeight="1">
      <c r="B211" s="177" t="s">
        <v>1608</v>
      </c>
      <c r="N211" s="148"/>
      <c r="P211" s="1607" t="s">
        <v>4074</v>
      </c>
      <c r="Q211" s="210"/>
      <c r="AE211" s="142"/>
      <c r="AF211" s="142"/>
    </row>
    <row r="212" spans="1:32" ht="12" customHeight="1">
      <c r="B212" s="54" t="s">
        <v>2694</v>
      </c>
      <c r="C212" s="104" t="s">
        <v>1816</v>
      </c>
      <c r="D212" s="49"/>
      <c r="E212" s="49"/>
      <c r="F212" s="49"/>
      <c r="G212" s="49"/>
      <c r="H212" s="49"/>
      <c r="I212" s="49"/>
      <c r="J212" s="49"/>
      <c r="K212" s="49"/>
      <c r="L212" s="49"/>
      <c r="M212" s="49"/>
    </row>
    <row r="213" spans="1:32" ht="11.45" customHeight="1">
      <c r="B213" s="54"/>
      <c r="C213" s="78" t="s">
        <v>2430</v>
      </c>
      <c r="D213" s="61" t="s">
        <v>2641</v>
      </c>
      <c r="E213" s="61"/>
      <c r="F213" s="61"/>
      <c r="G213" s="61"/>
      <c r="H213" s="61"/>
      <c r="I213" s="49"/>
      <c r="K213" s="78" t="s">
        <v>1938</v>
      </c>
      <c r="L213" s="1672" t="s">
        <v>4085</v>
      </c>
      <c r="M213" s="1674"/>
      <c r="Q213" s="210"/>
    </row>
    <row r="214" spans="1:32" ht="11.45" customHeight="1">
      <c r="B214" s="54"/>
      <c r="C214" s="78" t="s">
        <v>2431</v>
      </c>
      <c r="D214" s="38" t="s">
        <v>3673</v>
      </c>
      <c r="E214" s="38"/>
      <c r="F214" s="38"/>
      <c r="G214" s="38"/>
      <c r="H214" s="38"/>
      <c r="I214" s="49"/>
      <c r="K214" s="78" t="s">
        <v>1939</v>
      </c>
      <c r="L214" s="1675" t="s">
        <v>4086</v>
      </c>
      <c r="M214" s="1676"/>
      <c r="N214" s="1677" t="s">
        <v>3674</v>
      </c>
      <c r="O214" s="1678"/>
      <c r="P214" s="1679"/>
      <c r="Q214" s="210"/>
    </row>
    <row r="215" spans="1:32" ht="11.45" customHeight="1">
      <c r="B215" s="54"/>
      <c r="C215" s="78" t="s">
        <v>2432</v>
      </c>
      <c r="D215" s="38" t="s">
        <v>726</v>
      </c>
      <c r="E215" s="38"/>
      <c r="F215" s="38"/>
      <c r="G215" s="38"/>
      <c r="H215" s="38"/>
      <c r="I215" s="49"/>
      <c r="K215" s="78" t="s">
        <v>1940</v>
      </c>
      <c r="L215" s="1672" t="s">
        <v>4115</v>
      </c>
      <c r="M215" s="1673"/>
      <c r="N215" s="1680"/>
      <c r="Q215" s="210"/>
      <c r="R215" s="49"/>
    </row>
    <row r="216" spans="1:32" ht="3" customHeight="1">
      <c r="B216" s="54"/>
      <c r="C216" s="78"/>
      <c r="D216" s="61"/>
      <c r="E216" s="61"/>
      <c r="F216" s="61"/>
      <c r="G216" s="61"/>
      <c r="H216" s="61"/>
      <c r="I216" s="49"/>
      <c r="J216" s="40"/>
      <c r="K216" s="49"/>
      <c r="L216" s="40"/>
      <c r="M216" s="40"/>
    </row>
    <row r="217" spans="1:32" ht="12" customHeight="1">
      <c r="B217" s="54" t="s">
        <v>2697</v>
      </c>
      <c r="C217" s="271" t="s">
        <v>3294</v>
      </c>
      <c r="D217" s="61"/>
      <c r="E217" s="61"/>
      <c r="F217" s="61"/>
      <c r="G217" s="61"/>
      <c r="H217" s="61"/>
      <c r="I217" s="61"/>
      <c r="J217" s="61"/>
      <c r="K217" s="49"/>
      <c r="L217" s="49"/>
      <c r="M217" s="49"/>
      <c r="N217" s="49"/>
      <c r="O217" s="654" t="s">
        <v>2697</v>
      </c>
      <c r="P217" s="1607" t="s">
        <v>4087</v>
      </c>
      <c r="Q217" s="210"/>
    </row>
    <row r="218" spans="1:32" ht="10.9" customHeight="1">
      <c r="B218" s="54"/>
      <c r="C218" s="61" t="s">
        <v>3293</v>
      </c>
      <c r="D218" s="61"/>
      <c r="E218" s="61"/>
      <c r="F218" s="61"/>
      <c r="G218" s="61"/>
      <c r="H218" s="61"/>
      <c r="I218" s="61"/>
      <c r="J218" s="61"/>
      <c r="K218" s="49"/>
      <c r="L218" s="49"/>
      <c r="M218" s="49"/>
      <c r="N218" s="49"/>
      <c r="O218" s="49"/>
      <c r="P218" s="1116" t="s">
        <v>3</v>
      </c>
      <c r="Q218" s="1116"/>
    </row>
    <row r="219" spans="1:32" ht="10.9" customHeight="1">
      <c r="B219" s="54"/>
      <c r="D219" s="61" t="s">
        <v>2</v>
      </c>
      <c r="E219" s="61"/>
      <c r="F219" s="61"/>
      <c r="G219" s="61"/>
      <c r="I219" s="381" t="s">
        <v>1162</v>
      </c>
      <c r="J219" s="382" t="s">
        <v>1163</v>
      </c>
      <c r="L219" s="61" t="s">
        <v>3675</v>
      </c>
      <c r="M219" s="49"/>
      <c r="N219" s="49"/>
      <c r="O219" s="381"/>
      <c r="P219" s="383" t="s">
        <v>1162</v>
      </c>
      <c r="Q219" s="382" t="s">
        <v>1163</v>
      </c>
    </row>
    <row r="220" spans="1:32" s="50" customFormat="1" ht="11.45" customHeight="1">
      <c r="A220" s="115"/>
      <c r="B220" s="60"/>
      <c r="C220" s="78" t="s">
        <v>2430</v>
      </c>
      <c r="D220" s="1681" t="s">
        <v>4162</v>
      </c>
      <c r="E220" s="1682"/>
      <c r="F220" s="1682"/>
      <c r="G220" s="1682"/>
      <c r="H220" s="1683"/>
      <c r="I220" s="384"/>
      <c r="J220" s="267"/>
      <c r="K220" s="78" t="s">
        <v>2432</v>
      </c>
      <c r="L220" s="1681" t="s">
        <v>4163</v>
      </c>
      <c r="M220" s="1682"/>
      <c r="N220" s="1682"/>
      <c r="O220" s="1683"/>
      <c r="P220" s="324"/>
      <c r="Q220" s="267"/>
      <c r="AE220" s="63"/>
      <c r="AF220" s="63"/>
    </row>
    <row r="221" spans="1:32" s="50" customFormat="1" ht="11.45" customHeight="1">
      <c r="A221" s="115"/>
      <c r="B221" s="60"/>
      <c r="C221" s="78" t="s">
        <v>2431</v>
      </c>
      <c r="D221" s="1684" t="s">
        <v>4116</v>
      </c>
      <c r="E221" s="1685"/>
      <c r="F221" s="1685"/>
      <c r="G221" s="1685"/>
      <c r="H221" s="1686"/>
      <c r="I221" s="541"/>
      <c r="J221" s="268"/>
      <c r="K221" s="78" t="s">
        <v>3119</v>
      </c>
      <c r="L221" s="1684" t="s">
        <v>1603</v>
      </c>
      <c r="M221" s="1685"/>
      <c r="N221" s="1685"/>
      <c r="O221" s="1686"/>
      <c r="P221" s="325"/>
      <c r="Q221" s="268"/>
      <c r="AE221" s="63"/>
      <c r="AF221" s="63"/>
    </row>
    <row r="222" spans="1:32" ht="3.6" customHeight="1">
      <c r="B222" s="44"/>
      <c r="C222" s="49"/>
      <c r="D222" s="49"/>
      <c r="E222" s="49"/>
      <c r="F222" s="49"/>
      <c r="G222" s="49"/>
      <c r="H222" s="49"/>
      <c r="I222" s="49"/>
      <c r="J222" s="49"/>
      <c r="K222" s="49"/>
      <c r="L222" s="49"/>
      <c r="M222" s="49"/>
      <c r="N222" s="49"/>
      <c r="O222" s="49"/>
      <c r="P222" s="49"/>
      <c r="Q222" s="49"/>
    </row>
    <row r="223" spans="1:32" ht="12" customHeight="1">
      <c r="B223" s="54" t="s">
        <v>1054</v>
      </c>
      <c r="C223" s="271" t="s">
        <v>1817</v>
      </c>
      <c r="D223" s="61"/>
      <c r="E223" s="61"/>
      <c r="F223" s="61"/>
      <c r="G223" s="61"/>
      <c r="H223" s="61"/>
      <c r="I223" s="61"/>
      <c r="J223" s="61"/>
      <c r="K223" s="49"/>
      <c r="L223" s="61"/>
      <c r="M223" s="61"/>
      <c r="O223" s="654" t="s">
        <v>1054</v>
      </c>
      <c r="P223" s="1607" t="s">
        <v>4087</v>
      </c>
      <c r="Q223" s="210"/>
    </row>
    <row r="224" spans="1:32" ht="11.45" customHeight="1">
      <c r="B224" s="54"/>
      <c r="C224" s="78" t="s">
        <v>2430</v>
      </c>
      <c r="D224" s="61" t="s">
        <v>167</v>
      </c>
      <c r="E224" s="61"/>
      <c r="F224" s="61"/>
      <c r="G224" s="61"/>
      <c r="H224" s="61"/>
      <c r="I224" s="49"/>
      <c r="J224" s="40"/>
      <c r="K224" s="49"/>
      <c r="L224" s="40"/>
      <c r="M224" s="40"/>
      <c r="O224" s="78" t="s">
        <v>2430</v>
      </c>
      <c r="P224" s="1607" t="s">
        <v>4073</v>
      </c>
      <c r="Q224" s="210"/>
    </row>
    <row r="225" spans="1:31" ht="11.45" customHeight="1">
      <c r="C225" s="78" t="s">
        <v>2431</v>
      </c>
      <c r="D225" s="38" t="s">
        <v>2341</v>
      </c>
      <c r="E225" s="38"/>
      <c r="F225" s="38"/>
      <c r="G225" s="38"/>
      <c r="H225" s="38"/>
      <c r="I225" s="49"/>
      <c r="J225" s="40"/>
      <c r="K225" s="49"/>
      <c r="L225" s="40"/>
      <c r="M225" s="40"/>
      <c r="O225" s="78" t="s">
        <v>2431</v>
      </c>
      <c r="P225" s="1607" t="s">
        <v>4073</v>
      </c>
      <c r="Q225" s="210"/>
    </row>
    <row r="226" spans="1:31" ht="11.45" customHeight="1">
      <c r="C226" s="78" t="s">
        <v>2432</v>
      </c>
      <c r="D226" s="38" t="s">
        <v>1963</v>
      </c>
      <c r="E226" s="38"/>
      <c r="F226" s="38"/>
      <c r="G226" s="38"/>
      <c r="H226" s="38"/>
      <c r="I226" s="49"/>
      <c r="J226" s="40"/>
      <c r="K226" s="49"/>
      <c r="L226" s="40"/>
      <c r="M226" s="40"/>
      <c r="O226" s="78" t="s">
        <v>2432</v>
      </c>
      <c r="P226" s="1607" t="s">
        <v>4073</v>
      </c>
      <c r="Q226" s="210"/>
    </row>
    <row r="227" spans="1:31" ht="11.45" customHeight="1">
      <c r="B227" s="54"/>
      <c r="C227" s="78" t="s">
        <v>3119</v>
      </c>
      <c r="D227" s="38" t="s">
        <v>168</v>
      </c>
      <c r="E227" s="38"/>
      <c r="F227" s="38"/>
      <c r="G227" s="38"/>
      <c r="H227" s="38"/>
      <c r="I227" s="49"/>
      <c r="J227" s="40"/>
      <c r="K227" s="49"/>
      <c r="L227" s="40"/>
      <c r="M227" s="40"/>
      <c r="O227" s="78" t="s">
        <v>3119</v>
      </c>
      <c r="P227" s="1607" t="s">
        <v>4073</v>
      </c>
      <c r="Q227" s="210"/>
    </row>
    <row r="228" spans="1:31" ht="11.45" customHeight="1">
      <c r="B228" s="54"/>
      <c r="C228" s="78" t="s">
        <v>2009</v>
      </c>
      <c r="D228" s="61" t="s">
        <v>1164</v>
      </c>
      <c r="E228" s="61"/>
      <c r="F228" s="61"/>
      <c r="G228" s="61"/>
      <c r="H228" s="61"/>
      <c r="I228" s="49"/>
      <c r="J228" s="40"/>
      <c r="K228" s="49"/>
      <c r="L228" s="40"/>
      <c r="M228" s="40"/>
      <c r="O228" s="78" t="s">
        <v>1165</v>
      </c>
      <c r="P228" s="1607" t="s">
        <v>4073</v>
      </c>
      <c r="Q228" s="210"/>
    </row>
    <row r="229" spans="1:31" ht="11.45" customHeight="1">
      <c r="B229" s="54"/>
      <c r="C229" s="78"/>
      <c r="D229" s="61" t="s">
        <v>1941</v>
      </c>
      <c r="E229" s="61"/>
      <c r="F229" s="61"/>
      <c r="G229" s="61"/>
      <c r="H229" s="61"/>
      <c r="I229" s="49"/>
      <c r="J229" s="40"/>
      <c r="K229" s="49"/>
      <c r="L229" s="40"/>
      <c r="M229" s="40"/>
      <c r="O229" s="78" t="s">
        <v>1166</v>
      </c>
      <c r="P229" s="1607" t="s">
        <v>4073</v>
      </c>
      <c r="Q229" s="210"/>
    </row>
    <row r="230" spans="1:31" ht="3" customHeight="1">
      <c r="B230" s="54"/>
      <c r="C230" s="78"/>
      <c r="D230" s="61"/>
      <c r="E230" s="61"/>
      <c r="F230" s="61"/>
      <c r="G230" s="61"/>
      <c r="H230" s="61"/>
      <c r="I230" s="49"/>
      <c r="J230" s="40"/>
      <c r="K230" s="49"/>
      <c r="L230" s="40"/>
      <c r="M230" s="40"/>
    </row>
    <row r="231" spans="1:31" ht="12" customHeight="1">
      <c r="B231" s="54" t="s">
        <v>2830</v>
      </c>
      <c r="C231" s="271" t="s">
        <v>3549</v>
      </c>
      <c r="D231" s="61"/>
      <c r="E231" s="61"/>
      <c r="F231" s="61"/>
      <c r="G231" s="61"/>
      <c r="H231" s="61"/>
      <c r="I231" s="61"/>
      <c r="J231" s="61"/>
      <c r="K231" s="49"/>
      <c r="L231" s="61"/>
      <c r="M231" s="61"/>
      <c r="O231" s="654" t="s">
        <v>2830</v>
      </c>
      <c r="P231" s="1607" t="s">
        <v>4087</v>
      </c>
      <c r="Q231" s="210"/>
    </row>
    <row r="232" spans="1:31" ht="11.45" customHeight="1">
      <c r="B232" s="54"/>
      <c r="C232" s="78" t="s">
        <v>2430</v>
      </c>
      <c r="D232" s="47" t="s">
        <v>1678</v>
      </c>
      <c r="E232" s="49"/>
      <c r="F232" s="49"/>
      <c r="G232" s="47"/>
      <c r="H232" s="38"/>
      <c r="I232" s="49"/>
      <c r="J232" s="38"/>
      <c r="K232" s="49"/>
      <c r="L232" s="38"/>
      <c r="M232" s="38"/>
      <c r="O232" s="78" t="s">
        <v>2430</v>
      </c>
      <c r="P232" s="1607" t="s">
        <v>4073</v>
      </c>
      <c r="Q232" s="210"/>
    </row>
    <row r="233" spans="1:31" ht="11.45" customHeight="1">
      <c r="B233" s="54"/>
      <c r="C233" s="78" t="s">
        <v>2431</v>
      </c>
      <c r="D233" s="47" t="s">
        <v>160</v>
      </c>
      <c r="E233" s="49"/>
      <c r="F233" s="49"/>
      <c r="G233" s="38"/>
      <c r="H233" s="38"/>
      <c r="I233" s="49"/>
      <c r="J233" s="38"/>
      <c r="K233" s="49"/>
      <c r="L233" s="38"/>
      <c r="M233" s="38"/>
      <c r="O233" s="78" t="s">
        <v>2431</v>
      </c>
      <c r="P233" s="1607" t="s">
        <v>4073</v>
      </c>
      <c r="Q233" s="210"/>
    </row>
    <row r="234" spans="1:31" ht="11.45" customHeight="1">
      <c r="B234" s="54"/>
      <c r="C234" s="78" t="s">
        <v>2432</v>
      </c>
      <c r="D234" s="38" t="s">
        <v>2319</v>
      </c>
      <c r="E234" s="49"/>
      <c r="F234" s="49"/>
      <c r="G234" s="38"/>
      <c r="H234" s="38"/>
      <c r="I234" s="49"/>
      <c r="J234" s="38"/>
      <c r="K234" s="49"/>
      <c r="L234" s="38"/>
      <c r="M234" s="38"/>
      <c r="O234" s="78" t="s">
        <v>3125</v>
      </c>
      <c r="P234" s="1607" t="s">
        <v>4073</v>
      </c>
      <c r="Q234" s="210"/>
    </row>
    <row r="235" spans="1:31" ht="11.45" customHeight="1">
      <c r="B235" s="44"/>
      <c r="C235" s="49"/>
      <c r="D235" s="38" t="s">
        <v>1719</v>
      </c>
      <c r="E235" s="49"/>
      <c r="F235" s="49"/>
      <c r="G235" s="38"/>
      <c r="H235" s="38"/>
      <c r="I235" s="49"/>
      <c r="J235" s="38"/>
      <c r="K235" s="49"/>
      <c r="L235" s="38"/>
      <c r="M235" s="38"/>
      <c r="O235" s="78" t="s">
        <v>3126</v>
      </c>
      <c r="P235" s="1607"/>
      <c r="Q235" s="210"/>
    </row>
    <row r="236" spans="1:31" ht="11.25" customHeight="1">
      <c r="B236" s="173" t="s">
        <v>2570</v>
      </c>
      <c r="D236" s="173"/>
      <c r="E236" s="173"/>
      <c r="F236" s="173"/>
      <c r="G236" s="173"/>
      <c r="H236" s="813"/>
      <c r="I236" s="162"/>
      <c r="J236" s="162"/>
      <c r="K236" s="162"/>
      <c r="L236" s="802"/>
      <c r="M236" s="802"/>
      <c r="N236" s="802"/>
      <c r="O236" s="802"/>
      <c r="P236" s="802"/>
      <c r="Q236" s="59"/>
    </row>
    <row r="237" spans="1:31" ht="11.45" customHeight="1">
      <c r="A237" s="1611" t="s">
        <v>4140</v>
      </c>
      <c r="B237" s="1612"/>
      <c r="C237" s="1612"/>
      <c r="D237" s="1612"/>
      <c r="E237" s="1612"/>
      <c r="F237" s="1612"/>
      <c r="G237" s="1612"/>
      <c r="H237" s="1612"/>
      <c r="I237" s="1612"/>
      <c r="J237" s="1612"/>
      <c r="K237" s="1612"/>
      <c r="L237" s="1612"/>
      <c r="M237" s="1612"/>
      <c r="N237" s="1612"/>
      <c r="O237" s="1612"/>
      <c r="P237" s="1612"/>
      <c r="Q237" s="1613"/>
      <c r="R237" s="614" t="s">
        <v>1677</v>
      </c>
      <c r="S237" s="615"/>
      <c r="U237" s="168"/>
      <c r="V237" s="168"/>
      <c r="W237" s="168"/>
      <c r="X237" s="168"/>
      <c r="Y237" s="168"/>
      <c r="Z237" s="168"/>
      <c r="AA237" s="168"/>
      <c r="AB237" s="168"/>
      <c r="AC237" s="168"/>
      <c r="AD237" s="168"/>
      <c r="AE237" s="656"/>
    </row>
    <row r="238" spans="1:31" ht="11.25" customHeight="1">
      <c r="B238" s="169" t="s">
        <v>2571</v>
      </c>
      <c r="C238" s="170"/>
      <c r="D238" s="809"/>
      <c r="E238" s="809"/>
      <c r="F238" s="809"/>
      <c r="G238" s="809"/>
      <c r="H238" s="809"/>
      <c r="I238" s="809"/>
      <c r="J238" s="809"/>
      <c r="K238" s="809"/>
      <c r="L238" s="809"/>
      <c r="M238" s="809"/>
      <c r="N238" s="809"/>
      <c r="O238" s="809"/>
      <c r="P238" s="809"/>
      <c r="Q238" s="809"/>
    </row>
    <row r="239" spans="1:31" ht="13.15" customHeight="1">
      <c r="A239" s="1048"/>
      <c r="B239" s="1049"/>
      <c r="C239" s="1049"/>
      <c r="D239" s="1049"/>
      <c r="E239" s="1049"/>
      <c r="F239" s="1049"/>
      <c r="G239" s="1049"/>
      <c r="H239" s="1049"/>
      <c r="I239" s="1049"/>
      <c r="J239" s="1049"/>
      <c r="K239" s="1049"/>
      <c r="L239" s="1049"/>
      <c r="M239" s="1049"/>
      <c r="N239" s="1049"/>
      <c r="O239" s="1049"/>
      <c r="P239" s="1049"/>
      <c r="Q239" s="1050"/>
    </row>
    <row r="240" spans="1:31" ht="3" customHeight="1">
      <c r="A240" s="802"/>
      <c r="B240" s="162"/>
      <c r="C240" s="809"/>
      <c r="D240" s="809"/>
      <c r="E240" s="809"/>
      <c r="F240" s="809"/>
      <c r="G240" s="809"/>
      <c r="H240" s="809"/>
      <c r="I240" s="809"/>
      <c r="J240" s="809"/>
      <c r="K240" s="809"/>
      <c r="L240" s="809"/>
      <c r="M240" s="809"/>
      <c r="Q240" s="802"/>
    </row>
    <row r="241" spans="1:32" ht="13.9" customHeight="1">
      <c r="A241" s="811">
        <v>15</v>
      </c>
      <c r="B241" s="5" t="s">
        <v>3497</v>
      </c>
      <c r="C241" s="5"/>
      <c r="D241" s="104"/>
      <c r="E241" s="104"/>
      <c r="F241" s="104"/>
      <c r="G241" s="104"/>
      <c r="H241" s="809"/>
      <c r="I241" s="809"/>
      <c r="J241" s="809"/>
      <c r="K241" s="809"/>
      <c r="L241" s="809"/>
      <c r="M241" s="809"/>
      <c r="O241" s="163" t="s">
        <v>2572</v>
      </c>
      <c r="P241" s="1051"/>
      <c r="Q241" s="1054"/>
    </row>
    <row r="242" spans="1:32" ht="4.9000000000000004" customHeight="1"/>
    <row r="243" spans="1:32" ht="11.45" customHeight="1">
      <c r="B243" s="54" t="s">
        <v>2694</v>
      </c>
      <c r="C243" s="61" t="s">
        <v>1693</v>
      </c>
      <c r="D243" s="49"/>
      <c r="E243" s="61"/>
      <c r="F243" s="61"/>
      <c r="G243" s="61"/>
      <c r="H243" s="61"/>
      <c r="I243" s="49"/>
      <c r="J243" s="49"/>
      <c r="K243" s="49"/>
      <c r="L243" s="654" t="s">
        <v>2694</v>
      </c>
      <c r="M243" s="1658" t="s">
        <v>2466</v>
      </c>
      <c r="N243" s="1659"/>
      <c r="O243" s="1660"/>
      <c r="P243" s="1077" t="s">
        <v>2466</v>
      </c>
      <c r="Q243" s="1078"/>
    </row>
    <row r="244" spans="1:32" ht="11.45" customHeight="1">
      <c r="B244" s="54" t="s">
        <v>2697</v>
      </c>
      <c r="C244" s="61" t="s">
        <v>1666</v>
      </c>
      <c r="D244" s="61"/>
      <c r="E244" s="61"/>
      <c r="F244" s="61"/>
      <c r="G244" s="61"/>
      <c r="H244" s="61"/>
      <c r="I244" s="49"/>
      <c r="J244" s="49"/>
      <c r="K244" s="49"/>
      <c r="L244" s="654" t="s">
        <v>2697</v>
      </c>
      <c r="M244" s="1687"/>
      <c r="N244" s="1688"/>
      <c r="O244" s="1689"/>
      <c r="P244" s="1066"/>
      <c r="Q244" s="1067"/>
    </row>
    <row r="245" spans="1:32" s="181" customFormat="1" ht="11.45" customHeight="1">
      <c r="B245" s="54" t="s">
        <v>1054</v>
      </c>
      <c r="C245" s="61" t="s">
        <v>2655</v>
      </c>
      <c r="D245" s="61"/>
      <c r="E245" s="61"/>
      <c r="F245" s="61"/>
      <c r="G245" s="61"/>
      <c r="H245" s="61"/>
      <c r="I245" s="115"/>
      <c r="J245" s="115"/>
      <c r="K245" s="115"/>
      <c r="L245" s="654" t="s">
        <v>1054</v>
      </c>
      <c r="M245" s="1658"/>
      <c r="N245" s="1659"/>
      <c r="O245" s="1660"/>
      <c r="P245" s="1077"/>
      <c r="Q245" s="1078"/>
      <c r="AE245" s="658"/>
      <c r="AF245" s="658"/>
    </row>
    <row r="246" spans="1:32" s="181" customFormat="1" ht="11.45" customHeight="1">
      <c r="B246" s="54" t="s">
        <v>2830</v>
      </c>
      <c r="C246" s="61" t="s">
        <v>3340</v>
      </c>
      <c r="D246" s="61"/>
      <c r="E246" s="61"/>
      <c r="F246" s="61"/>
      <c r="G246" s="61"/>
      <c r="H246" s="61"/>
      <c r="I246" s="115"/>
      <c r="J246" s="115"/>
      <c r="K246" s="115"/>
      <c r="L246" s="115"/>
      <c r="M246" s="115"/>
      <c r="O246" s="654" t="s">
        <v>2830</v>
      </c>
      <c r="P246" s="1607"/>
      <c r="Q246" s="210"/>
      <c r="AE246" s="658"/>
      <c r="AF246" s="658"/>
    </row>
    <row r="247" spans="1:32" s="181" customFormat="1" ht="22.15" customHeight="1">
      <c r="B247" s="174" t="s">
        <v>2428</v>
      </c>
      <c r="C247" s="1045" t="s">
        <v>3760</v>
      </c>
      <c r="D247" s="1045"/>
      <c r="E247" s="1045"/>
      <c r="F247" s="1045"/>
      <c r="G247" s="1045"/>
      <c r="H247" s="1045"/>
      <c r="I247" s="1045"/>
      <c r="J247" s="1045"/>
      <c r="K247" s="1045"/>
      <c r="L247" s="1045"/>
      <c r="M247" s="1045"/>
      <c r="N247" s="1045"/>
      <c r="O247" s="199" t="s">
        <v>2428</v>
      </c>
      <c r="P247" s="1607"/>
      <c r="Q247" s="210"/>
      <c r="AE247" s="658"/>
      <c r="AF247" s="658"/>
    </row>
    <row r="248" spans="1:32" ht="11.25" customHeight="1">
      <c r="B248" s="173" t="s">
        <v>2570</v>
      </c>
      <c r="D248" s="173"/>
      <c r="E248" s="173"/>
      <c r="F248" s="173"/>
      <c r="G248" s="173"/>
      <c r="H248" s="813"/>
      <c r="I248" s="162"/>
      <c r="J248" s="162"/>
      <c r="K248" s="162"/>
      <c r="L248" s="802"/>
      <c r="M248" s="802"/>
      <c r="N248" s="802"/>
      <c r="O248" s="802"/>
      <c r="P248" s="802"/>
      <c r="Q248" s="59"/>
    </row>
    <row r="249" spans="1:32" ht="13.15" customHeight="1">
      <c r="A249" s="1611" t="s">
        <v>4188</v>
      </c>
      <c r="B249" s="1612"/>
      <c r="C249" s="1612"/>
      <c r="D249" s="1612"/>
      <c r="E249" s="1612"/>
      <c r="F249" s="1612"/>
      <c r="G249" s="1612"/>
      <c r="H249" s="1612"/>
      <c r="I249" s="1612"/>
      <c r="J249" s="1612"/>
      <c r="K249" s="1612"/>
      <c r="L249" s="1612"/>
      <c r="M249" s="1612"/>
      <c r="N249" s="1612"/>
      <c r="O249" s="1612"/>
      <c r="P249" s="1612"/>
      <c r="Q249" s="1613"/>
      <c r="R249" s="614" t="s">
        <v>1677</v>
      </c>
      <c r="S249" s="615"/>
      <c r="U249" s="168"/>
      <c r="V249" s="168"/>
      <c r="W249" s="168"/>
      <c r="X249" s="168"/>
      <c r="Y249" s="168"/>
      <c r="Z249" s="168"/>
      <c r="AA249" s="168"/>
      <c r="AB249" s="168"/>
      <c r="AC249" s="168"/>
      <c r="AD249" s="168"/>
      <c r="AE249" s="656"/>
    </row>
    <row r="250" spans="1:32" ht="10.9" customHeight="1">
      <c r="B250" s="169" t="s">
        <v>2571</v>
      </c>
      <c r="C250" s="170"/>
      <c r="D250" s="809"/>
      <c r="E250" s="809"/>
      <c r="F250" s="809"/>
      <c r="G250" s="809"/>
      <c r="H250" s="809"/>
      <c r="I250" s="809"/>
      <c r="J250" s="809"/>
      <c r="K250" s="809"/>
      <c r="L250" s="809"/>
      <c r="M250" s="809"/>
      <c r="N250" s="809"/>
      <c r="O250" s="809"/>
      <c r="P250" s="809"/>
      <c r="Q250" s="809"/>
    </row>
    <row r="251" spans="1:32" ht="13.15" customHeight="1">
      <c r="A251" s="1048"/>
      <c r="B251" s="1049"/>
      <c r="C251" s="1049"/>
      <c r="D251" s="1049"/>
      <c r="E251" s="1049"/>
      <c r="F251" s="1049"/>
      <c r="G251" s="1049"/>
      <c r="H251" s="1049"/>
      <c r="I251" s="1049"/>
      <c r="J251" s="1049"/>
      <c r="K251" s="1049"/>
      <c r="L251" s="1049"/>
      <c r="M251" s="1049"/>
      <c r="N251" s="1049"/>
      <c r="O251" s="1049"/>
      <c r="P251" s="1049"/>
      <c r="Q251" s="1050"/>
    </row>
    <row r="252" spans="1:32" ht="3" customHeight="1">
      <c r="A252" s="802"/>
      <c r="B252" s="162"/>
      <c r="C252" s="809"/>
      <c r="D252" s="809"/>
      <c r="E252" s="809"/>
      <c r="F252" s="809"/>
      <c r="G252" s="809"/>
      <c r="H252" s="809"/>
      <c r="I252" s="809"/>
      <c r="J252" s="809"/>
      <c r="K252" s="809"/>
      <c r="L252" s="809"/>
      <c r="M252" s="809"/>
      <c r="Q252" s="802"/>
    </row>
    <row r="253" spans="1:32" ht="13.9" customHeight="1">
      <c r="A253" s="811">
        <v>16</v>
      </c>
      <c r="B253" s="5" t="s">
        <v>3498</v>
      </c>
      <c r="C253" s="5"/>
      <c r="D253" s="104"/>
      <c r="E253" s="104"/>
      <c r="F253" s="104"/>
      <c r="G253" s="104"/>
      <c r="H253" s="809"/>
      <c r="I253" s="809"/>
      <c r="J253" s="809"/>
      <c r="K253" s="809"/>
      <c r="L253" s="809"/>
      <c r="M253" s="809"/>
      <c r="O253" s="163" t="s">
        <v>2572</v>
      </c>
      <c r="P253" s="1051"/>
      <c r="Q253" s="1054"/>
    </row>
    <row r="254" spans="1:32" ht="3" customHeight="1"/>
    <row r="255" spans="1:32" s="550" customFormat="1" ht="11.25" customHeight="1">
      <c r="B255" s="174" t="s">
        <v>2694</v>
      </c>
      <c r="C255" s="1045" t="s">
        <v>3531</v>
      </c>
      <c r="D255" s="1045"/>
      <c r="E255" s="1045"/>
      <c r="F255" s="1045"/>
      <c r="G255" s="1045"/>
      <c r="H255" s="1045"/>
      <c r="I255" s="1045"/>
      <c r="J255" s="1045"/>
      <c r="K255" s="1045"/>
      <c r="L255" s="1045"/>
      <c r="M255" s="1045"/>
      <c r="N255" s="1045"/>
      <c r="O255" s="199" t="s">
        <v>2694</v>
      </c>
      <c r="P255" s="1657" t="s">
        <v>4073</v>
      </c>
      <c r="Q255" s="323"/>
      <c r="AE255" s="659"/>
      <c r="AF255" s="659"/>
    </row>
    <row r="256" spans="1:32" s="181" customFormat="1" ht="11.45" customHeight="1">
      <c r="B256" s="54" t="s">
        <v>2697</v>
      </c>
      <c r="C256" s="61" t="s">
        <v>1843</v>
      </c>
      <c r="D256" s="61"/>
      <c r="E256" s="61"/>
      <c r="F256" s="61"/>
      <c r="G256" s="61"/>
      <c r="H256" s="61"/>
      <c r="I256" s="61"/>
      <c r="J256" s="61"/>
      <c r="K256" s="61"/>
      <c r="L256" s="61"/>
      <c r="M256" s="61"/>
      <c r="O256" s="654" t="s">
        <v>2697</v>
      </c>
      <c r="P256" s="1607" t="s">
        <v>4073</v>
      </c>
      <c r="Q256" s="210"/>
      <c r="AE256" s="658"/>
      <c r="AF256" s="658"/>
    </row>
    <row r="257" spans="1:32" ht="11.25" customHeight="1">
      <c r="B257" s="173" t="s">
        <v>2570</v>
      </c>
      <c r="D257" s="173"/>
      <c r="E257" s="173"/>
      <c r="F257" s="173"/>
      <c r="G257" s="173"/>
      <c r="H257" s="813"/>
      <c r="I257" s="162"/>
      <c r="J257" s="162"/>
      <c r="K257" s="162"/>
      <c r="L257" s="802"/>
      <c r="M257" s="802"/>
      <c r="N257" s="802"/>
      <c r="O257" s="802"/>
      <c r="P257" s="802"/>
      <c r="Q257" s="59"/>
    </row>
    <row r="258" spans="1:32" ht="13.15" customHeight="1">
      <c r="A258" s="1611" t="s">
        <v>4141</v>
      </c>
      <c r="B258" s="1612"/>
      <c r="C258" s="1612"/>
      <c r="D258" s="1612"/>
      <c r="E258" s="1612"/>
      <c r="F258" s="1612"/>
      <c r="G258" s="1612"/>
      <c r="H258" s="1612"/>
      <c r="I258" s="1612"/>
      <c r="J258" s="1612"/>
      <c r="K258" s="1612"/>
      <c r="L258" s="1612"/>
      <c r="M258" s="1612"/>
      <c r="N258" s="1612"/>
      <c r="O258" s="1612"/>
      <c r="P258" s="1612"/>
      <c r="Q258" s="1613"/>
      <c r="R258" s="614" t="s">
        <v>1677</v>
      </c>
      <c r="S258" s="615"/>
      <c r="U258" s="168"/>
      <c r="V258" s="168"/>
      <c r="W258" s="168"/>
      <c r="X258" s="168"/>
      <c r="Y258" s="168"/>
      <c r="Z258" s="168"/>
      <c r="AA258" s="168"/>
      <c r="AB258" s="168"/>
      <c r="AC258" s="168"/>
      <c r="AD258" s="168"/>
      <c r="AE258" s="656"/>
    </row>
    <row r="259" spans="1:32" ht="11.25" customHeight="1">
      <c r="B259" s="169" t="s">
        <v>2571</v>
      </c>
      <c r="C259" s="170"/>
      <c r="D259" s="809"/>
      <c r="E259" s="809"/>
      <c r="F259" s="809"/>
      <c r="G259" s="809"/>
      <c r="H259" s="809"/>
      <c r="I259" s="809"/>
      <c r="J259" s="809"/>
      <c r="K259" s="809"/>
      <c r="L259" s="809"/>
      <c r="M259" s="809"/>
      <c r="N259" s="809"/>
      <c r="O259" s="809"/>
      <c r="P259" s="809"/>
      <c r="Q259" s="809"/>
    </row>
    <row r="260" spans="1:32" ht="13.15" customHeight="1">
      <c r="A260" s="1048"/>
      <c r="B260" s="1049"/>
      <c r="C260" s="1049"/>
      <c r="D260" s="1049"/>
      <c r="E260" s="1049"/>
      <c r="F260" s="1049"/>
      <c r="G260" s="1049"/>
      <c r="H260" s="1049"/>
      <c r="I260" s="1049"/>
      <c r="J260" s="1049"/>
      <c r="K260" s="1049"/>
      <c r="L260" s="1049"/>
      <c r="M260" s="1049"/>
      <c r="N260" s="1049"/>
      <c r="O260" s="1049"/>
      <c r="P260" s="1049"/>
      <c r="Q260" s="1050"/>
    </row>
    <row r="261" spans="1:32" ht="3" customHeight="1">
      <c r="A261" s="802"/>
      <c r="B261" s="162"/>
      <c r="C261" s="809"/>
      <c r="D261" s="809"/>
      <c r="E261" s="809"/>
      <c r="F261" s="809"/>
      <c r="G261" s="809"/>
      <c r="H261" s="809"/>
      <c r="I261" s="809"/>
      <c r="J261" s="809"/>
      <c r="K261" s="809"/>
      <c r="L261" s="809"/>
      <c r="M261" s="809"/>
      <c r="N261" s="809"/>
      <c r="O261" s="809"/>
      <c r="P261" s="163"/>
      <c r="Q261" s="59"/>
    </row>
    <row r="262" spans="1:32" ht="13.9" customHeight="1">
      <c r="A262" s="811">
        <v>17</v>
      </c>
      <c r="B262" s="811" t="s">
        <v>3499</v>
      </c>
      <c r="C262" s="811"/>
      <c r="D262" s="809"/>
      <c r="E262" s="809"/>
      <c r="F262" s="809"/>
      <c r="G262" s="809"/>
      <c r="H262" s="809"/>
      <c r="I262" s="809"/>
      <c r="J262" s="809"/>
      <c r="K262" s="809"/>
      <c r="L262" s="809"/>
      <c r="M262" s="809"/>
      <c r="O262" s="163" t="s">
        <v>2572</v>
      </c>
      <c r="P262" s="1051"/>
      <c r="Q262" s="1054"/>
    </row>
    <row r="263" spans="1:32" ht="3" customHeight="1"/>
    <row r="264" spans="1:32" s="550" customFormat="1" ht="24" customHeight="1">
      <c r="B264" s="174" t="s">
        <v>2694</v>
      </c>
      <c r="C264" s="1053" t="s">
        <v>3566</v>
      </c>
      <c r="D264" s="932"/>
      <c r="E264" s="932"/>
      <c r="F264" s="932"/>
      <c r="G264" s="932"/>
      <c r="H264" s="932"/>
      <c r="I264" s="932"/>
      <c r="J264" s="932"/>
      <c r="K264" s="932"/>
      <c r="L264" s="932"/>
      <c r="M264" s="932"/>
      <c r="N264" s="932"/>
      <c r="O264" s="199" t="s">
        <v>2694</v>
      </c>
      <c r="P264" s="1607" t="s">
        <v>4087</v>
      </c>
      <c r="Q264" s="210"/>
      <c r="AE264" s="659"/>
      <c r="AF264" s="659"/>
    </row>
    <row r="265" spans="1:32" s="550" customFormat="1" ht="24" customHeight="1">
      <c r="B265" s="174" t="s">
        <v>2697</v>
      </c>
      <c r="C265" s="1053" t="s">
        <v>3567</v>
      </c>
      <c r="D265" s="932"/>
      <c r="E265" s="932"/>
      <c r="F265" s="932"/>
      <c r="G265" s="932"/>
      <c r="H265" s="932"/>
      <c r="I265" s="932"/>
      <c r="J265" s="932"/>
      <c r="K265" s="932"/>
      <c r="L265" s="932"/>
      <c r="M265" s="932"/>
      <c r="N265" s="932"/>
      <c r="O265" s="199" t="s">
        <v>2697</v>
      </c>
      <c r="P265" s="1607" t="s">
        <v>4087</v>
      </c>
      <c r="Q265" s="210"/>
      <c r="AE265" s="659"/>
      <c r="AF265" s="659"/>
    </row>
    <row r="266" spans="1:32" ht="11.25" customHeight="1">
      <c r="B266" s="173" t="s">
        <v>2570</v>
      </c>
      <c r="D266" s="173"/>
      <c r="E266" s="173"/>
      <c r="F266" s="173"/>
      <c r="G266" s="173"/>
      <c r="H266" s="813"/>
      <c r="I266" s="162"/>
      <c r="J266" s="162"/>
      <c r="K266" s="162"/>
      <c r="L266" s="802"/>
      <c r="M266" s="802"/>
      <c r="N266" s="802"/>
      <c r="O266" s="802"/>
      <c r="P266" s="802"/>
      <c r="Q266" s="59"/>
    </row>
    <row r="267" spans="1:32" ht="13.15" customHeight="1">
      <c r="A267" s="1611" t="s">
        <v>4189</v>
      </c>
      <c r="B267" s="1612"/>
      <c r="C267" s="1612"/>
      <c r="D267" s="1612"/>
      <c r="E267" s="1612"/>
      <c r="F267" s="1612"/>
      <c r="G267" s="1612"/>
      <c r="H267" s="1612"/>
      <c r="I267" s="1612"/>
      <c r="J267" s="1612"/>
      <c r="K267" s="1612"/>
      <c r="L267" s="1612"/>
      <c r="M267" s="1612"/>
      <c r="N267" s="1612"/>
      <c r="O267" s="1612"/>
      <c r="P267" s="1612"/>
      <c r="Q267" s="1613"/>
      <c r="R267" s="614" t="s">
        <v>1677</v>
      </c>
      <c r="S267" s="615"/>
      <c r="U267" s="168"/>
      <c r="V267" s="168"/>
      <c r="W267" s="168"/>
      <c r="X267" s="168"/>
      <c r="Y267" s="168"/>
      <c r="Z267" s="168"/>
      <c r="AA267" s="168"/>
      <c r="AB267" s="168"/>
      <c r="AC267" s="168"/>
      <c r="AD267" s="168"/>
      <c r="AE267" s="656"/>
    </row>
    <row r="268" spans="1:32" ht="11.25" customHeight="1">
      <c r="B268" s="169" t="s">
        <v>2571</v>
      </c>
      <c r="C268" s="170"/>
      <c r="D268" s="809"/>
      <c r="E268" s="809"/>
      <c r="F268" s="809"/>
      <c r="G268" s="809"/>
      <c r="H268" s="809"/>
      <c r="I268" s="809"/>
      <c r="J268" s="809"/>
      <c r="K268" s="809"/>
      <c r="L268" s="809"/>
      <c r="M268" s="809"/>
      <c r="N268" s="809"/>
      <c r="O268" s="809"/>
      <c r="P268" s="809"/>
      <c r="Q268" s="809"/>
    </row>
    <row r="269" spans="1:32" ht="13.15" customHeight="1">
      <c r="A269" s="1048"/>
      <c r="B269" s="1049"/>
      <c r="C269" s="1049"/>
      <c r="D269" s="1049"/>
      <c r="E269" s="1049"/>
      <c r="F269" s="1049"/>
      <c r="G269" s="1049"/>
      <c r="H269" s="1049"/>
      <c r="I269" s="1049"/>
      <c r="J269" s="1049"/>
      <c r="K269" s="1049"/>
      <c r="L269" s="1049"/>
      <c r="M269" s="1049"/>
      <c r="N269" s="1049"/>
      <c r="O269" s="1049"/>
      <c r="P269" s="1049"/>
      <c r="Q269" s="1050"/>
    </row>
    <row r="270" spans="1:32" ht="5.45" customHeight="1">
      <c r="A270" s="802"/>
      <c r="B270" s="162"/>
      <c r="C270" s="809"/>
      <c r="D270" s="809"/>
      <c r="E270" s="809"/>
      <c r="F270" s="809"/>
      <c r="G270" s="809"/>
      <c r="H270" s="809"/>
      <c r="I270" s="809"/>
      <c r="J270" s="809"/>
      <c r="K270" s="809"/>
      <c r="L270" s="809"/>
      <c r="M270" s="809"/>
      <c r="Q270" s="802"/>
    </row>
    <row r="271" spans="1:32" ht="13.9" customHeight="1">
      <c r="A271" s="811">
        <v>18</v>
      </c>
      <c r="B271" s="811" t="s">
        <v>3500</v>
      </c>
      <c r="C271" s="182"/>
      <c r="D271" s="812"/>
      <c r="E271" s="809"/>
      <c r="F271" s="809"/>
      <c r="G271" s="809"/>
      <c r="H271" s="809"/>
      <c r="I271" s="809"/>
      <c r="J271" s="809"/>
      <c r="K271" s="809"/>
      <c r="L271" s="809"/>
      <c r="M271" s="809"/>
      <c r="O271" s="163" t="s">
        <v>2572</v>
      </c>
      <c r="P271" s="1051"/>
      <c r="Q271" s="1054"/>
    </row>
    <row r="272" spans="1:32" s="181" customFormat="1" ht="46.5" customHeight="1">
      <c r="B272" s="174" t="s">
        <v>2694</v>
      </c>
      <c r="C272" s="183" t="s">
        <v>2430</v>
      </c>
      <c r="D272" s="1053" t="s">
        <v>3676</v>
      </c>
      <c r="E272" s="1053"/>
      <c r="F272" s="1053"/>
      <c r="G272" s="1053"/>
      <c r="H272" s="1053"/>
      <c r="I272" s="1053"/>
      <c r="J272" s="1053"/>
      <c r="K272" s="1053"/>
      <c r="L272" s="1053"/>
      <c r="M272" s="1053"/>
      <c r="N272" s="1053"/>
      <c r="O272" s="199" t="s">
        <v>3679</v>
      </c>
      <c r="P272" s="1657" t="s">
        <v>4073</v>
      </c>
      <c r="Q272" s="210"/>
      <c r="AE272" s="658"/>
      <c r="AF272" s="658"/>
    </row>
    <row r="273" spans="1:256 1523:1523" s="115" customFormat="1" ht="12.75" customHeight="1">
      <c r="B273" s="54"/>
      <c r="C273" s="78" t="s">
        <v>2431</v>
      </c>
      <c r="D273" s="1115" t="s">
        <v>3634</v>
      </c>
      <c r="E273" s="1115"/>
      <c r="F273" s="1115"/>
      <c r="G273" s="1115"/>
      <c r="H273" s="1115"/>
      <c r="I273" s="1115"/>
      <c r="J273" s="1115"/>
      <c r="K273" s="1115"/>
      <c r="L273" s="1115"/>
      <c r="M273" s="1115"/>
      <c r="N273" s="1115"/>
      <c r="O273" s="78" t="s">
        <v>2431</v>
      </c>
      <c r="P273" s="1607" t="s">
        <v>4073</v>
      </c>
      <c r="Q273" s="210"/>
      <c r="AE273" s="660"/>
      <c r="AF273" s="660"/>
    </row>
    <row r="274" spans="1:256 1523:1523" s="115" customFormat="1" ht="22.5" customHeight="1">
      <c r="B274" s="174" t="s">
        <v>2697</v>
      </c>
      <c r="C274" s="183" t="s">
        <v>2430</v>
      </c>
      <c r="D274" s="1053" t="s">
        <v>3677</v>
      </c>
      <c r="E274" s="1053"/>
      <c r="F274" s="1053"/>
      <c r="G274" s="1053"/>
      <c r="H274" s="1053"/>
      <c r="I274" s="1053"/>
      <c r="J274" s="1053"/>
      <c r="K274" s="1053"/>
      <c r="L274" s="1053"/>
      <c r="M274" s="1053"/>
      <c r="N274" s="1053"/>
      <c r="O274" s="654" t="s">
        <v>3680</v>
      </c>
      <c r="P274" s="1607" t="s">
        <v>4073</v>
      </c>
      <c r="Q274" s="210"/>
      <c r="AE274" s="660"/>
      <c r="AF274" s="660"/>
    </row>
    <row r="275" spans="1:256 1523:1523" s="115" customFormat="1" ht="12" customHeight="1">
      <c r="B275" s="174"/>
      <c r="C275" s="183" t="s">
        <v>2431</v>
      </c>
      <c r="D275" s="1053" t="s">
        <v>3678</v>
      </c>
      <c r="E275" s="1053"/>
      <c r="F275" s="1053"/>
      <c r="G275" s="1053"/>
      <c r="H275" s="1053"/>
      <c r="I275" s="1053"/>
      <c r="J275" s="1053"/>
      <c r="K275" s="1053"/>
      <c r="L275" s="1053"/>
      <c r="M275" s="1053"/>
      <c r="N275" s="1053"/>
      <c r="O275" s="78" t="s">
        <v>2431</v>
      </c>
      <c r="P275" s="1690" t="s">
        <v>4073</v>
      </c>
      <c r="Q275" s="679"/>
      <c r="AE275" s="660"/>
      <c r="AF275" s="660"/>
    </row>
    <row r="276" spans="1:256 1523:1523" s="550" customFormat="1" ht="35.25" customHeight="1">
      <c r="B276" s="174" t="s">
        <v>1054</v>
      </c>
      <c r="C276" s="183"/>
      <c r="D276" s="1053" t="s">
        <v>3681</v>
      </c>
      <c r="E276" s="1053"/>
      <c r="F276" s="1053"/>
      <c r="G276" s="1053"/>
      <c r="H276" s="1053"/>
      <c r="I276" s="1053"/>
      <c r="J276" s="1053"/>
      <c r="K276" s="1053"/>
      <c r="L276" s="1053"/>
      <c r="M276" s="1053"/>
      <c r="N276" s="1053"/>
      <c r="O276" s="199" t="s">
        <v>1054</v>
      </c>
      <c r="P276" s="1657" t="s">
        <v>4073</v>
      </c>
      <c r="Q276" s="323"/>
      <c r="AE276" s="659"/>
      <c r="AF276" s="659"/>
    </row>
    <row r="277" spans="1:256 1523:1523" ht="11.25" customHeight="1">
      <c r="B277" s="173" t="s">
        <v>2570</v>
      </c>
      <c r="D277" s="173"/>
      <c r="E277" s="173"/>
      <c r="F277" s="173"/>
      <c r="G277" s="173"/>
      <c r="H277" s="813"/>
      <c r="I277" s="162"/>
      <c r="J277" s="162"/>
      <c r="K277" s="162"/>
      <c r="L277" s="802"/>
      <c r="M277" s="802"/>
      <c r="N277" s="802"/>
      <c r="O277" s="802"/>
      <c r="P277" s="802"/>
      <c r="Q277" s="59"/>
    </row>
    <row r="278" spans="1:256 1523:1523" ht="11.45" customHeight="1">
      <c r="A278" s="1611"/>
      <c r="B278" s="1612"/>
      <c r="C278" s="1612"/>
      <c r="D278" s="1612"/>
      <c r="E278" s="1612"/>
      <c r="F278" s="1612"/>
      <c r="G278" s="1612"/>
      <c r="H278" s="1612"/>
      <c r="I278" s="1612"/>
      <c r="J278" s="1612"/>
      <c r="K278" s="1612"/>
      <c r="L278" s="1612"/>
      <c r="M278" s="1612"/>
      <c r="N278" s="1612"/>
      <c r="O278" s="1612"/>
      <c r="P278" s="1612"/>
      <c r="Q278" s="1613"/>
      <c r="R278" s="614" t="s">
        <v>1677</v>
      </c>
      <c r="S278" s="615"/>
      <c r="U278" s="168"/>
      <c r="V278" s="168"/>
      <c r="W278" s="168"/>
      <c r="X278" s="168"/>
      <c r="Y278" s="168"/>
      <c r="Z278" s="168"/>
      <c r="AA278" s="168"/>
      <c r="AB278" s="168"/>
      <c r="AC278" s="168"/>
      <c r="AD278" s="168"/>
      <c r="AE278" s="656"/>
    </row>
    <row r="279" spans="1:256 1523:1523" ht="11.25" customHeight="1">
      <c r="B279" s="169" t="s">
        <v>2571</v>
      </c>
      <c r="C279" s="170"/>
      <c r="D279" s="809"/>
      <c r="E279" s="809"/>
      <c r="F279" s="809"/>
      <c r="G279" s="809"/>
      <c r="H279" s="809"/>
      <c r="I279" s="809"/>
      <c r="J279" s="809"/>
      <c r="K279" s="809"/>
      <c r="L279" s="809"/>
      <c r="M279" s="809"/>
      <c r="N279" s="809"/>
      <c r="O279" s="809"/>
      <c r="P279" s="809"/>
      <c r="Q279" s="809"/>
    </row>
    <row r="280" spans="1:256 1523:1523" ht="11.45" customHeight="1">
      <c r="A280" s="1070"/>
      <c r="B280" s="1071"/>
      <c r="C280" s="1071"/>
      <c r="D280" s="1071"/>
      <c r="E280" s="1071"/>
      <c r="F280" s="1071"/>
      <c r="G280" s="1071"/>
      <c r="H280" s="1071"/>
      <c r="I280" s="1071"/>
      <c r="J280" s="1071"/>
      <c r="K280" s="1071"/>
      <c r="L280" s="1071"/>
      <c r="M280" s="1071"/>
      <c r="N280" s="1071"/>
      <c r="O280" s="1071"/>
      <c r="P280" s="1071"/>
      <c r="Q280" s="1072"/>
    </row>
    <row r="281" spans="1:256 1523:1523" ht="13.9" customHeight="1">
      <c r="A281" s="811">
        <v>19</v>
      </c>
      <c r="B281" s="11" t="s">
        <v>3501</v>
      </c>
      <c r="C281" s="11"/>
      <c r="D281" s="11"/>
      <c r="E281" s="11"/>
      <c r="F281" s="11"/>
      <c r="G281" s="11"/>
      <c r="H281" s="809"/>
      <c r="I281" s="809"/>
      <c r="J281" s="809"/>
      <c r="K281" s="809"/>
      <c r="L281" s="809"/>
      <c r="M281" s="809"/>
      <c r="O281" s="163" t="s">
        <v>2572</v>
      </c>
      <c r="P281" s="1068"/>
      <c r="Q281" s="1069"/>
    </row>
    <row r="282" spans="1:256 1523:1523" ht="11.45" customHeight="1">
      <c r="B282" s="177" t="s">
        <v>2979</v>
      </c>
      <c r="P282" s="1607" t="s">
        <v>4074</v>
      </c>
      <c r="Q282" s="210"/>
    </row>
    <row r="283" spans="1:256 1523:1523" ht="12" customHeight="1">
      <c r="B283" s="179" t="s">
        <v>2932</v>
      </c>
      <c r="C283" s="179"/>
      <c r="D283" s="179"/>
      <c r="E283" s="179"/>
      <c r="F283" s="179"/>
      <c r="G283" s="179"/>
      <c r="H283" s="179"/>
      <c r="I283" s="179"/>
      <c r="J283" s="179"/>
      <c r="K283" s="179"/>
      <c r="L283" s="179"/>
      <c r="P283" s="1607" t="s">
        <v>4073</v>
      </c>
      <c r="Q283" s="210"/>
    </row>
    <row r="284" spans="1:256 1523:1523" ht="11.45" customHeight="1">
      <c r="B284" s="174" t="s">
        <v>2694</v>
      </c>
      <c r="C284" s="234" t="s">
        <v>586</v>
      </c>
      <c r="D284" s="38"/>
      <c r="E284" s="38"/>
      <c r="F284" s="38"/>
      <c r="G284" s="38"/>
      <c r="H284" s="38"/>
      <c r="I284" s="38"/>
      <c r="J284" s="38"/>
      <c r="K284" s="38"/>
      <c r="L284" s="38"/>
      <c r="M284" s="38"/>
      <c r="N284" s="199"/>
    </row>
    <row r="285" spans="1:256 1523:1523" ht="22.5" customHeight="1">
      <c r="A285" s="176"/>
      <c r="C285" s="1053" t="s">
        <v>3582</v>
      </c>
      <c r="D285" s="1053"/>
      <c r="E285" s="1053"/>
      <c r="F285" s="1053"/>
      <c r="G285" s="1053"/>
      <c r="H285" s="1053"/>
      <c r="I285" s="1053"/>
      <c r="J285" s="1053"/>
      <c r="K285" s="1053"/>
      <c r="L285" s="1053"/>
      <c r="M285" s="1053"/>
      <c r="N285" s="1053"/>
      <c r="O285" s="199" t="s">
        <v>2694</v>
      </c>
      <c r="P285" s="1657"/>
      <c r="Q285" s="323"/>
    </row>
    <row r="286" spans="1:256 1523:1523" ht="3" customHeight="1">
      <c r="A286" s="802"/>
      <c r="B286" s="802"/>
      <c r="C286" s="802"/>
      <c r="D286" s="802"/>
      <c r="E286" s="802"/>
      <c r="F286" s="802"/>
      <c r="G286" s="802"/>
      <c r="H286" s="802"/>
      <c r="I286" s="802"/>
      <c r="J286" s="802"/>
      <c r="K286" s="802"/>
      <c r="L286" s="802"/>
      <c r="M286" s="802"/>
      <c r="N286" s="802"/>
      <c r="O286" s="802"/>
      <c r="P286" s="802"/>
      <c r="Q286" s="802"/>
      <c r="R286" s="802"/>
      <c r="S286" s="802"/>
      <c r="T286" s="802"/>
      <c r="U286" s="802"/>
      <c r="V286" s="802"/>
      <c r="W286" s="802"/>
      <c r="X286" s="802"/>
      <c r="Y286" s="802"/>
      <c r="Z286" s="802"/>
      <c r="AA286" s="802"/>
      <c r="AB286" s="802"/>
      <c r="AC286" s="802"/>
      <c r="AD286" s="802"/>
      <c r="AE286" s="59"/>
      <c r="AF286" s="59"/>
      <c r="AG286" s="802"/>
      <c r="AH286" s="802"/>
      <c r="AI286" s="802"/>
      <c r="AJ286" s="802"/>
      <c r="AK286" s="802"/>
      <c r="AL286" s="802"/>
      <c r="AM286" s="802"/>
      <c r="AN286" s="802"/>
      <c r="AO286" s="802"/>
      <c r="AP286" s="802"/>
      <c r="AQ286" s="802"/>
      <c r="AR286" s="802"/>
      <c r="AS286" s="802"/>
      <c r="AT286" s="802"/>
      <c r="AU286" s="802"/>
      <c r="AV286" s="802"/>
      <c r="AW286" s="802"/>
      <c r="AX286" s="802"/>
      <c r="AY286" s="802"/>
      <c r="AZ286" s="802"/>
      <c r="BA286" s="802"/>
      <c r="BB286" s="802"/>
      <c r="BC286" s="802"/>
      <c r="BD286" s="802"/>
      <c r="BE286" s="802"/>
      <c r="BF286" s="802"/>
      <c r="BG286" s="802"/>
      <c r="BH286" s="802"/>
      <c r="BI286" s="802"/>
      <c r="BJ286" s="802"/>
      <c r="BK286" s="802"/>
      <c r="BL286" s="802"/>
      <c r="BM286" s="802"/>
      <c r="BN286" s="802"/>
      <c r="BO286" s="802"/>
      <c r="BP286" s="802"/>
      <c r="BQ286" s="802"/>
      <c r="BR286" s="802"/>
      <c r="BS286" s="802"/>
      <c r="BT286" s="802"/>
      <c r="BU286" s="802"/>
      <c r="BV286" s="802"/>
      <c r="BW286" s="802"/>
      <c r="BX286" s="802"/>
      <c r="BY286" s="802"/>
      <c r="BZ286" s="802"/>
      <c r="CA286" s="802"/>
      <c r="CB286" s="802"/>
      <c r="CC286" s="802"/>
      <c r="CD286" s="802"/>
      <c r="CE286" s="802"/>
      <c r="CF286" s="802"/>
      <c r="CG286" s="802"/>
      <c r="CH286" s="802"/>
      <c r="CI286" s="802"/>
      <c r="CJ286" s="802"/>
      <c r="CK286" s="802"/>
      <c r="CL286" s="802"/>
      <c r="CM286" s="802"/>
      <c r="CN286" s="802"/>
      <c r="CO286" s="802"/>
      <c r="CP286" s="802"/>
      <c r="CQ286" s="802"/>
      <c r="CR286" s="802"/>
      <c r="CS286" s="802"/>
      <c r="CT286" s="802"/>
      <c r="CU286" s="802"/>
      <c r="CV286" s="802"/>
      <c r="CW286" s="802"/>
      <c r="CX286" s="802"/>
      <c r="CY286" s="802"/>
      <c r="CZ286" s="802"/>
      <c r="DA286" s="802"/>
      <c r="DB286" s="802"/>
      <c r="DC286" s="802"/>
      <c r="DD286" s="802"/>
      <c r="DE286" s="802"/>
      <c r="DF286" s="802"/>
      <c r="DG286" s="802"/>
      <c r="DH286" s="802"/>
      <c r="DI286" s="802"/>
      <c r="DJ286" s="802"/>
      <c r="DK286" s="802"/>
      <c r="DL286" s="802"/>
      <c r="DM286" s="802"/>
      <c r="DN286" s="802"/>
      <c r="DO286" s="802"/>
      <c r="DP286" s="802"/>
      <c r="DQ286" s="802"/>
      <c r="DR286" s="802"/>
      <c r="DS286" s="802"/>
      <c r="DT286" s="802"/>
      <c r="DU286" s="802"/>
      <c r="DV286" s="802"/>
      <c r="DW286" s="802"/>
      <c r="DX286" s="802"/>
      <c r="DY286" s="802"/>
      <c r="DZ286" s="802"/>
      <c r="EA286" s="802"/>
      <c r="EB286" s="802"/>
      <c r="EC286" s="802"/>
      <c r="ED286" s="802"/>
      <c r="EE286" s="802"/>
      <c r="EF286" s="802"/>
      <c r="EG286" s="802"/>
      <c r="EH286" s="802"/>
      <c r="EI286" s="802"/>
      <c r="EJ286" s="802"/>
      <c r="EK286" s="802"/>
      <c r="EL286" s="802"/>
      <c r="EM286" s="802"/>
      <c r="EN286" s="802"/>
      <c r="EO286" s="802"/>
      <c r="EP286" s="802"/>
      <c r="EQ286" s="802"/>
      <c r="ER286" s="802"/>
      <c r="ES286" s="802"/>
      <c r="ET286" s="802"/>
      <c r="EU286" s="802"/>
      <c r="EV286" s="802"/>
      <c r="EW286" s="802"/>
      <c r="EX286" s="802"/>
      <c r="EY286" s="802"/>
      <c r="EZ286" s="802"/>
      <c r="FA286" s="802"/>
      <c r="FB286" s="802"/>
      <c r="FC286" s="802"/>
      <c r="FD286" s="802"/>
      <c r="FE286" s="802"/>
      <c r="FF286" s="802"/>
      <c r="FG286" s="802"/>
      <c r="FH286" s="802"/>
      <c r="FI286" s="802"/>
      <c r="FJ286" s="802"/>
      <c r="FK286" s="802"/>
      <c r="FL286" s="802"/>
      <c r="FM286" s="802"/>
      <c r="FN286" s="802"/>
      <c r="FO286" s="802"/>
      <c r="FP286" s="802"/>
      <c r="FQ286" s="802"/>
      <c r="FR286" s="802"/>
      <c r="FS286" s="802"/>
      <c r="FT286" s="802"/>
      <c r="FU286" s="802"/>
      <c r="FV286" s="802"/>
      <c r="FW286" s="802"/>
      <c r="FX286" s="802"/>
      <c r="FY286" s="802"/>
      <c r="FZ286" s="802"/>
      <c r="GA286" s="802"/>
      <c r="GB286" s="802"/>
      <c r="GC286" s="802"/>
      <c r="GD286" s="802"/>
      <c r="GE286" s="802"/>
      <c r="GF286" s="802"/>
      <c r="GG286" s="802"/>
      <c r="GH286" s="802"/>
      <c r="GI286" s="802"/>
      <c r="GJ286" s="802"/>
      <c r="GK286" s="802"/>
      <c r="GL286" s="802"/>
      <c r="GM286" s="802"/>
      <c r="GN286" s="802"/>
      <c r="GO286" s="802"/>
      <c r="GP286" s="802"/>
      <c r="GQ286" s="802"/>
      <c r="GR286" s="802"/>
      <c r="GS286" s="802"/>
      <c r="GT286" s="802"/>
      <c r="GU286" s="802"/>
      <c r="GV286" s="802"/>
      <c r="GW286" s="802"/>
      <c r="GX286" s="802"/>
      <c r="GY286" s="802"/>
      <c r="GZ286" s="802"/>
      <c r="HA286" s="802"/>
      <c r="HB286" s="802"/>
      <c r="HC286" s="802"/>
      <c r="HD286" s="802"/>
      <c r="HE286" s="802"/>
      <c r="HF286" s="802"/>
      <c r="HG286" s="802"/>
      <c r="HH286" s="802"/>
      <c r="HI286" s="802"/>
      <c r="HJ286" s="802"/>
      <c r="HK286" s="802"/>
      <c r="HL286" s="802"/>
      <c r="HM286" s="802"/>
      <c r="HN286" s="802"/>
      <c r="HO286" s="802"/>
      <c r="HP286" s="802"/>
      <c r="HQ286" s="802"/>
      <c r="HR286" s="802"/>
      <c r="HS286" s="802"/>
      <c r="HT286" s="802"/>
      <c r="HU286" s="802"/>
      <c r="HV286" s="802"/>
      <c r="HW286" s="802"/>
      <c r="HX286" s="802"/>
      <c r="HY286" s="802"/>
      <c r="HZ286" s="802"/>
      <c r="IA286" s="802"/>
      <c r="IB286" s="802"/>
      <c r="IC286" s="802"/>
      <c r="ID286" s="802"/>
      <c r="IE286" s="802"/>
      <c r="IF286" s="802"/>
      <c r="IG286" s="802"/>
      <c r="IH286" s="802"/>
      <c r="II286" s="802"/>
      <c r="IJ286" s="802"/>
      <c r="IK286" s="802"/>
      <c r="IL286" s="802"/>
      <c r="IM286" s="802"/>
      <c r="IN286" s="802"/>
      <c r="IO286" s="802"/>
      <c r="IP286" s="802"/>
      <c r="IQ286" s="802"/>
      <c r="IR286" s="802"/>
      <c r="IS286" s="802"/>
      <c r="IT286" s="802"/>
      <c r="IU286" s="802"/>
      <c r="IV286" s="802"/>
    </row>
    <row r="287" spans="1:256 1523:1523" ht="12.6" customHeight="1">
      <c r="B287" s="174" t="s">
        <v>2697</v>
      </c>
      <c r="C287" s="1060" t="s">
        <v>587</v>
      </c>
      <c r="D287" s="1060"/>
      <c r="E287" s="1060"/>
      <c r="F287" s="1060"/>
      <c r="G287" s="1060"/>
      <c r="H287" s="1060"/>
      <c r="I287" s="1060"/>
      <c r="J287" s="1060"/>
      <c r="K287" s="1060"/>
      <c r="L287" s="1060"/>
      <c r="M287" s="1060"/>
      <c r="O287" s="199" t="s">
        <v>2697</v>
      </c>
      <c r="P287" s="802"/>
      <c r="Q287" s="59"/>
    </row>
    <row r="288" spans="1:256 1523:1523" ht="23.25" customHeight="1">
      <c r="A288" s="176"/>
      <c r="C288" s="269" t="s">
        <v>2430</v>
      </c>
      <c r="D288" s="270" t="s">
        <v>1541</v>
      </c>
      <c r="E288" s="164"/>
      <c r="F288" s="164"/>
      <c r="G288" s="1691" t="s">
        <v>1888</v>
      </c>
      <c r="H288" s="1692"/>
      <c r="I288" s="1692"/>
      <c r="J288" s="1692"/>
      <c r="K288" s="1692"/>
      <c r="L288" s="1692"/>
      <c r="M288" s="1692"/>
      <c r="N288" s="1693"/>
      <c r="O288" s="273" t="s">
        <v>2430</v>
      </c>
      <c r="P288" s="1657" t="s">
        <v>4073</v>
      </c>
      <c r="Q288" s="323"/>
      <c r="BFO288" s="181" t="s">
        <v>3682</v>
      </c>
    </row>
    <row r="289" spans="1:256" ht="23.25" customHeight="1">
      <c r="A289" s="176"/>
      <c r="C289" s="269" t="s">
        <v>2431</v>
      </c>
      <c r="D289" s="1045" t="s">
        <v>1542</v>
      </c>
      <c r="E289" s="1061"/>
      <c r="F289" s="1062"/>
      <c r="G289" s="1684" t="s">
        <v>3483</v>
      </c>
      <c r="H289" s="1694"/>
      <c r="I289" s="1694"/>
      <c r="J289" s="1694"/>
      <c r="K289" s="1694"/>
      <c r="L289" s="1694"/>
      <c r="M289" s="1694"/>
      <c r="N289" s="1695"/>
      <c r="O289" s="273" t="s">
        <v>2431</v>
      </c>
      <c r="P289" s="1657" t="s">
        <v>4073</v>
      </c>
      <c r="Q289" s="323"/>
    </row>
    <row r="290" spans="1:256" ht="3" customHeight="1">
      <c r="A290" s="802"/>
      <c r="B290" s="802"/>
      <c r="C290" s="802"/>
      <c r="D290" s="802"/>
      <c r="E290" s="802"/>
      <c r="F290" s="802"/>
      <c r="G290" s="802"/>
      <c r="H290" s="802"/>
      <c r="I290" s="802"/>
      <c r="J290" s="802"/>
      <c r="K290" s="802"/>
      <c r="L290" s="802"/>
      <c r="M290" s="802"/>
      <c r="N290" s="802"/>
      <c r="O290" s="802"/>
      <c r="P290" s="802"/>
      <c r="Q290" s="802"/>
      <c r="R290" s="802"/>
      <c r="S290" s="802"/>
      <c r="T290" s="802"/>
      <c r="U290" s="802"/>
      <c r="V290" s="802"/>
      <c r="W290" s="802"/>
      <c r="X290" s="802"/>
      <c r="Y290" s="802"/>
      <c r="Z290" s="802"/>
      <c r="AA290" s="802"/>
      <c r="AB290" s="802"/>
      <c r="AC290" s="802"/>
      <c r="AD290" s="802"/>
      <c r="AE290" s="59"/>
      <c r="AF290" s="59"/>
      <c r="AG290" s="802"/>
      <c r="AH290" s="802"/>
      <c r="AI290" s="802"/>
      <c r="AJ290" s="802"/>
      <c r="AK290" s="802"/>
      <c r="AL290" s="802"/>
      <c r="AM290" s="802"/>
      <c r="AN290" s="802"/>
      <c r="AO290" s="802"/>
      <c r="AP290" s="802"/>
      <c r="AQ290" s="802"/>
      <c r="AR290" s="802"/>
      <c r="AS290" s="802"/>
      <c r="AT290" s="802"/>
      <c r="AU290" s="802"/>
      <c r="AV290" s="802"/>
      <c r="AW290" s="802"/>
      <c r="AX290" s="802"/>
      <c r="AY290" s="802"/>
      <c r="AZ290" s="802"/>
      <c r="BA290" s="802"/>
      <c r="BB290" s="802"/>
      <c r="BC290" s="802"/>
      <c r="BD290" s="802"/>
      <c r="BE290" s="802"/>
      <c r="BF290" s="802"/>
      <c r="BG290" s="802"/>
      <c r="BH290" s="802"/>
      <c r="BI290" s="802"/>
      <c r="BJ290" s="802"/>
      <c r="BK290" s="802"/>
      <c r="BL290" s="802"/>
      <c r="BM290" s="802"/>
      <c r="BN290" s="802"/>
      <c r="BO290" s="802"/>
      <c r="BP290" s="802"/>
      <c r="BQ290" s="802"/>
      <c r="BR290" s="802"/>
      <c r="BS290" s="802"/>
      <c r="BT290" s="802"/>
      <c r="BU290" s="802"/>
      <c r="BV290" s="802"/>
      <c r="BW290" s="802"/>
      <c r="BX290" s="802"/>
      <c r="BY290" s="802"/>
      <c r="BZ290" s="802"/>
      <c r="CA290" s="802"/>
      <c r="CB290" s="802"/>
      <c r="CC290" s="802"/>
      <c r="CD290" s="802"/>
      <c r="CE290" s="802"/>
      <c r="CF290" s="802"/>
      <c r="CG290" s="802"/>
      <c r="CH290" s="802"/>
      <c r="CI290" s="802"/>
      <c r="CJ290" s="802"/>
      <c r="CK290" s="802"/>
      <c r="CL290" s="802"/>
      <c r="CM290" s="802"/>
      <c r="CN290" s="802"/>
      <c r="CO290" s="802"/>
      <c r="CP290" s="802"/>
      <c r="CQ290" s="802"/>
      <c r="CR290" s="802"/>
      <c r="CS290" s="802"/>
      <c r="CT290" s="802"/>
      <c r="CU290" s="802"/>
      <c r="CV290" s="802"/>
      <c r="CW290" s="802"/>
      <c r="CX290" s="802"/>
      <c r="CY290" s="802"/>
      <c r="CZ290" s="802"/>
      <c r="DA290" s="802"/>
      <c r="DB290" s="802"/>
      <c r="DC290" s="802"/>
      <c r="DD290" s="802"/>
      <c r="DE290" s="802"/>
      <c r="DF290" s="802"/>
      <c r="DG290" s="802"/>
      <c r="DH290" s="802"/>
      <c r="DI290" s="802"/>
      <c r="DJ290" s="802"/>
      <c r="DK290" s="802"/>
      <c r="DL290" s="802"/>
      <c r="DM290" s="802"/>
      <c r="DN290" s="802"/>
      <c r="DO290" s="802"/>
      <c r="DP290" s="802"/>
      <c r="DQ290" s="802"/>
      <c r="DR290" s="802"/>
      <c r="DS290" s="802"/>
      <c r="DT290" s="802"/>
      <c r="DU290" s="802"/>
      <c r="DV290" s="802"/>
      <c r="DW290" s="802"/>
      <c r="DX290" s="802"/>
      <c r="DY290" s="802"/>
      <c r="DZ290" s="802"/>
      <c r="EA290" s="802"/>
      <c r="EB290" s="802"/>
      <c r="EC290" s="802"/>
      <c r="ED290" s="802"/>
      <c r="EE290" s="802"/>
      <c r="EF290" s="802"/>
      <c r="EG290" s="802"/>
      <c r="EH290" s="802"/>
      <c r="EI290" s="802"/>
      <c r="EJ290" s="802"/>
      <c r="EK290" s="802"/>
      <c r="EL290" s="802"/>
      <c r="EM290" s="802"/>
      <c r="EN290" s="802"/>
      <c r="EO290" s="802"/>
      <c r="EP290" s="802"/>
      <c r="EQ290" s="802"/>
      <c r="ER290" s="802"/>
      <c r="ES290" s="802"/>
      <c r="ET290" s="802"/>
      <c r="EU290" s="802"/>
      <c r="EV290" s="802"/>
      <c r="EW290" s="802"/>
      <c r="EX290" s="802"/>
      <c r="EY290" s="802"/>
      <c r="EZ290" s="802"/>
      <c r="FA290" s="802"/>
      <c r="FB290" s="802"/>
      <c r="FC290" s="802"/>
      <c r="FD290" s="802"/>
      <c r="FE290" s="802"/>
      <c r="FF290" s="802"/>
      <c r="FG290" s="802"/>
      <c r="FH290" s="802"/>
      <c r="FI290" s="802"/>
      <c r="FJ290" s="802"/>
      <c r="FK290" s="802"/>
      <c r="FL290" s="802"/>
      <c r="FM290" s="802"/>
      <c r="FN290" s="802"/>
      <c r="FO290" s="802"/>
      <c r="FP290" s="802"/>
      <c r="FQ290" s="802"/>
      <c r="FR290" s="802"/>
      <c r="FS290" s="802"/>
      <c r="FT290" s="802"/>
      <c r="FU290" s="802"/>
      <c r="FV290" s="802"/>
      <c r="FW290" s="802"/>
      <c r="FX290" s="802"/>
      <c r="FY290" s="802"/>
      <c r="FZ290" s="802"/>
      <c r="GA290" s="802"/>
      <c r="GB290" s="802"/>
      <c r="GC290" s="802"/>
      <c r="GD290" s="802"/>
      <c r="GE290" s="802"/>
      <c r="GF290" s="802"/>
      <c r="GG290" s="802"/>
      <c r="GH290" s="802"/>
      <c r="GI290" s="802"/>
      <c r="GJ290" s="802"/>
      <c r="GK290" s="802"/>
      <c r="GL290" s="802"/>
      <c r="GM290" s="802"/>
      <c r="GN290" s="802"/>
      <c r="GO290" s="802"/>
      <c r="GP290" s="802"/>
      <c r="GQ290" s="802"/>
      <c r="GR290" s="802"/>
      <c r="GS290" s="802"/>
      <c r="GT290" s="802"/>
      <c r="GU290" s="802"/>
      <c r="GV290" s="802"/>
      <c r="GW290" s="802"/>
      <c r="GX290" s="802"/>
      <c r="GY290" s="802"/>
      <c r="GZ290" s="802"/>
      <c r="HA290" s="802"/>
      <c r="HB290" s="802"/>
      <c r="HC290" s="802"/>
      <c r="HD290" s="802"/>
      <c r="HE290" s="802"/>
      <c r="HF290" s="802"/>
      <c r="HG290" s="802"/>
      <c r="HH290" s="802"/>
      <c r="HI290" s="802"/>
      <c r="HJ290" s="802"/>
      <c r="HK290" s="802"/>
      <c r="HL290" s="802"/>
      <c r="HM290" s="802"/>
      <c r="HN290" s="802"/>
      <c r="HO290" s="802"/>
      <c r="HP290" s="802"/>
      <c r="HQ290" s="802"/>
      <c r="HR290" s="802"/>
      <c r="HS290" s="802"/>
      <c r="HT290" s="802"/>
      <c r="HU290" s="802"/>
      <c r="HV290" s="802"/>
      <c r="HW290" s="802"/>
      <c r="HX290" s="802"/>
      <c r="HY290" s="802"/>
      <c r="HZ290" s="802"/>
      <c r="IA290" s="802"/>
      <c r="IB290" s="802"/>
      <c r="IC290" s="802"/>
      <c r="ID290" s="802"/>
      <c r="IE290" s="802"/>
      <c r="IF290" s="802"/>
      <c r="IG290" s="802"/>
      <c r="IH290" s="802"/>
      <c r="II290" s="802"/>
      <c r="IJ290" s="802"/>
      <c r="IK290" s="802"/>
      <c r="IL290" s="802"/>
      <c r="IM290" s="802"/>
      <c r="IN290" s="802"/>
      <c r="IO290" s="802"/>
      <c r="IP290" s="802"/>
      <c r="IQ290" s="802"/>
      <c r="IR290" s="802"/>
      <c r="IS290" s="802"/>
      <c r="IT290" s="802"/>
      <c r="IU290" s="802"/>
      <c r="IV290" s="802"/>
    </row>
    <row r="291" spans="1:256" s="164" customFormat="1" ht="23.25" customHeight="1">
      <c r="B291" s="174" t="s">
        <v>1054</v>
      </c>
      <c r="C291" s="1055" t="s">
        <v>3521</v>
      </c>
      <c r="D291" s="1055"/>
      <c r="E291" s="1055"/>
      <c r="F291" s="1055"/>
      <c r="G291" s="1055"/>
      <c r="H291" s="1055"/>
      <c r="I291" s="1055"/>
      <c r="J291" s="1055"/>
      <c r="K291" s="1055"/>
      <c r="L291" s="1055"/>
      <c r="M291" s="1055"/>
      <c r="N291" s="1055"/>
      <c r="O291" s="608" t="s">
        <v>1054</v>
      </c>
      <c r="P291" s="802"/>
      <c r="Q291" s="59"/>
      <c r="AE291" s="657"/>
      <c r="AF291" s="657"/>
    </row>
    <row r="292" spans="1:256" s="164" customFormat="1" ht="11.25" customHeight="1">
      <c r="A292" s="176"/>
      <c r="C292" s="269" t="s">
        <v>2430</v>
      </c>
      <c r="D292" s="1681"/>
      <c r="E292" s="1682"/>
      <c r="F292" s="1682"/>
      <c r="G292" s="1682"/>
      <c r="H292" s="1682"/>
      <c r="I292" s="1682"/>
      <c r="J292" s="1682"/>
      <c r="K292" s="1682"/>
      <c r="L292" s="1682"/>
      <c r="M292" s="1682"/>
      <c r="N292" s="1683"/>
      <c r="O292" s="273" t="s">
        <v>2430</v>
      </c>
      <c r="P292" s="1657"/>
      <c r="Q292" s="323"/>
      <c r="AE292" s="657"/>
      <c r="AF292" s="657"/>
    </row>
    <row r="293" spans="1:256" s="164" customFormat="1" ht="11.25" customHeight="1">
      <c r="A293" s="176"/>
      <c r="C293" s="269" t="s">
        <v>2431</v>
      </c>
      <c r="D293" s="1684"/>
      <c r="E293" s="1685"/>
      <c r="F293" s="1685"/>
      <c r="G293" s="1685"/>
      <c r="H293" s="1685"/>
      <c r="I293" s="1685"/>
      <c r="J293" s="1685"/>
      <c r="K293" s="1685"/>
      <c r="L293" s="1685"/>
      <c r="M293" s="1685"/>
      <c r="N293" s="1686"/>
      <c r="O293" s="273" t="s">
        <v>2431</v>
      </c>
      <c r="P293" s="1657"/>
      <c r="Q293" s="323"/>
      <c r="AE293" s="657"/>
      <c r="AF293" s="657"/>
    </row>
    <row r="294" spans="1:256" ht="3" customHeight="1">
      <c r="A294" s="802"/>
      <c r="B294" s="802"/>
      <c r="C294" s="802"/>
      <c r="D294" s="802"/>
      <c r="E294" s="802"/>
      <c r="F294" s="802"/>
      <c r="G294" s="802"/>
      <c r="H294" s="802"/>
      <c r="I294" s="802"/>
      <c r="J294" s="802"/>
      <c r="K294" s="802"/>
      <c r="L294" s="802"/>
      <c r="M294" s="802"/>
      <c r="N294" s="802"/>
      <c r="O294" s="802"/>
      <c r="P294" s="802"/>
      <c r="Q294" s="802"/>
      <c r="R294" s="802"/>
      <c r="S294" s="802"/>
      <c r="T294" s="802"/>
      <c r="U294" s="802"/>
      <c r="V294" s="802"/>
      <c r="W294" s="802"/>
      <c r="X294" s="802"/>
      <c r="Y294" s="802"/>
      <c r="Z294" s="802"/>
      <c r="AA294" s="802"/>
      <c r="AB294" s="802"/>
      <c r="AC294" s="802"/>
      <c r="AD294" s="802"/>
      <c r="AE294" s="59"/>
      <c r="AF294" s="59"/>
      <c r="AG294" s="802"/>
      <c r="AH294" s="802"/>
      <c r="AI294" s="802"/>
      <c r="AJ294" s="802"/>
      <c r="AK294" s="802"/>
      <c r="AL294" s="802"/>
      <c r="AM294" s="802"/>
      <c r="AN294" s="802"/>
      <c r="AO294" s="802"/>
      <c r="AP294" s="802"/>
      <c r="AQ294" s="802"/>
      <c r="AR294" s="802"/>
      <c r="AS294" s="802"/>
      <c r="AT294" s="802"/>
      <c r="AU294" s="802"/>
      <c r="AV294" s="802"/>
      <c r="AW294" s="802"/>
      <c r="AX294" s="802"/>
      <c r="AY294" s="802"/>
      <c r="AZ294" s="802"/>
      <c r="BA294" s="802"/>
      <c r="BB294" s="802"/>
      <c r="BC294" s="802"/>
      <c r="BD294" s="802"/>
      <c r="BE294" s="802"/>
      <c r="BF294" s="802"/>
      <c r="BG294" s="802"/>
      <c r="BH294" s="802"/>
      <c r="BI294" s="802"/>
      <c r="BJ294" s="802"/>
      <c r="BK294" s="802"/>
      <c r="BL294" s="802"/>
      <c r="BM294" s="802"/>
      <c r="BN294" s="802"/>
      <c r="BO294" s="802"/>
      <c r="BP294" s="802"/>
      <c r="BQ294" s="802"/>
      <c r="BR294" s="802"/>
      <c r="BS294" s="802"/>
      <c r="BT294" s="802"/>
      <c r="BU294" s="802"/>
      <c r="BV294" s="802"/>
      <c r="BW294" s="802"/>
      <c r="BX294" s="802"/>
      <c r="BY294" s="802"/>
      <c r="BZ294" s="802"/>
      <c r="CA294" s="802"/>
      <c r="CB294" s="802"/>
      <c r="CC294" s="802"/>
      <c r="CD294" s="802"/>
      <c r="CE294" s="802"/>
      <c r="CF294" s="802"/>
      <c r="CG294" s="802"/>
      <c r="CH294" s="802"/>
      <c r="CI294" s="802"/>
      <c r="CJ294" s="802"/>
      <c r="CK294" s="802"/>
      <c r="CL294" s="802"/>
      <c r="CM294" s="802"/>
      <c r="CN294" s="802"/>
      <c r="CO294" s="802"/>
      <c r="CP294" s="802"/>
      <c r="CQ294" s="802"/>
      <c r="CR294" s="802"/>
      <c r="CS294" s="802"/>
      <c r="CT294" s="802"/>
      <c r="CU294" s="802"/>
      <c r="CV294" s="802"/>
      <c r="CW294" s="802"/>
      <c r="CX294" s="802"/>
      <c r="CY294" s="802"/>
      <c r="CZ294" s="802"/>
      <c r="DA294" s="802"/>
      <c r="DB294" s="802"/>
      <c r="DC294" s="802"/>
      <c r="DD294" s="802"/>
      <c r="DE294" s="802"/>
      <c r="DF294" s="802"/>
      <c r="DG294" s="802"/>
      <c r="DH294" s="802"/>
      <c r="DI294" s="802"/>
      <c r="DJ294" s="802"/>
      <c r="DK294" s="802"/>
      <c r="DL294" s="802"/>
      <c r="DM294" s="802"/>
      <c r="DN294" s="802"/>
      <c r="DO294" s="802"/>
      <c r="DP294" s="802"/>
      <c r="DQ294" s="802"/>
      <c r="DR294" s="802"/>
      <c r="DS294" s="802"/>
      <c r="DT294" s="802"/>
      <c r="DU294" s="802"/>
      <c r="DV294" s="802"/>
      <c r="DW294" s="802"/>
      <c r="DX294" s="802"/>
      <c r="DY294" s="802"/>
      <c r="DZ294" s="802"/>
      <c r="EA294" s="802"/>
      <c r="EB294" s="802"/>
      <c r="EC294" s="802"/>
      <c r="ED294" s="802"/>
      <c r="EE294" s="802"/>
      <c r="EF294" s="802"/>
      <c r="EG294" s="802"/>
      <c r="EH294" s="802"/>
      <c r="EI294" s="802"/>
      <c r="EJ294" s="802"/>
      <c r="EK294" s="802"/>
      <c r="EL294" s="802"/>
      <c r="EM294" s="802"/>
      <c r="EN294" s="802"/>
      <c r="EO294" s="802"/>
      <c r="EP294" s="802"/>
      <c r="EQ294" s="802"/>
      <c r="ER294" s="802"/>
      <c r="ES294" s="802"/>
      <c r="ET294" s="802"/>
      <c r="EU294" s="802"/>
      <c r="EV294" s="802"/>
      <c r="EW294" s="802"/>
      <c r="EX294" s="802"/>
      <c r="EY294" s="802"/>
      <c r="EZ294" s="802"/>
      <c r="FA294" s="802"/>
      <c r="FB294" s="802"/>
      <c r="FC294" s="802"/>
      <c r="FD294" s="802"/>
      <c r="FE294" s="802"/>
      <c r="FF294" s="802"/>
      <c r="FG294" s="802"/>
      <c r="FH294" s="802"/>
      <c r="FI294" s="802"/>
      <c r="FJ294" s="802"/>
      <c r="FK294" s="802"/>
      <c r="FL294" s="802"/>
      <c r="FM294" s="802"/>
      <c r="FN294" s="802"/>
      <c r="FO294" s="802"/>
      <c r="FP294" s="802"/>
      <c r="FQ294" s="802"/>
      <c r="FR294" s="802"/>
      <c r="FS294" s="802"/>
      <c r="FT294" s="802"/>
      <c r="FU294" s="802"/>
      <c r="FV294" s="802"/>
      <c r="FW294" s="802"/>
      <c r="FX294" s="802"/>
      <c r="FY294" s="802"/>
      <c r="FZ294" s="802"/>
      <c r="GA294" s="802"/>
      <c r="GB294" s="802"/>
      <c r="GC294" s="802"/>
      <c r="GD294" s="802"/>
      <c r="GE294" s="802"/>
      <c r="GF294" s="802"/>
      <c r="GG294" s="802"/>
      <c r="GH294" s="802"/>
      <c r="GI294" s="802"/>
      <c r="GJ294" s="802"/>
      <c r="GK294" s="802"/>
      <c r="GL294" s="802"/>
      <c r="GM294" s="802"/>
      <c r="GN294" s="802"/>
      <c r="GO294" s="802"/>
      <c r="GP294" s="802"/>
      <c r="GQ294" s="802"/>
      <c r="GR294" s="802"/>
      <c r="GS294" s="802"/>
      <c r="GT294" s="802"/>
      <c r="GU294" s="802"/>
      <c r="GV294" s="802"/>
      <c r="GW294" s="802"/>
      <c r="GX294" s="802"/>
      <c r="GY294" s="802"/>
      <c r="GZ294" s="802"/>
      <c r="HA294" s="802"/>
      <c r="HB294" s="802"/>
      <c r="HC294" s="802"/>
      <c r="HD294" s="802"/>
      <c r="HE294" s="802"/>
      <c r="HF294" s="802"/>
      <c r="HG294" s="802"/>
      <c r="HH294" s="802"/>
      <c r="HI294" s="802"/>
      <c r="HJ294" s="802"/>
      <c r="HK294" s="802"/>
      <c r="HL294" s="802"/>
      <c r="HM294" s="802"/>
      <c r="HN294" s="802"/>
      <c r="HO294" s="802"/>
      <c r="HP294" s="802"/>
      <c r="HQ294" s="802"/>
      <c r="HR294" s="802"/>
      <c r="HS294" s="802"/>
      <c r="HT294" s="802"/>
      <c r="HU294" s="802"/>
      <c r="HV294" s="802"/>
      <c r="HW294" s="802"/>
      <c r="HX294" s="802"/>
      <c r="HY294" s="802"/>
      <c r="HZ294" s="802"/>
      <c r="IA294" s="802"/>
      <c r="IB294" s="802"/>
      <c r="IC294" s="802"/>
      <c r="ID294" s="802"/>
      <c r="IE294" s="802"/>
      <c r="IF294" s="802"/>
      <c r="IG294" s="802"/>
      <c r="IH294" s="802"/>
      <c r="II294" s="802"/>
      <c r="IJ294" s="802"/>
      <c r="IK294" s="802"/>
      <c r="IL294" s="802"/>
      <c r="IM294" s="802"/>
      <c r="IN294" s="802"/>
      <c r="IO294" s="802"/>
      <c r="IP294" s="802"/>
      <c r="IQ294" s="802"/>
      <c r="IR294" s="802"/>
      <c r="IS294" s="802"/>
      <c r="IT294" s="802"/>
      <c r="IU294" s="802"/>
      <c r="IV294" s="802"/>
    </row>
    <row r="295" spans="1:256" ht="11.25" customHeight="1">
      <c r="B295" s="173" t="s">
        <v>2570</v>
      </c>
      <c r="D295" s="173"/>
      <c r="E295" s="173"/>
      <c r="F295" s="173"/>
      <c r="G295" s="173"/>
      <c r="H295" s="813"/>
      <c r="I295" s="162"/>
      <c r="J295" s="162"/>
      <c r="K295" s="162"/>
      <c r="L295" s="802"/>
      <c r="M295" s="802"/>
      <c r="N295" s="802"/>
      <c r="O295" s="802"/>
      <c r="P295" s="802"/>
      <c r="Q295" s="59"/>
    </row>
    <row r="296" spans="1:256" ht="11.45" customHeight="1">
      <c r="A296" s="1611"/>
      <c r="B296" s="1612"/>
      <c r="C296" s="1612"/>
      <c r="D296" s="1612"/>
      <c r="E296" s="1612"/>
      <c r="F296" s="1612"/>
      <c r="G296" s="1612"/>
      <c r="H296" s="1612"/>
      <c r="I296" s="1612"/>
      <c r="J296" s="1612"/>
      <c r="K296" s="1612"/>
      <c r="L296" s="1612"/>
      <c r="M296" s="1612"/>
      <c r="N296" s="1612"/>
      <c r="O296" s="1612"/>
      <c r="P296" s="1612"/>
      <c r="Q296" s="1613"/>
      <c r="R296" s="655" t="s">
        <v>1677</v>
      </c>
      <c r="S296" s="150"/>
      <c r="U296" s="168"/>
      <c r="V296" s="168"/>
      <c r="W296" s="168"/>
      <c r="X296" s="168"/>
      <c r="Y296" s="168"/>
      <c r="Z296" s="168"/>
      <c r="AA296" s="168"/>
      <c r="AB296" s="168"/>
      <c r="AC296" s="168"/>
      <c r="AD296" s="168"/>
      <c r="AE296" s="656"/>
    </row>
    <row r="297" spans="1:256" ht="11.25" customHeight="1">
      <c r="B297" s="169" t="s">
        <v>2571</v>
      </c>
      <c r="C297" s="170"/>
      <c r="D297" s="809"/>
      <c r="E297" s="809"/>
      <c r="F297" s="809"/>
      <c r="G297" s="809"/>
      <c r="H297" s="809"/>
      <c r="I297" s="809"/>
      <c r="J297" s="809"/>
      <c r="K297" s="809"/>
      <c r="L297" s="809"/>
      <c r="M297" s="809"/>
      <c r="N297" s="809"/>
      <c r="O297" s="809"/>
      <c r="P297" s="809"/>
      <c r="Q297" s="809"/>
    </row>
    <row r="298" spans="1:256" ht="11.45" customHeight="1">
      <c r="A298" s="1048"/>
      <c r="B298" s="1049"/>
      <c r="C298" s="1049"/>
      <c r="D298" s="1049"/>
      <c r="E298" s="1049"/>
      <c r="F298" s="1049"/>
      <c r="G298" s="1049"/>
      <c r="H298" s="1049"/>
      <c r="I298" s="1049"/>
      <c r="J298" s="1049"/>
      <c r="K298" s="1049"/>
      <c r="L298" s="1049"/>
      <c r="M298" s="1049"/>
      <c r="N298" s="1049"/>
      <c r="O298" s="1049"/>
      <c r="P298" s="1049"/>
      <c r="Q298" s="1050"/>
    </row>
    <row r="299" spans="1:256" ht="3" customHeight="1">
      <c r="A299" s="802"/>
      <c r="B299" s="162"/>
      <c r="C299" s="809"/>
      <c r="D299" s="809"/>
      <c r="E299" s="809"/>
      <c r="F299" s="809"/>
      <c r="G299" s="809"/>
      <c r="H299" s="809"/>
      <c r="I299" s="809"/>
      <c r="J299" s="809"/>
      <c r="K299" s="809"/>
      <c r="L299" s="809"/>
      <c r="M299" s="809"/>
      <c r="N299" s="809"/>
      <c r="O299" s="809"/>
      <c r="P299" s="809"/>
      <c r="Q299" s="802"/>
    </row>
    <row r="300" spans="1:256" ht="13.9" customHeight="1">
      <c r="A300" s="811">
        <v>20</v>
      </c>
      <c r="B300" s="811" t="s">
        <v>3502</v>
      </c>
      <c r="C300" s="811"/>
      <c r="D300" s="809"/>
      <c r="E300" s="809"/>
      <c r="F300" s="809"/>
      <c r="G300" s="809"/>
      <c r="H300" s="809"/>
      <c r="O300" s="163" t="s">
        <v>2572</v>
      </c>
      <c r="P300" s="1051"/>
      <c r="Q300" s="1054"/>
    </row>
    <row r="301" spans="1:256" ht="3" customHeight="1"/>
    <row r="302" spans="1:256" ht="11.45" customHeight="1">
      <c r="B302" s="177" t="s">
        <v>3082</v>
      </c>
      <c r="P302" s="1607" t="s">
        <v>4073</v>
      </c>
      <c r="Q302" s="210"/>
    </row>
    <row r="303" spans="1:256" ht="11.45" customHeight="1">
      <c r="B303" s="177" t="s">
        <v>3083</v>
      </c>
      <c r="P303" s="1607" t="s">
        <v>4073</v>
      </c>
      <c r="Q303" s="210"/>
    </row>
    <row r="304" spans="1:256" ht="11.45" customHeight="1">
      <c r="B304" s="177" t="s">
        <v>774</v>
      </c>
      <c r="L304" s="1696"/>
      <c r="M304" s="1697"/>
      <c r="N304" s="1697"/>
      <c r="O304" s="1698"/>
    </row>
    <row r="305" spans="1:31" ht="11.45" customHeight="1">
      <c r="B305" s="542" t="s">
        <v>3084</v>
      </c>
      <c r="L305" s="1063"/>
      <c r="M305" s="1064"/>
      <c r="N305" s="1064"/>
      <c r="O305" s="1065"/>
    </row>
    <row r="306" spans="1:31" ht="11.25" customHeight="1">
      <c r="B306" s="173" t="s">
        <v>2570</v>
      </c>
      <c r="D306" s="173"/>
      <c r="E306" s="173"/>
      <c r="F306" s="173"/>
      <c r="G306" s="173"/>
      <c r="H306" s="813"/>
      <c r="I306" s="162"/>
      <c r="J306" s="162"/>
      <c r="K306" s="162"/>
      <c r="L306" s="802"/>
      <c r="M306" s="802"/>
      <c r="N306" s="802"/>
      <c r="O306" s="802"/>
      <c r="P306" s="802"/>
      <c r="Q306" s="59"/>
    </row>
    <row r="307" spans="1:31" ht="27" customHeight="1">
      <c r="A307" s="1611" t="s">
        <v>4190</v>
      </c>
      <c r="B307" s="1612"/>
      <c r="C307" s="1612"/>
      <c r="D307" s="1612"/>
      <c r="E307" s="1612"/>
      <c r="F307" s="1612"/>
      <c r="G307" s="1612"/>
      <c r="H307" s="1612"/>
      <c r="I307" s="1612"/>
      <c r="J307" s="1612"/>
      <c r="K307" s="1612"/>
      <c r="L307" s="1612"/>
      <c r="M307" s="1612"/>
      <c r="N307" s="1612"/>
      <c r="O307" s="1612"/>
      <c r="P307" s="1612"/>
      <c r="Q307" s="1613"/>
      <c r="R307" s="614" t="s">
        <v>1677</v>
      </c>
      <c r="S307" s="615"/>
      <c r="U307" s="168"/>
      <c r="V307" s="168"/>
      <c r="W307" s="168"/>
      <c r="X307" s="168"/>
      <c r="Y307" s="168"/>
      <c r="Z307" s="168"/>
      <c r="AA307" s="168"/>
      <c r="AB307" s="168"/>
      <c r="AC307" s="168"/>
      <c r="AD307" s="168"/>
      <c r="AE307" s="656"/>
    </row>
    <row r="308" spans="1:31" ht="11.25" customHeight="1">
      <c r="B308" s="169" t="s">
        <v>2571</v>
      </c>
      <c r="C308" s="170"/>
      <c r="D308" s="809"/>
      <c r="E308" s="809"/>
      <c r="F308" s="809"/>
      <c r="G308" s="809"/>
      <c r="H308" s="809"/>
      <c r="I308" s="809"/>
      <c r="J308" s="809"/>
      <c r="K308" s="809"/>
      <c r="L308" s="809"/>
      <c r="M308" s="809"/>
      <c r="N308" s="809"/>
      <c r="O308" s="809"/>
      <c r="P308" s="809"/>
      <c r="Q308" s="809"/>
    </row>
    <row r="309" spans="1:31" ht="13.15" customHeight="1">
      <c r="A309" s="1048"/>
      <c r="B309" s="1049"/>
      <c r="C309" s="1049"/>
      <c r="D309" s="1049"/>
      <c r="E309" s="1049"/>
      <c r="F309" s="1049"/>
      <c r="G309" s="1049"/>
      <c r="H309" s="1049"/>
      <c r="I309" s="1049"/>
      <c r="J309" s="1049"/>
      <c r="K309" s="1049"/>
      <c r="L309" s="1049"/>
      <c r="M309" s="1049"/>
      <c r="N309" s="1049"/>
      <c r="O309" s="1049"/>
      <c r="P309" s="1049"/>
      <c r="Q309" s="1050"/>
    </row>
    <row r="310" spans="1:31" ht="4.1500000000000004" customHeight="1">
      <c r="B310" s="162"/>
      <c r="C310" s="809"/>
      <c r="D310" s="809"/>
      <c r="E310" s="809"/>
      <c r="F310" s="809"/>
      <c r="G310" s="809"/>
      <c r="H310" s="809"/>
      <c r="I310" s="809"/>
      <c r="J310" s="809"/>
      <c r="K310" s="809"/>
      <c r="L310" s="809"/>
      <c r="M310" s="809"/>
      <c r="Q310" s="59"/>
    </row>
    <row r="311" spans="1:31" ht="13.9" customHeight="1">
      <c r="A311" s="811">
        <v>21</v>
      </c>
      <c r="B311" s="5" t="s">
        <v>3503</v>
      </c>
      <c r="C311" s="5"/>
      <c r="D311" s="104"/>
      <c r="E311" s="809"/>
      <c r="F311" s="809"/>
      <c r="G311" s="809"/>
      <c r="H311" s="809"/>
      <c r="I311" s="809"/>
      <c r="J311" s="809"/>
      <c r="K311" s="809"/>
      <c r="L311" s="809"/>
      <c r="M311" s="809"/>
      <c r="O311" s="163" t="s">
        <v>2572</v>
      </c>
      <c r="P311" s="1051"/>
      <c r="Q311" s="1054"/>
    </row>
    <row r="312" spans="1:31" ht="3" customHeight="1"/>
    <row r="313" spans="1:31" ht="22.15" customHeight="1">
      <c r="B313" s="174" t="s">
        <v>2694</v>
      </c>
      <c r="C313" s="1045" t="s">
        <v>3761</v>
      </c>
      <c r="D313" s="1045"/>
      <c r="E313" s="1045"/>
      <c r="F313" s="1045"/>
      <c r="G313" s="1045"/>
      <c r="H313" s="1045"/>
      <c r="I313" s="1045"/>
      <c r="J313" s="1045"/>
      <c r="K313" s="1045"/>
      <c r="L313" s="1045"/>
      <c r="M313" s="1045"/>
      <c r="N313" s="1045"/>
      <c r="O313" s="199" t="s">
        <v>2694</v>
      </c>
      <c r="P313" s="1607" t="s">
        <v>4073</v>
      </c>
      <c r="Q313" s="210"/>
    </row>
    <row r="314" spans="1:31" ht="11.45" customHeight="1">
      <c r="B314" s="174" t="s">
        <v>2697</v>
      </c>
      <c r="C314" s="1045" t="s">
        <v>3762</v>
      </c>
      <c r="D314" s="1045"/>
      <c r="E314" s="1045"/>
      <c r="F314" s="1045"/>
      <c r="G314" s="1045"/>
      <c r="H314" s="1045"/>
      <c r="I314" s="1045"/>
      <c r="J314" s="1045"/>
      <c r="K314" s="1045"/>
      <c r="L314" s="1045"/>
      <c r="M314" s="1045"/>
      <c r="N314" s="1045"/>
      <c r="O314" s="199" t="s">
        <v>2697</v>
      </c>
      <c r="P314" s="1607" t="s">
        <v>4073</v>
      </c>
      <c r="Q314" s="210"/>
    </row>
    <row r="315" spans="1:31" ht="11.45" customHeight="1">
      <c r="B315" s="174" t="s">
        <v>1054</v>
      </c>
      <c r="C315" s="179" t="s">
        <v>3522</v>
      </c>
      <c r="D315" s="179"/>
      <c r="E315" s="179"/>
      <c r="F315" s="179"/>
      <c r="G315" s="179"/>
      <c r="H315" s="179"/>
      <c r="I315" s="179"/>
      <c r="J315" s="179"/>
      <c r="K315" s="179"/>
      <c r="L315" s="179"/>
      <c r="M315" s="179"/>
      <c r="O315" s="199" t="s">
        <v>1054</v>
      </c>
      <c r="P315" s="1607" t="s">
        <v>4073</v>
      </c>
      <c r="Q315" s="210"/>
    </row>
    <row r="316" spans="1:31">
      <c r="B316" s="174" t="s">
        <v>2830</v>
      </c>
      <c r="C316" s="1045" t="s">
        <v>3957</v>
      </c>
      <c r="D316" s="1045"/>
      <c r="E316" s="1045"/>
      <c r="F316" s="1045"/>
      <c r="G316" s="1045"/>
      <c r="H316" s="1045"/>
      <c r="I316" s="1045"/>
      <c r="J316" s="1045"/>
      <c r="K316" s="1045"/>
      <c r="L316" s="1045"/>
      <c r="M316" s="1045"/>
      <c r="N316" s="1045"/>
      <c r="O316" s="199" t="s">
        <v>2830</v>
      </c>
      <c r="P316" s="1607" t="s">
        <v>4074</v>
      </c>
      <c r="Q316" s="210"/>
    </row>
    <row r="317" spans="1:31" ht="11.25" customHeight="1">
      <c r="B317" s="173" t="s">
        <v>2570</v>
      </c>
      <c r="D317" s="173"/>
      <c r="E317" s="173"/>
      <c r="F317" s="173"/>
      <c r="G317" s="173"/>
      <c r="H317" s="813"/>
      <c r="I317" s="162"/>
      <c r="J317" s="162"/>
      <c r="K317" s="162"/>
      <c r="L317" s="802"/>
      <c r="M317" s="802"/>
      <c r="N317" s="802"/>
      <c r="O317" s="802"/>
      <c r="P317" s="802"/>
      <c r="Q317" s="59"/>
    </row>
    <row r="318" spans="1:31" ht="11.45" customHeight="1">
      <c r="A318" s="1611" t="s">
        <v>4134</v>
      </c>
      <c r="B318" s="1612"/>
      <c r="C318" s="1612"/>
      <c r="D318" s="1612"/>
      <c r="E318" s="1612"/>
      <c r="F318" s="1612"/>
      <c r="G318" s="1612"/>
      <c r="H318" s="1612"/>
      <c r="I318" s="1612"/>
      <c r="J318" s="1612"/>
      <c r="K318" s="1612"/>
      <c r="L318" s="1612"/>
      <c r="M318" s="1612"/>
      <c r="N318" s="1612"/>
      <c r="O318" s="1612"/>
      <c r="P318" s="1612"/>
      <c r="Q318" s="1613"/>
      <c r="U318" s="168"/>
      <c r="V318" s="168"/>
      <c r="W318" s="168"/>
      <c r="X318" s="168"/>
      <c r="Y318" s="168"/>
      <c r="Z318" s="168"/>
      <c r="AA318" s="168"/>
      <c r="AB318" s="168"/>
      <c r="AC318" s="168"/>
      <c r="AD318" s="168"/>
      <c r="AE318" s="656"/>
    </row>
    <row r="319" spans="1:31" ht="11.25" customHeight="1">
      <c r="B319" s="169" t="s">
        <v>2571</v>
      </c>
      <c r="C319" s="170"/>
      <c r="D319" s="809"/>
      <c r="E319" s="809"/>
      <c r="F319" s="809"/>
      <c r="G319" s="809"/>
      <c r="H319" s="809"/>
      <c r="I319" s="809"/>
      <c r="J319" s="809"/>
      <c r="K319" s="809"/>
      <c r="L319" s="809"/>
      <c r="M319" s="809"/>
      <c r="N319" s="809"/>
      <c r="O319" s="809"/>
      <c r="P319" s="809"/>
      <c r="Q319" s="809"/>
    </row>
    <row r="320" spans="1:31" ht="11.45" customHeight="1">
      <c r="A320" s="1048"/>
      <c r="B320" s="1049"/>
      <c r="C320" s="1049"/>
      <c r="D320" s="1049"/>
      <c r="E320" s="1049"/>
      <c r="F320" s="1049"/>
      <c r="G320" s="1049"/>
      <c r="H320" s="1049"/>
      <c r="I320" s="1049"/>
      <c r="J320" s="1049"/>
      <c r="K320" s="1049"/>
      <c r="L320" s="1049"/>
      <c r="M320" s="1049"/>
      <c r="N320" s="1049"/>
      <c r="O320" s="1049"/>
      <c r="P320" s="1049"/>
      <c r="Q320" s="1050"/>
    </row>
    <row r="321" spans="1:32" ht="2.25" customHeight="1">
      <c r="A321" s="802"/>
      <c r="B321" s="162"/>
      <c r="C321" s="809"/>
      <c r="D321" s="809"/>
      <c r="E321" s="809"/>
      <c r="F321" s="809"/>
      <c r="G321" s="809"/>
      <c r="H321" s="809"/>
      <c r="I321" s="809"/>
      <c r="J321" s="809"/>
      <c r="K321" s="809"/>
      <c r="L321" s="809"/>
      <c r="M321" s="809"/>
      <c r="N321" s="809"/>
      <c r="O321" s="809"/>
      <c r="P321" s="809"/>
      <c r="Q321" s="59"/>
      <c r="R321" s="9"/>
      <c r="S321" s="9"/>
    </row>
    <row r="322" spans="1:32" ht="13.9" customHeight="1">
      <c r="A322" s="811">
        <v>22</v>
      </c>
      <c r="B322" s="5" t="s">
        <v>3556</v>
      </c>
      <c r="C322" s="5"/>
      <c r="D322" s="5"/>
      <c r="E322" s="5"/>
      <c r="F322" s="5"/>
      <c r="G322" s="5"/>
      <c r="H322" s="809"/>
      <c r="I322" s="809"/>
      <c r="J322" s="809"/>
      <c r="K322" s="809"/>
      <c r="L322" s="809"/>
      <c r="M322" s="809"/>
      <c r="O322" s="163" t="s">
        <v>2572</v>
      </c>
      <c r="P322" s="1051"/>
      <c r="Q322" s="1054"/>
    </row>
    <row r="323" spans="1:32" ht="12" customHeight="1">
      <c r="B323" s="54" t="s">
        <v>2694</v>
      </c>
      <c r="C323" s="143" t="s">
        <v>3551</v>
      </c>
      <c r="D323" s="814"/>
      <c r="E323" s="814"/>
      <c r="F323" s="814"/>
      <c r="G323" s="814"/>
      <c r="H323" s="814"/>
      <c r="I323" s="49"/>
      <c r="J323" s="654" t="s">
        <v>2694</v>
      </c>
      <c r="K323" s="1672" t="s">
        <v>4089</v>
      </c>
      <c r="L323" s="1673"/>
      <c r="M323" s="1673"/>
      <c r="N323" s="1673"/>
      <c r="O323" s="1673"/>
      <c r="P323" s="1674"/>
      <c r="Q323" s="210"/>
    </row>
    <row r="324" spans="1:32" ht="22.5" customHeight="1">
      <c r="B324" s="174" t="s">
        <v>2697</v>
      </c>
      <c r="C324" s="1027" t="s">
        <v>3550</v>
      </c>
      <c r="D324" s="1027"/>
      <c r="E324" s="1027"/>
      <c r="F324" s="1027"/>
      <c r="G324" s="1027"/>
      <c r="H324" s="1027"/>
      <c r="I324" s="1027"/>
      <c r="J324" s="1027"/>
      <c r="K324" s="1027"/>
      <c r="L324" s="1027"/>
      <c r="M324" s="1027"/>
      <c r="N324" s="1027"/>
      <c r="O324" s="199" t="s">
        <v>2697</v>
      </c>
      <c r="P324" s="1657" t="s">
        <v>4073</v>
      </c>
      <c r="Q324" s="210"/>
    </row>
    <row r="325" spans="1:32" ht="11.45" customHeight="1">
      <c r="B325" s="54" t="s">
        <v>1054</v>
      </c>
      <c r="C325" s="61" t="s">
        <v>3552</v>
      </c>
      <c r="D325" s="61"/>
      <c r="E325" s="61"/>
      <c r="F325" s="61"/>
      <c r="G325" s="61"/>
      <c r="H325" s="61"/>
      <c r="I325" s="61"/>
      <c r="J325" s="61"/>
      <c r="K325" s="61"/>
      <c r="L325" s="38"/>
      <c r="M325" s="38"/>
      <c r="O325" s="654" t="s">
        <v>1054</v>
      </c>
      <c r="P325" s="1607" t="s">
        <v>4073</v>
      </c>
      <c r="Q325" s="210"/>
    </row>
    <row r="326" spans="1:32" ht="11.45" customHeight="1">
      <c r="B326" s="54" t="s">
        <v>2830</v>
      </c>
      <c r="C326" s="61" t="s">
        <v>3553</v>
      </c>
      <c r="D326" s="61"/>
      <c r="E326" s="61"/>
      <c r="F326" s="61"/>
      <c r="G326" s="61"/>
      <c r="H326" s="61"/>
      <c r="I326" s="61"/>
      <c r="J326" s="61"/>
      <c r="K326" s="61"/>
      <c r="L326" s="61"/>
      <c r="M326" s="61"/>
      <c r="O326" s="654" t="s">
        <v>2830</v>
      </c>
      <c r="P326" s="1607" t="s">
        <v>4073</v>
      </c>
      <c r="Q326" s="210"/>
    </row>
    <row r="327" spans="1:32" s="164" customFormat="1" ht="11.45" customHeight="1">
      <c r="B327" s="174" t="s">
        <v>2428</v>
      </c>
      <c r="C327" s="1045" t="s">
        <v>3558</v>
      </c>
      <c r="D327" s="1045"/>
      <c r="E327" s="1045"/>
      <c r="F327" s="1045"/>
      <c r="G327" s="1045"/>
      <c r="H327" s="1045"/>
      <c r="I327" s="1045"/>
      <c r="J327" s="1045"/>
      <c r="K327" s="1045"/>
      <c r="L327" s="1045"/>
      <c r="M327" s="1045"/>
      <c r="N327" s="1045"/>
      <c r="O327" s="199" t="s">
        <v>2428</v>
      </c>
      <c r="P327" s="1657" t="s">
        <v>4073</v>
      </c>
      <c r="Q327" s="323"/>
      <c r="AE327" s="657"/>
      <c r="AF327" s="657"/>
    </row>
    <row r="328" spans="1:32" s="164" customFormat="1" ht="11.45" customHeight="1">
      <c r="B328" s="174" t="s">
        <v>2429</v>
      </c>
      <c r="C328" s="1045" t="s">
        <v>3568</v>
      </c>
      <c r="D328" s="1045"/>
      <c r="E328" s="1045"/>
      <c r="F328" s="1045"/>
      <c r="G328" s="1045"/>
      <c r="H328" s="1045"/>
      <c r="I328" s="1045"/>
      <c r="J328" s="1045"/>
      <c r="K328" s="1045"/>
      <c r="L328" s="1045"/>
      <c r="M328" s="1045"/>
      <c r="N328" s="1045"/>
      <c r="O328" s="199" t="s">
        <v>2429</v>
      </c>
      <c r="P328" s="1657" t="s">
        <v>4073</v>
      </c>
      <c r="Q328" s="323"/>
      <c r="AE328" s="657"/>
      <c r="AF328" s="657"/>
    </row>
    <row r="329" spans="1:32" ht="11.45" customHeight="1">
      <c r="B329" s="54" t="s">
        <v>2657</v>
      </c>
      <c r="C329" s="61" t="s">
        <v>3554</v>
      </c>
      <c r="D329" s="61"/>
      <c r="E329" s="61"/>
      <c r="F329" s="61"/>
      <c r="G329" s="61"/>
      <c r="H329" s="61"/>
      <c r="I329" s="61"/>
      <c r="J329" s="61"/>
      <c r="K329" s="61"/>
      <c r="L329" s="61"/>
      <c r="M329" s="61"/>
      <c r="O329" s="654" t="s">
        <v>2657</v>
      </c>
      <c r="P329" s="1607" t="s">
        <v>4073</v>
      </c>
      <c r="Q329" s="210"/>
    </row>
    <row r="330" spans="1:32" ht="11.25" customHeight="1">
      <c r="B330" s="173" t="s">
        <v>2570</v>
      </c>
      <c r="D330" s="173"/>
      <c r="E330" s="173"/>
      <c r="F330" s="173"/>
      <c r="G330" s="173"/>
      <c r="H330" s="813"/>
      <c r="I330" s="162"/>
      <c r="J330" s="162"/>
      <c r="K330" s="162"/>
      <c r="L330" s="802"/>
      <c r="M330" s="802"/>
      <c r="N330" s="802"/>
      <c r="O330" s="802"/>
      <c r="P330" s="802"/>
      <c r="Q330" s="59"/>
    </row>
    <row r="331" spans="1:32" ht="24" customHeight="1">
      <c r="A331" s="1611" t="s">
        <v>4191</v>
      </c>
      <c r="B331" s="1612"/>
      <c r="C331" s="1612"/>
      <c r="D331" s="1612"/>
      <c r="E331" s="1612"/>
      <c r="F331" s="1612"/>
      <c r="G331" s="1612"/>
      <c r="H331" s="1612"/>
      <c r="I331" s="1612"/>
      <c r="J331" s="1612"/>
      <c r="K331" s="1612"/>
      <c r="L331" s="1612"/>
      <c r="M331" s="1612"/>
      <c r="N331" s="1612"/>
      <c r="O331" s="1612"/>
      <c r="P331" s="1612"/>
      <c r="Q331" s="1613"/>
      <c r="U331" s="168"/>
      <c r="V331" s="168"/>
      <c r="W331" s="168"/>
      <c r="X331" s="168"/>
      <c r="Y331" s="168"/>
      <c r="Z331" s="168"/>
      <c r="AA331" s="168"/>
      <c r="AB331" s="168"/>
      <c r="AC331" s="168"/>
      <c r="AD331" s="168"/>
      <c r="AE331" s="656"/>
    </row>
    <row r="332" spans="1:32" ht="11.25" customHeight="1">
      <c r="B332" s="169" t="s">
        <v>2571</v>
      </c>
      <c r="C332" s="170"/>
      <c r="D332" s="809"/>
      <c r="E332" s="809"/>
      <c r="F332" s="809"/>
      <c r="G332" s="809"/>
      <c r="H332" s="809"/>
      <c r="I332" s="809"/>
      <c r="J332" s="809"/>
      <c r="K332" s="809"/>
      <c r="L332" s="809"/>
      <c r="M332" s="809"/>
      <c r="N332" s="809"/>
      <c r="O332" s="809"/>
      <c r="P332" s="809"/>
      <c r="Q332" s="809"/>
    </row>
    <row r="333" spans="1:32" ht="11.45" customHeight="1">
      <c r="A333" s="1048"/>
      <c r="B333" s="1049"/>
      <c r="C333" s="1049"/>
      <c r="D333" s="1049"/>
      <c r="E333" s="1049"/>
      <c r="F333" s="1049"/>
      <c r="G333" s="1049"/>
      <c r="H333" s="1049"/>
      <c r="I333" s="1049"/>
      <c r="J333" s="1049"/>
      <c r="K333" s="1049"/>
      <c r="L333" s="1049"/>
      <c r="M333" s="1049"/>
      <c r="N333" s="1049"/>
      <c r="O333" s="1049"/>
      <c r="P333" s="1049"/>
      <c r="Q333" s="1050"/>
    </row>
    <row r="334" spans="1:32" ht="6" customHeight="1">
      <c r="A334" s="802"/>
      <c r="B334" s="162"/>
      <c r="C334" s="809"/>
      <c r="D334" s="809"/>
      <c r="E334" s="809"/>
      <c r="F334" s="809"/>
      <c r="G334" s="809"/>
      <c r="H334" s="809"/>
      <c r="I334" s="809"/>
      <c r="J334" s="809"/>
      <c r="K334" s="809"/>
      <c r="L334" s="809"/>
      <c r="M334" s="809"/>
      <c r="Q334" s="59"/>
    </row>
    <row r="335" spans="1:32" ht="13.9" customHeight="1">
      <c r="A335" s="811">
        <v>23</v>
      </c>
      <c r="B335" s="5" t="s">
        <v>3578</v>
      </c>
      <c r="C335" s="5"/>
      <c r="D335" s="5"/>
      <c r="E335" s="5"/>
      <c r="F335" s="5"/>
      <c r="G335" s="5"/>
      <c r="H335" s="809"/>
      <c r="I335" s="809"/>
      <c r="J335" s="809"/>
      <c r="O335" s="163" t="s">
        <v>2572</v>
      </c>
      <c r="P335" s="1051"/>
      <c r="Q335" s="1054"/>
    </row>
    <row r="336" spans="1:32" ht="13.9" customHeight="1">
      <c r="A336" s="811"/>
      <c r="B336" s="131" t="s">
        <v>3508</v>
      </c>
      <c r="C336" s="5"/>
      <c r="D336" s="5"/>
      <c r="E336" s="5"/>
      <c r="F336" s="5"/>
      <c r="G336" s="5"/>
      <c r="H336" s="809"/>
      <c r="I336" s="809"/>
      <c r="J336" s="809"/>
      <c r="S336" s="691" t="s">
        <v>3739</v>
      </c>
    </row>
    <row r="337" spans="2:32" ht="11.45" customHeight="1">
      <c r="B337" s="136" t="s">
        <v>2694</v>
      </c>
      <c r="C337" s="542" t="s">
        <v>3510</v>
      </c>
      <c r="D337" s="64"/>
      <c r="E337" s="814"/>
      <c r="F337" s="814"/>
      <c r="G337" s="814"/>
      <c r="H337" s="814"/>
      <c r="I337" s="49"/>
      <c r="O337" s="654" t="s">
        <v>2694</v>
      </c>
      <c r="S337" s="693" t="str">
        <f>IF(OR(P338="Yes",P339="Yes",P340="Yes",P341="Yes",P342="Yes",P343="Yes",P344="Yes"), "Yes","")</f>
        <v/>
      </c>
    </row>
    <row r="338" spans="2:32" s="164" customFormat="1" ht="11.25" customHeight="1">
      <c r="B338" s="183" t="s">
        <v>2430</v>
      </c>
      <c r="C338" s="1056" t="s">
        <v>3745</v>
      </c>
      <c r="D338" s="1056"/>
      <c r="E338" s="1056"/>
      <c r="F338" s="1056"/>
      <c r="G338" s="1056"/>
      <c r="H338" s="1056"/>
      <c r="I338" s="1056"/>
      <c r="J338" s="1056"/>
      <c r="K338" s="1056"/>
      <c r="L338" s="1056"/>
      <c r="M338" s="1056"/>
      <c r="N338" s="1056"/>
      <c r="O338" s="183" t="s">
        <v>2430</v>
      </c>
      <c r="P338" s="1657"/>
      <c r="Q338" s="323"/>
      <c r="AE338" s="657"/>
      <c r="AF338" s="657"/>
    </row>
    <row r="339" spans="2:32" s="164" customFormat="1" ht="21.75" customHeight="1">
      <c r="B339" s="183" t="s">
        <v>2431</v>
      </c>
      <c r="C339" s="1056" t="s">
        <v>3509</v>
      </c>
      <c r="D339" s="1056"/>
      <c r="E339" s="1056"/>
      <c r="F339" s="1056"/>
      <c r="G339" s="1056"/>
      <c r="H339" s="1056"/>
      <c r="I339" s="1056"/>
      <c r="J339" s="1056"/>
      <c r="K339" s="1056"/>
      <c r="L339" s="1056"/>
      <c r="M339" s="1056"/>
      <c r="N339" s="1056"/>
      <c r="O339" s="183" t="s">
        <v>2431</v>
      </c>
      <c r="P339" s="1657"/>
      <c r="Q339" s="323"/>
      <c r="AE339" s="657"/>
      <c r="AF339" s="657"/>
    </row>
    <row r="340" spans="2:32" s="164" customFormat="1" ht="21.75" customHeight="1">
      <c r="B340" s="183" t="s">
        <v>2432</v>
      </c>
      <c r="C340" s="1053" t="s">
        <v>3734</v>
      </c>
      <c r="D340" s="1053"/>
      <c r="E340" s="1053"/>
      <c r="F340" s="1053"/>
      <c r="G340" s="1053"/>
      <c r="H340" s="1053"/>
      <c r="I340" s="1053"/>
      <c r="J340" s="1053"/>
      <c r="K340" s="1053"/>
      <c r="L340" s="1053"/>
      <c r="M340" s="1053"/>
      <c r="N340" s="1053"/>
      <c r="O340" s="183" t="s">
        <v>2432</v>
      </c>
      <c r="P340" s="1657"/>
      <c r="Q340" s="323"/>
      <c r="AE340" s="657"/>
      <c r="AF340" s="657"/>
    </row>
    <row r="341" spans="2:32" s="164" customFormat="1" ht="21.75" customHeight="1">
      <c r="B341" s="183" t="s">
        <v>3119</v>
      </c>
      <c r="C341" s="1053" t="s">
        <v>3735</v>
      </c>
      <c r="D341" s="1053"/>
      <c r="E341" s="1053"/>
      <c r="F341" s="1053"/>
      <c r="G341" s="1053"/>
      <c r="H341" s="1053"/>
      <c r="I341" s="1053"/>
      <c r="J341" s="1053"/>
      <c r="K341" s="1053"/>
      <c r="L341" s="1053"/>
      <c r="M341" s="1053"/>
      <c r="N341" s="1053"/>
      <c r="O341" s="183" t="s">
        <v>3119</v>
      </c>
      <c r="P341" s="1657"/>
      <c r="Q341" s="323"/>
      <c r="AE341" s="657"/>
      <c r="AF341" s="657"/>
    </row>
    <row r="342" spans="2:32" s="164" customFormat="1" ht="33.75" customHeight="1">
      <c r="B342" s="183" t="s">
        <v>2009</v>
      </c>
      <c r="C342" s="1053" t="s">
        <v>3736</v>
      </c>
      <c r="D342" s="1053"/>
      <c r="E342" s="1053"/>
      <c r="F342" s="1053"/>
      <c r="G342" s="1053"/>
      <c r="H342" s="1053"/>
      <c r="I342" s="1053"/>
      <c r="J342" s="1053"/>
      <c r="K342" s="1053"/>
      <c r="L342" s="1053"/>
      <c r="M342" s="1053"/>
      <c r="N342" s="1053"/>
      <c r="O342" s="183" t="s">
        <v>2009</v>
      </c>
      <c r="P342" s="1657"/>
      <c r="Q342" s="323"/>
      <c r="AE342" s="657"/>
      <c r="AF342" s="657"/>
    </row>
    <row r="343" spans="2:32" s="164" customFormat="1" ht="21.75" customHeight="1">
      <c r="B343" s="199" t="s">
        <v>2010</v>
      </c>
      <c r="C343" s="1053" t="s">
        <v>3737</v>
      </c>
      <c r="D343" s="1053"/>
      <c r="E343" s="1053"/>
      <c r="F343" s="1053"/>
      <c r="G343" s="1053"/>
      <c r="H343" s="1053"/>
      <c r="I343" s="1053"/>
      <c r="J343" s="1053"/>
      <c r="K343" s="1053"/>
      <c r="L343" s="1053"/>
      <c r="M343" s="1053"/>
      <c r="N343" s="1053"/>
      <c r="O343" s="199" t="s">
        <v>2010</v>
      </c>
      <c r="P343" s="1657"/>
      <c r="Q343" s="323"/>
      <c r="AE343" s="657"/>
      <c r="AF343" s="657"/>
    </row>
    <row r="344" spans="2:32" s="164" customFormat="1" ht="21.75" customHeight="1">
      <c r="B344" s="199" t="s">
        <v>104</v>
      </c>
      <c r="C344" s="1053" t="s">
        <v>3738</v>
      </c>
      <c r="D344" s="1053"/>
      <c r="E344" s="1053"/>
      <c r="F344" s="1053"/>
      <c r="G344" s="1053"/>
      <c r="H344" s="1053"/>
      <c r="I344" s="1053"/>
      <c r="J344" s="1053"/>
      <c r="K344" s="1053"/>
      <c r="L344" s="1053"/>
      <c r="M344" s="1053"/>
      <c r="N344" s="1053"/>
      <c r="O344" s="199" t="s">
        <v>104</v>
      </c>
      <c r="P344" s="1657"/>
      <c r="Q344" s="323"/>
      <c r="AE344" s="657"/>
      <c r="AF344" s="657"/>
    </row>
    <row r="345" spans="2:32" ht="3" customHeight="1">
      <c r="B345" s="174"/>
      <c r="C345" s="607"/>
      <c r="D345" s="607"/>
      <c r="E345" s="607"/>
      <c r="F345" s="607"/>
      <c r="G345" s="607"/>
      <c r="H345" s="607"/>
      <c r="I345" s="607"/>
      <c r="J345" s="607"/>
      <c r="K345" s="607"/>
      <c r="L345" s="607"/>
      <c r="M345" s="607"/>
      <c r="N345" s="607"/>
      <c r="O345" s="607"/>
      <c r="P345" s="607"/>
      <c r="Q345" s="607"/>
      <c r="R345" s="607"/>
    </row>
    <row r="346" spans="2:32">
      <c r="B346" s="136" t="s">
        <v>2697</v>
      </c>
      <c r="C346" s="271" t="s">
        <v>3511</v>
      </c>
      <c r="D346" s="165"/>
      <c r="E346" s="165"/>
      <c r="F346" s="165"/>
      <c r="G346" s="165"/>
      <c r="H346" s="165"/>
      <c r="I346" s="165"/>
      <c r="J346" s="165"/>
      <c r="K346" s="165"/>
      <c r="L346" s="165"/>
      <c r="M346" s="165"/>
      <c r="N346" s="165"/>
      <c r="O346" s="654" t="s">
        <v>2697</v>
      </c>
      <c r="P346" s="607"/>
      <c r="Q346" s="607"/>
    </row>
    <row r="347" spans="2:32" ht="11.25" customHeight="1">
      <c r="B347" s="78" t="s">
        <v>2430</v>
      </c>
      <c r="C347" s="580" t="s">
        <v>3512</v>
      </c>
      <c r="E347" s="580"/>
      <c r="F347" s="580"/>
      <c r="G347" s="580"/>
      <c r="H347" s="580"/>
      <c r="I347" s="580"/>
      <c r="J347" s="580"/>
      <c r="K347" s="580"/>
      <c r="L347" s="580"/>
      <c r="M347" s="580"/>
      <c r="N347" s="609"/>
      <c r="P347" s="78" t="s">
        <v>2430</v>
      </c>
      <c r="Q347" s="210"/>
    </row>
    <row r="348" spans="2:32" ht="11.25" customHeight="1">
      <c r="B348" s="78" t="s">
        <v>2431</v>
      </c>
      <c r="C348" s="166" t="s">
        <v>3513</v>
      </c>
      <c r="E348" s="166"/>
      <c r="F348" s="166"/>
      <c r="G348" s="166"/>
      <c r="H348" s="166"/>
      <c r="I348" s="44"/>
      <c r="J348" s="609"/>
      <c r="K348" s="609"/>
      <c r="L348" s="609"/>
      <c r="M348" s="609"/>
      <c r="N348" s="609"/>
      <c r="P348" s="78" t="s">
        <v>2431</v>
      </c>
      <c r="Q348" s="210"/>
    </row>
    <row r="349" spans="2:32" ht="11.25" customHeight="1">
      <c r="B349" s="78" t="s">
        <v>2432</v>
      </c>
      <c r="C349" s="61" t="s">
        <v>3657</v>
      </c>
      <c r="E349" s="61"/>
      <c r="F349" s="61"/>
      <c r="G349" s="61"/>
      <c r="H349" s="61"/>
      <c r="I349" s="61"/>
      <c r="J349" s="61"/>
      <c r="K349" s="61"/>
      <c r="L349" s="38"/>
      <c r="M349" s="38"/>
      <c r="N349" s="609"/>
      <c r="P349" s="78" t="s">
        <v>2432</v>
      </c>
      <c r="Q349" s="210"/>
    </row>
    <row r="350" spans="2:32" ht="11.25" customHeight="1">
      <c r="B350" s="78" t="s">
        <v>3119</v>
      </c>
      <c r="C350" s="61" t="s">
        <v>3514</v>
      </c>
      <c r="E350" s="61"/>
      <c r="F350" s="61"/>
      <c r="G350" s="61"/>
      <c r="H350" s="61"/>
      <c r="I350" s="61"/>
      <c r="J350" s="61"/>
      <c r="K350" s="61"/>
      <c r="L350" s="61"/>
      <c r="M350" s="61"/>
      <c r="N350" s="61"/>
      <c r="P350" s="78" t="s">
        <v>3119</v>
      </c>
      <c r="Q350" s="210"/>
    </row>
    <row r="351" spans="2:32" ht="11.25" customHeight="1">
      <c r="B351" s="78" t="s">
        <v>2009</v>
      </c>
      <c r="C351" s="61" t="s">
        <v>3515</v>
      </c>
      <c r="E351" s="61"/>
      <c r="F351" s="61"/>
      <c r="G351" s="61"/>
      <c r="H351" s="61"/>
      <c r="I351" s="61"/>
      <c r="J351" s="61"/>
      <c r="K351" s="61"/>
      <c r="L351" s="61"/>
      <c r="M351" s="61"/>
      <c r="N351" s="61"/>
      <c r="P351" s="78" t="s">
        <v>2009</v>
      </c>
      <c r="Q351" s="210"/>
    </row>
    <row r="352" spans="2:32" ht="11.25" customHeight="1">
      <c r="B352" s="654" t="s">
        <v>2010</v>
      </c>
      <c r="C352" s="172" t="s">
        <v>3658</v>
      </c>
      <c r="E352" s="172"/>
      <c r="F352" s="172"/>
      <c r="G352" s="172"/>
      <c r="H352" s="172"/>
      <c r="I352" s="172"/>
      <c r="J352" s="172"/>
      <c r="K352" s="172"/>
      <c r="L352" s="172"/>
      <c r="M352" s="172"/>
      <c r="N352" s="172"/>
      <c r="P352" s="654" t="s">
        <v>2010</v>
      </c>
      <c r="Q352" s="210"/>
    </row>
    <row r="353" spans="1:31" ht="11.25" customHeight="1">
      <c r="B353" s="654" t="s">
        <v>104</v>
      </c>
      <c r="C353" s="61" t="s">
        <v>3516</v>
      </c>
      <c r="E353" s="61"/>
      <c r="F353" s="61"/>
      <c r="G353" s="61"/>
      <c r="H353" s="61"/>
      <c r="I353" s="61"/>
      <c r="J353" s="61"/>
      <c r="K353" s="61"/>
      <c r="L353" s="61"/>
      <c r="M353" s="61"/>
      <c r="N353" s="61"/>
      <c r="P353" s="654" t="s">
        <v>104</v>
      </c>
      <c r="Q353" s="210"/>
    </row>
    <row r="354" spans="1:31" ht="11.25" customHeight="1">
      <c r="B354" s="654" t="s">
        <v>678</v>
      </c>
      <c r="C354" s="580" t="s">
        <v>3517</v>
      </c>
      <c r="E354" s="580"/>
      <c r="F354" s="580"/>
      <c r="G354" s="580"/>
      <c r="H354" s="580"/>
      <c r="I354" s="580"/>
      <c r="J354" s="580"/>
      <c r="K354" s="580"/>
      <c r="L354" s="580"/>
      <c r="M354" s="580"/>
      <c r="N354" s="609"/>
      <c r="P354" s="654" t="s">
        <v>678</v>
      </c>
      <c r="Q354" s="210"/>
    </row>
    <row r="355" spans="1:31" ht="11.25" customHeight="1">
      <c r="B355" s="173" t="s">
        <v>2570</v>
      </c>
      <c r="D355" s="173"/>
      <c r="E355" s="173"/>
      <c r="F355" s="173"/>
      <c r="G355" s="173"/>
      <c r="H355" s="813"/>
      <c r="I355" s="162"/>
      <c r="J355" s="162"/>
      <c r="K355" s="162"/>
      <c r="L355" s="802"/>
      <c r="M355" s="802"/>
      <c r="N355" s="802"/>
      <c r="O355" s="802"/>
      <c r="P355" s="802"/>
      <c r="Q355" s="59"/>
    </row>
    <row r="356" spans="1:31" ht="11.45" customHeight="1">
      <c r="A356" s="1611" t="s">
        <v>4192</v>
      </c>
      <c r="B356" s="1612"/>
      <c r="C356" s="1612"/>
      <c r="D356" s="1612"/>
      <c r="E356" s="1612"/>
      <c r="F356" s="1612"/>
      <c r="G356" s="1612"/>
      <c r="H356" s="1612"/>
      <c r="I356" s="1612"/>
      <c r="J356" s="1612"/>
      <c r="K356" s="1612"/>
      <c r="L356" s="1612"/>
      <c r="M356" s="1612"/>
      <c r="N356" s="1612"/>
      <c r="O356" s="1612"/>
      <c r="P356" s="1612"/>
      <c r="Q356" s="1613"/>
      <c r="U356" s="168"/>
      <c r="V356" s="168"/>
      <c r="W356" s="168"/>
      <c r="X356" s="168"/>
      <c r="Y356" s="168"/>
      <c r="Z356" s="168"/>
      <c r="AA356" s="168"/>
      <c r="AB356" s="168"/>
      <c r="AC356" s="168"/>
      <c r="AD356" s="168"/>
      <c r="AE356" s="656"/>
    </row>
    <row r="357" spans="1:31" ht="11.25" customHeight="1">
      <c r="B357" s="169" t="s">
        <v>2571</v>
      </c>
      <c r="C357" s="170"/>
      <c r="D357" s="809"/>
      <c r="E357" s="809"/>
      <c r="F357" s="809"/>
      <c r="G357" s="809"/>
      <c r="H357" s="809"/>
      <c r="I357" s="809"/>
      <c r="J357" s="809"/>
      <c r="K357" s="809"/>
      <c r="L357" s="809"/>
      <c r="M357" s="809"/>
      <c r="N357" s="809"/>
      <c r="O357" s="809"/>
      <c r="P357" s="809"/>
      <c r="Q357" s="809"/>
    </row>
    <row r="358" spans="1:31" ht="11.45" customHeight="1">
      <c r="A358" s="1048"/>
      <c r="B358" s="1049"/>
      <c r="C358" s="1049"/>
      <c r="D358" s="1049"/>
      <c r="E358" s="1049"/>
      <c r="F358" s="1049"/>
      <c r="G358" s="1049"/>
      <c r="H358" s="1049"/>
      <c r="I358" s="1049"/>
      <c r="J358" s="1049"/>
      <c r="K358" s="1049"/>
      <c r="L358" s="1049"/>
      <c r="M358" s="1049"/>
      <c r="N358" s="1049"/>
      <c r="O358" s="1049"/>
      <c r="P358" s="1049"/>
      <c r="Q358" s="1050"/>
    </row>
    <row r="359" spans="1:31" ht="3" customHeight="1">
      <c r="A359" s="802"/>
      <c r="B359" s="162"/>
      <c r="C359" s="809"/>
      <c r="D359" s="809"/>
      <c r="E359" s="809"/>
      <c r="F359" s="809"/>
      <c r="G359" s="809"/>
      <c r="H359" s="809"/>
      <c r="I359" s="809"/>
      <c r="J359" s="809"/>
      <c r="K359" s="809"/>
      <c r="L359" s="809"/>
      <c r="M359" s="809"/>
      <c r="Q359" s="59"/>
    </row>
    <row r="360" spans="1:31" ht="13.9" customHeight="1">
      <c r="A360" s="811">
        <v>24</v>
      </c>
      <c r="B360" s="5" t="s">
        <v>3569</v>
      </c>
      <c r="C360" s="5"/>
      <c r="D360" s="5"/>
      <c r="E360" s="5"/>
      <c r="F360" s="5"/>
      <c r="G360" s="5"/>
      <c r="H360" s="809"/>
      <c r="I360" s="809"/>
      <c r="J360" s="809"/>
      <c r="O360" s="163" t="s">
        <v>2572</v>
      </c>
      <c r="P360" s="1051"/>
      <c r="Q360" s="1054"/>
    </row>
    <row r="361" spans="1:31" ht="11.45" customHeight="1">
      <c r="B361" s="54" t="s">
        <v>2694</v>
      </c>
      <c r="C361" s="143" t="s">
        <v>1438</v>
      </c>
      <c r="E361" s="1658"/>
      <c r="F361" s="1659"/>
      <c r="G361" s="1659"/>
      <c r="H361" s="1659"/>
      <c r="I361" s="1660"/>
      <c r="J361" s="1057" t="s">
        <v>3520</v>
      </c>
      <c r="K361" s="1058"/>
      <c r="L361" s="1059"/>
      <c r="M361" s="1658"/>
      <c r="N361" s="1659"/>
      <c r="O361" s="1659"/>
      <c r="P361" s="1659"/>
      <c r="Q361" s="1660"/>
    </row>
    <row r="362" spans="1:31" ht="11.45" customHeight="1">
      <c r="B362" s="54" t="s">
        <v>2697</v>
      </c>
      <c r="C362" s="61" t="s">
        <v>2433</v>
      </c>
      <c r="D362" s="61"/>
      <c r="E362" s="61"/>
      <c r="F362" s="61"/>
      <c r="G362" s="61"/>
      <c r="H362" s="61"/>
      <c r="I362" s="61"/>
      <c r="J362" s="61"/>
      <c r="K362" s="61"/>
      <c r="L362" s="38"/>
      <c r="M362" s="38"/>
      <c r="O362" s="654" t="s">
        <v>2697</v>
      </c>
      <c r="P362" s="1607"/>
      <c r="Q362" s="210"/>
    </row>
    <row r="363" spans="1:31" ht="22.5" customHeight="1">
      <c r="B363" s="174" t="s">
        <v>1054</v>
      </c>
      <c r="C363" s="1027" t="s">
        <v>3684</v>
      </c>
      <c r="D363" s="1027"/>
      <c r="E363" s="1027"/>
      <c r="F363" s="1027"/>
      <c r="G363" s="1027"/>
      <c r="H363" s="1027"/>
      <c r="I363" s="1027"/>
      <c r="J363" s="1027"/>
      <c r="K363" s="1027"/>
      <c r="L363" s="1027"/>
      <c r="M363" s="1027"/>
      <c r="N363" s="1027"/>
      <c r="O363" s="654" t="s">
        <v>1054</v>
      </c>
      <c r="P363" s="1607"/>
      <c r="Q363" s="210"/>
    </row>
    <row r="364" spans="1:31" ht="11.45" customHeight="1">
      <c r="B364" s="54" t="s">
        <v>2830</v>
      </c>
      <c r="C364" s="61" t="s">
        <v>3555</v>
      </c>
      <c r="D364" s="61"/>
      <c r="E364" s="61"/>
      <c r="F364" s="61"/>
      <c r="G364" s="61"/>
      <c r="H364" s="61"/>
      <c r="I364" s="61"/>
      <c r="J364" s="61"/>
      <c r="K364" s="61"/>
      <c r="L364" s="61"/>
      <c r="M364" s="61"/>
      <c r="O364" s="654" t="s">
        <v>2830</v>
      </c>
      <c r="P364" s="1607"/>
      <c r="Q364" s="210"/>
    </row>
    <row r="365" spans="1:31" ht="21.75" customHeight="1">
      <c r="B365" s="174" t="s">
        <v>2428</v>
      </c>
      <c r="C365" s="1045" t="s">
        <v>551</v>
      </c>
      <c r="D365" s="1045"/>
      <c r="E365" s="1045"/>
      <c r="F365" s="1045"/>
      <c r="G365" s="1045"/>
      <c r="H365" s="1045"/>
      <c r="I365" s="1045"/>
      <c r="J365" s="1045"/>
      <c r="K365" s="1045"/>
      <c r="L365" s="1045"/>
      <c r="M365" s="1045"/>
      <c r="N365" s="1045"/>
      <c r="O365" s="199" t="s">
        <v>2428</v>
      </c>
      <c r="P365" s="1607"/>
      <c r="Q365" s="210"/>
    </row>
    <row r="366" spans="1:31" ht="21.75" customHeight="1">
      <c r="B366" s="174" t="s">
        <v>2429</v>
      </c>
      <c r="C366" s="1027" t="s">
        <v>190</v>
      </c>
      <c r="D366" s="1027"/>
      <c r="E366" s="1027"/>
      <c r="F366" s="1027"/>
      <c r="G366" s="1027"/>
      <c r="H366" s="1027"/>
      <c r="I366" s="1027"/>
      <c r="J366" s="1027"/>
      <c r="K366" s="1027"/>
      <c r="L366" s="1027"/>
      <c r="M366" s="1027"/>
      <c r="N366" s="1027"/>
      <c r="O366" s="199" t="s">
        <v>2429</v>
      </c>
      <c r="P366" s="1657"/>
      <c r="Q366" s="210"/>
    </row>
    <row r="367" spans="1:31" ht="11.45" customHeight="1">
      <c r="B367" s="54" t="s">
        <v>2657</v>
      </c>
      <c r="C367" s="38" t="s">
        <v>723</v>
      </c>
      <c r="D367" s="185"/>
      <c r="E367" s="185"/>
      <c r="F367" s="185"/>
      <c r="G367" s="185"/>
      <c r="H367" s="185"/>
      <c r="I367" s="185"/>
      <c r="J367" s="185"/>
      <c r="K367" s="185"/>
      <c r="L367" s="185"/>
      <c r="M367" s="185"/>
      <c r="O367" s="654" t="s">
        <v>2657</v>
      </c>
      <c r="P367" s="1607"/>
      <c r="Q367" s="210"/>
    </row>
    <row r="368" spans="1:31" ht="11.25" customHeight="1">
      <c r="B368" s="173" t="s">
        <v>2570</v>
      </c>
      <c r="D368" s="173"/>
      <c r="E368" s="173"/>
      <c r="F368" s="173"/>
      <c r="G368" s="173"/>
      <c r="H368" s="813"/>
      <c r="I368" s="162"/>
      <c r="J368" s="162"/>
      <c r="K368" s="162"/>
      <c r="L368" s="802"/>
      <c r="M368" s="802"/>
      <c r="N368" s="802"/>
      <c r="O368" s="802"/>
      <c r="P368" s="802"/>
      <c r="Q368" s="59"/>
    </row>
    <row r="369" spans="1:32" ht="11.45" customHeight="1">
      <c r="A369" s="1611" t="s">
        <v>4192</v>
      </c>
      <c r="B369" s="1612"/>
      <c r="C369" s="1612"/>
      <c r="D369" s="1612"/>
      <c r="E369" s="1612"/>
      <c r="F369" s="1612"/>
      <c r="G369" s="1612"/>
      <c r="H369" s="1612"/>
      <c r="I369" s="1612"/>
      <c r="J369" s="1612"/>
      <c r="K369" s="1612"/>
      <c r="L369" s="1612"/>
      <c r="M369" s="1612"/>
      <c r="N369" s="1612"/>
      <c r="O369" s="1612"/>
      <c r="P369" s="1612"/>
      <c r="Q369" s="1613"/>
      <c r="U369" s="168"/>
      <c r="V369" s="168"/>
      <c r="W369" s="168"/>
      <c r="X369" s="168"/>
      <c r="Y369" s="168"/>
      <c r="Z369" s="168"/>
      <c r="AA369" s="168"/>
      <c r="AB369" s="168"/>
      <c r="AC369" s="168"/>
      <c r="AD369" s="168"/>
      <c r="AE369" s="656"/>
    </row>
    <row r="370" spans="1:32" ht="11.25" customHeight="1">
      <c r="B370" s="169" t="s">
        <v>2571</v>
      </c>
      <c r="C370" s="170"/>
      <c r="D370" s="809"/>
      <c r="E370" s="809"/>
      <c r="F370" s="809"/>
      <c r="G370" s="809"/>
      <c r="H370" s="809"/>
      <c r="I370" s="809"/>
      <c r="J370" s="809"/>
      <c r="K370" s="809"/>
      <c r="L370" s="809"/>
      <c r="M370" s="809"/>
      <c r="N370" s="809"/>
      <c r="O370" s="809"/>
      <c r="P370" s="809"/>
      <c r="Q370" s="809"/>
    </row>
    <row r="371" spans="1:32" ht="11.45" customHeight="1">
      <c r="A371" s="1048"/>
      <c r="B371" s="1049"/>
      <c r="C371" s="1049"/>
      <c r="D371" s="1049"/>
      <c r="E371" s="1049"/>
      <c r="F371" s="1049"/>
      <c r="G371" s="1049"/>
      <c r="H371" s="1049"/>
      <c r="I371" s="1049"/>
      <c r="J371" s="1049"/>
      <c r="K371" s="1049"/>
      <c r="L371" s="1049"/>
      <c r="M371" s="1049"/>
      <c r="N371" s="1049"/>
      <c r="O371" s="1049"/>
      <c r="P371" s="1049"/>
      <c r="Q371" s="1050"/>
    </row>
    <row r="372" spans="1:32" ht="3.6" customHeight="1">
      <c r="A372" s="802"/>
      <c r="B372" s="162"/>
      <c r="C372" s="809"/>
      <c r="D372" s="809"/>
      <c r="E372" s="809"/>
      <c r="F372" s="809"/>
      <c r="G372" s="809"/>
      <c r="H372" s="809"/>
      <c r="I372" s="809"/>
      <c r="J372" s="809"/>
      <c r="K372" s="809"/>
      <c r="L372" s="809"/>
      <c r="M372" s="809"/>
      <c r="Q372" s="59"/>
    </row>
    <row r="373" spans="1:32" ht="13.9" customHeight="1">
      <c r="A373" s="811">
        <v>25</v>
      </c>
      <c r="B373" s="5" t="s">
        <v>3518</v>
      </c>
      <c r="C373" s="5"/>
      <c r="D373" s="104"/>
      <c r="E373" s="809"/>
      <c r="F373" s="809"/>
      <c r="G373" s="809"/>
      <c r="H373" s="809"/>
      <c r="I373" s="809"/>
      <c r="J373" s="809"/>
      <c r="K373" s="809"/>
      <c r="L373" s="809"/>
      <c r="M373" s="809"/>
      <c r="O373" s="163" t="s">
        <v>2572</v>
      </c>
      <c r="P373" s="1051"/>
      <c r="Q373" s="1054"/>
    </row>
    <row r="374" spans="1:32" s="1" customFormat="1" ht="23.45" customHeight="1">
      <c r="B374" s="174" t="s">
        <v>2694</v>
      </c>
      <c r="C374" s="1045" t="s">
        <v>162</v>
      </c>
      <c r="D374" s="1045"/>
      <c r="E374" s="1045"/>
      <c r="F374" s="1045"/>
      <c r="G374" s="1045"/>
      <c r="H374" s="1045"/>
      <c r="I374" s="1045"/>
      <c r="J374" s="1045"/>
      <c r="K374" s="1045"/>
      <c r="L374" s="1045"/>
      <c r="M374" s="199" t="s">
        <v>2694</v>
      </c>
      <c r="N374" s="1699" t="s">
        <v>4125</v>
      </c>
      <c r="O374" s="1700"/>
      <c r="P374" s="1043" t="s">
        <v>2466</v>
      </c>
      <c r="Q374" s="1044"/>
      <c r="AE374" s="6"/>
      <c r="AF374" s="6"/>
    </row>
    <row r="375" spans="1:32" s="1" customFormat="1" ht="12" customHeight="1">
      <c r="B375" s="54" t="s">
        <v>2697</v>
      </c>
      <c r="C375" s="140" t="s">
        <v>1</v>
      </c>
      <c r="D375" s="185"/>
      <c r="E375" s="185"/>
      <c r="G375" s="654" t="s">
        <v>2697</v>
      </c>
      <c r="H375" s="1661" t="s">
        <v>4132</v>
      </c>
      <c r="I375" s="1662"/>
      <c r="J375" s="1662"/>
      <c r="K375" s="1662"/>
      <c r="L375" s="1662"/>
      <c r="M375" s="1662"/>
      <c r="N375" s="1662"/>
      <c r="O375" s="1662"/>
      <c r="P375" s="1663"/>
      <c r="Q375" s="210"/>
      <c r="AE375" s="6"/>
      <c r="AF375" s="6"/>
    </row>
    <row r="376" spans="1:32" s="1" customFormat="1" ht="12" customHeight="1">
      <c r="B376" s="54" t="s">
        <v>1054</v>
      </c>
      <c r="C376" s="38" t="s">
        <v>1855</v>
      </c>
      <c r="D376" s="12"/>
      <c r="E376" s="12"/>
      <c r="F376" s="12"/>
      <c r="G376" s="8"/>
      <c r="H376" s="8"/>
      <c r="I376" s="38"/>
      <c r="K376" s="8"/>
      <c r="L376" s="8"/>
      <c r="M376" s="8"/>
      <c r="O376" s="654" t="s">
        <v>1054</v>
      </c>
      <c r="P376" s="1607" t="s">
        <v>4074</v>
      </c>
      <c r="Q376" s="210"/>
      <c r="AE376" s="6"/>
      <c r="AF376" s="6"/>
    </row>
    <row r="377" spans="1:32" ht="11.25" customHeight="1">
      <c r="B377" s="173" t="s">
        <v>2570</v>
      </c>
      <c r="D377" s="173"/>
      <c r="E377" s="173"/>
      <c r="F377" s="173"/>
      <c r="G377" s="173"/>
      <c r="H377" s="813"/>
      <c r="I377" s="162"/>
      <c r="J377" s="162"/>
      <c r="K377" s="162"/>
      <c r="L377" s="802"/>
      <c r="M377" s="802"/>
      <c r="N377" s="802"/>
      <c r="O377" s="802"/>
      <c r="P377" s="802"/>
      <c r="Q377" s="59"/>
    </row>
    <row r="378" spans="1:32" ht="11.45" customHeight="1">
      <c r="A378" s="1611"/>
      <c r="B378" s="1612"/>
      <c r="C378" s="1612"/>
      <c r="D378" s="1612"/>
      <c r="E378" s="1612"/>
      <c r="F378" s="1612"/>
      <c r="G378" s="1612"/>
      <c r="H378" s="1612"/>
      <c r="I378" s="1612"/>
      <c r="J378" s="1612"/>
      <c r="K378" s="1612"/>
      <c r="L378" s="1612"/>
      <c r="M378" s="1612"/>
      <c r="N378" s="1612"/>
      <c r="O378" s="1612"/>
      <c r="P378" s="1612"/>
      <c r="Q378" s="1613"/>
      <c r="R378" s="615" t="s">
        <v>1677</v>
      </c>
      <c r="S378" s="615"/>
      <c r="U378" s="168"/>
      <c r="V378" s="168"/>
      <c r="W378" s="168"/>
      <c r="X378" s="168"/>
      <c r="Y378" s="168"/>
      <c r="Z378" s="168"/>
      <c r="AA378" s="168"/>
      <c r="AB378" s="168"/>
      <c r="AC378" s="168"/>
      <c r="AD378" s="168"/>
      <c r="AE378" s="656"/>
    </row>
    <row r="379" spans="1:32" s="31" customFormat="1" ht="3" customHeight="1">
      <c r="C379" s="142"/>
      <c r="D379" s="142"/>
      <c r="R379" s="615"/>
      <c r="S379" s="615"/>
      <c r="AE379" s="142"/>
      <c r="AF379" s="142"/>
    </row>
    <row r="380" spans="1:32" ht="11.25" customHeight="1">
      <c r="B380" s="169" t="s">
        <v>2571</v>
      </c>
      <c r="C380" s="170"/>
      <c r="D380" s="809"/>
      <c r="E380" s="809"/>
      <c r="F380" s="809"/>
      <c r="G380" s="809"/>
      <c r="H380" s="809"/>
      <c r="I380" s="809"/>
      <c r="J380" s="809"/>
      <c r="K380" s="809"/>
      <c r="L380" s="809"/>
      <c r="M380" s="809"/>
      <c r="N380" s="809"/>
      <c r="O380" s="809"/>
      <c r="P380" s="809"/>
      <c r="Q380" s="809"/>
    </row>
    <row r="381" spans="1:32" ht="11.45" customHeight="1">
      <c r="A381" s="1048"/>
      <c r="B381" s="1049"/>
      <c r="C381" s="1049"/>
      <c r="D381" s="1049"/>
      <c r="E381" s="1049"/>
      <c r="F381" s="1049"/>
      <c r="G381" s="1049"/>
      <c r="H381" s="1049"/>
      <c r="I381" s="1049"/>
      <c r="J381" s="1049"/>
      <c r="K381" s="1049"/>
      <c r="L381" s="1049"/>
      <c r="M381" s="1049"/>
      <c r="N381" s="1049"/>
      <c r="O381" s="1049"/>
      <c r="P381" s="1049"/>
      <c r="Q381" s="1050"/>
    </row>
    <row r="382" spans="1:32" ht="6" customHeight="1">
      <c r="A382" s="802"/>
      <c r="B382" s="162"/>
      <c r="C382" s="809"/>
      <c r="D382" s="809"/>
      <c r="E382" s="809"/>
      <c r="F382" s="809"/>
      <c r="G382" s="809"/>
      <c r="H382" s="809"/>
      <c r="I382" s="809"/>
      <c r="J382" s="809"/>
      <c r="K382" s="809"/>
      <c r="L382" s="809"/>
      <c r="M382" s="809"/>
      <c r="N382" s="809"/>
      <c r="O382" s="809"/>
      <c r="P382" s="809"/>
      <c r="Q382" s="802"/>
    </row>
    <row r="383" spans="1:32" ht="13.9" customHeight="1">
      <c r="A383" s="811">
        <v>26</v>
      </c>
      <c r="B383" s="5" t="s">
        <v>3504</v>
      </c>
      <c r="C383" s="5"/>
      <c r="D383" s="5"/>
      <c r="E383" s="809"/>
      <c r="G383" s="172" t="s">
        <v>890</v>
      </c>
      <c r="H383" s="809"/>
      <c r="I383" s="809"/>
      <c r="J383" s="809"/>
      <c r="K383" s="809"/>
      <c r="L383" s="809"/>
      <c r="M383" s="809"/>
      <c r="O383" s="163" t="s">
        <v>2572</v>
      </c>
      <c r="P383" s="1051"/>
      <c r="Q383" s="1052"/>
    </row>
    <row r="384" spans="1:32" ht="12" customHeight="1">
      <c r="A384" s="176"/>
      <c r="B384" s="54" t="s">
        <v>2694</v>
      </c>
      <c r="C384" s="61" t="s">
        <v>3523</v>
      </c>
      <c r="D384" s="607"/>
      <c r="E384" s="607"/>
      <c r="H384" s="172"/>
      <c r="O384" s="654" t="s">
        <v>2694</v>
      </c>
      <c r="P384" s="1607" t="s">
        <v>4074</v>
      </c>
      <c r="Q384" s="210"/>
    </row>
    <row r="385" spans="1:31" ht="12" customHeight="1">
      <c r="A385" s="176"/>
      <c r="B385" s="54" t="s">
        <v>2697</v>
      </c>
      <c r="C385" s="61" t="s">
        <v>3524</v>
      </c>
      <c r="D385" s="607"/>
      <c r="E385" s="607"/>
      <c r="O385" s="654" t="s">
        <v>2697</v>
      </c>
      <c r="P385" s="1607" t="s">
        <v>4074</v>
      </c>
      <c r="Q385" s="210"/>
    </row>
    <row r="386" spans="1:31" ht="12" customHeight="1">
      <c r="A386" s="176"/>
      <c r="B386" s="54" t="s">
        <v>1054</v>
      </c>
      <c r="C386" s="61" t="s">
        <v>3570</v>
      </c>
      <c r="D386" s="607"/>
      <c r="E386" s="607"/>
      <c r="O386" s="654" t="s">
        <v>1054</v>
      </c>
      <c r="P386" s="1607" t="s">
        <v>4073</v>
      </c>
      <c r="Q386" s="210"/>
    </row>
    <row r="387" spans="1:31" ht="12" customHeight="1">
      <c r="A387" s="176"/>
      <c r="B387" s="54" t="s">
        <v>2830</v>
      </c>
      <c r="C387" s="61" t="s">
        <v>3519</v>
      </c>
      <c r="E387" s="172"/>
      <c r="O387" s="654" t="s">
        <v>2830</v>
      </c>
      <c r="P387" s="1607" t="s">
        <v>4074</v>
      </c>
      <c r="Q387" s="210"/>
    </row>
    <row r="388" spans="1:31" ht="12" customHeight="1">
      <c r="B388" s="54" t="s">
        <v>2428</v>
      </c>
      <c r="C388" s="61" t="s">
        <v>2794</v>
      </c>
      <c r="E388" s="172"/>
      <c r="G388" s="654" t="s">
        <v>2428</v>
      </c>
      <c r="H388" s="1701"/>
      <c r="I388" s="1702"/>
      <c r="J388" s="1702"/>
      <c r="K388" s="1702"/>
      <c r="L388" s="1702"/>
      <c r="M388" s="1702"/>
      <c r="N388" s="1702"/>
      <c r="O388" s="1703"/>
      <c r="P388" s="1607"/>
      <c r="Q388" s="210"/>
    </row>
    <row r="389" spans="1:31" ht="11.25" customHeight="1">
      <c r="B389" s="173" t="s">
        <v>2570</v>
      </c>
      <c r="D389" s="173"/>
      <c r="E389" s="173"/>
      <c r="F389" s="173"/>
      <c r="G389" s="173"/>
      <c r="H389" s="813"/>
      <c r="I389" s="162"/>
      <c r="J389" s="162"/>
      <c r="K389" s="162"/>
      <c r="L389" s="802"/>
      <c r="M389" s="802"/>
      <c r="N389" s="802"/>
      <c r="O389" s="802"/>
      <c r="P389" s="802"/>
      <c r="Q389" s="59"/>
    </row>
    <row r="390" spans="1:31" ht="11.45" customHeight="1">
      <c r="A390" s="1611" t="s">
        <v>4193</v>
      </c>
      <c r="B390" s="1612"/>
      <c r="C390" s="1612"/>
      <c r="D390" s="1612"/>
      <c r="E390" s="1612"/>
      <c r="F390" s="1612"/>
      <c r="G390" s="1612"/>
      <c r="H390" s="1612"/>
      <c r="I390" s="1612"/>
      <c r="J390" s="1612"/>
      <c r="K390" s="1612"/>
      <c r="L390" s="1612"/>
      <c r="M390" s="1612"/>
      <c r="N390" s="1612"/>
      <c r="O390" s="1612"/>
      <c r="P390" s="1612"/>
      <c r="Q390" s="1613"/>
      <c r="U390" s="168"/>
      <c r="V390" s="168"/>
      <c r="W390" s="168"/>
      <c r="X390" s="168"/>
      <c r="Y390" s="168"/>
      <c r="Z390" s="168"/>
      <c r="AA390" s="168"/>
      <c r="AB390" s="168"/>
      <c r="AC390" s="168"/>
      <c r="AD390" s="168"/>
      <c r="AE390" s="656"/>
    </row>
    <row r="391" spans="1:31" ht="11.25" customHeight="1">
      <c r="B391" s="169" t="s">
        <v>2571</v>
      </c>
      <c r="C391" s="170"/>
      <c r="D391" s="809"/>
      <c r="E391" s="809"/>
      <c r="F391" s="809"/>
      <c r="G391" s="809"/>
      <c r="H391" s="809"/>
      <c r="I391" s="809"/>
      <c r="J391" s="809"/>
      <c r="K391" s="809"/>
      <c r="L391" s="809"/>
      <c r="M391" s="809"/>
      <c r="N391" s="809"/>
      <c r="O391" s="809"/>
      <c r="P391" s="809"/>
      <c r="Q391" s="809"/>
    </row>
    <row r="392" spans="1:31" ht="11.45" customHeight="1">
      <c r="A392" s="1048"/>
      <c r="B392" s="1049"/>
      <c r="C392" s="1049"/>
      <c r="D392" s="1049"/>
      <c r="E392" s="1049"/>
      <c r="F392" s="1049"/>
      <c r="G392" s="1049"/>
      <c r="H392" s="1049"/>
      <c r="I392" s="1049"/>
      <c r="J392" s="1049"/>
      <c r="K392" s="1049"/>
      <c r="L392" s="1049"/>
      <c r="M392" s="1049"/>
      <c r="N392" s="1049"/>
      <c r="O392" s="1049"/>
      <c r="P392" s="1049"/>
      <c r="Q392" s="1050"/>
    </row>
    <row r="393" spans="1:31" ht="6" customHeight="1">
      <c r="A393" s="802"/>
      <c r="B393" s="162"/>
      <c r="C393" s="809"/>
      <c r="D393" s="809"/>
      <c r="E393" s="809"/>
      <c r="F393" s="809"/>
      <c r="G393" s="809"/>
      <c r="H393" s="809"/>
      <c r="I393" s="809"/>
      <c r="J393" s="809"/>
      <c r="K393" s="809"/>
      <c r="L393" s="809"/>
      <c r="M393" s="809"/>
      <c r="N393" s="809"/>
      <c r="O393" s="809"/>
      <c r="P393" s="809"/>
      <c r="Q393" s="802"/>
    </row>
    <row r="394" spans="1:31" ht="13.9" customHeight="1">
      <c r="A394" s="811">
        <v>27</v>
      </c>
      <c r="B394" s="5" t="s">
        <v>3505</v>
      </c>
      <c r="C394" s="5"/>
      <c r="D394" s="5"/>
      <c r="E394" s="5"/>
      <c r="F394" s="5"/>
      <c r="G394" s="5"/>
      <c r="H394" s="809"/>
      <c r="I394" s="809"/>
      <c r="J394" s="809"/>
      <c r="K394" s="809"/>
      <c r="L394" s="809"/>
      <c r="M394" s="809"/>
      <c r="O394" s="163" t="s">
        <v>2572</v>
      </c>
      <c r="P394" s="1051"/>
      <c r="Q394" s="1052"/>
    </row>
    <row r="395" spans="1:31" ht="12" customHeight="1">
      <c r="A395" s="49"/>
      <c r="B395" s="54" t="s">
        <v>2694</v>
      </c>
      <c r="C395" s="47" t="s">
        <v>1057</v>
      </c>
      <c r="D395" s="49"/>
      <c r="E395" s="49"/>
      <c r="F395" s="49"/>
      <c r="G395" s="49"/>
      <c r="H395" s="49"/>
      <c r="I395" s="49"/>
      <c r="J395" s="49"/>
      <c r="K395" s="49"/>
      <c r="L395" s="49"/>
      <c r="M395" s="49"/>
      <c r="N395" s="49"/>
      <c r="O395" s="654" t="s">
        <v>2694</v>
      </c>
      <c r="P395" s="1607" t="s">
        <v>4074</v>
      </c>
      <c r="Q395" s="210"/>
    </row>
    <row r="396" spans="1:31" ht="12" customHeight="1">
      <c r="A396" s="49"/>
      <c r="B396" s="54" t="s">
        <v>2697</v>
      </c>
      <c r="C396" s="47" t="s">
        <v>2921</v>
      </c>
      <c r="D396" s="49"/>
      <c r="E396" s="49"/>
      <c r="F396" s="49"/>
      <c r="G396" s="49"/>
      <c r="H396" s="49"/>
      <c r="I396" s="49"/>
      <c r="J396" s="49"/>
      <c r="K396" s="49"/>
      <c r="L396" s="49"/>
      <c r="M396" s="49"/>
      <c r="N396" s="49"/>
      <c r="O396" s="654" t="s">
        <v>1891</v>
      </c>
      <c r="P396" s="1607"/>
      <c r="Q396" s="210"/>
    </row>
    <row r="397" spans="1:31" ht="12" customHeight="1">
      <c r="A397" s="49"/>
      <c r="B397" s="54"/>
      <c r="C397" s="61" t="s">
        <v>1935</v>
      </c>
      <c r="D397" s="61"/>
      <c r="E397" s="61"/>
      <c r="F397" s="61"/>
      <c r="G397" s="61"/>
      <c r="H397" s="61"/>
      <c r="I397" s="61"/>
      <c r="J397" s="61"/>
      <c r="K397" s="61"/>
      <c r="L397" s="61"/>
      <c r="M397" s="61"/>
      <c r="N397" s="49"/>
    </row>
    <row r="398" spans="1:31" ht="12" customHeight="1">
      <c r="A398" s="49"/>
      <c r="B398" s="54"/>
      <c r="C398" s="61" t="s">
        <v>2922</v>
      </c>
      <c r="D398" s="61"/>
      <c r="E398" s="61"/>
      <c r="F398" s="61"/>
      <c r="G398" s="61"/>
      <c r="H398" s="61"/>
      <c r="I398" s="61"/>
      <c r="J398" s="61"/>
      <c r="K398" s="61"/>
      <c r="L398" s="61"/>
      <c r="M398" s="61"/>
      <c r="N398" s="49"/>
      <c r="O398" s="654" t="s">
        <v>2431</v>
      </c>
      <c r="P398" s="1607"/>
      <c r="Q398" s="210"/>
    </row>
    <row r="399" spans="1:31" ht="12" customHeight="1">
      <c r="A399" s="49"/>
      <c r="B399" s="54" t="s">
        <v>1054</v>
      </c>
      <c r="C399" s="1027" t="s">
        <v>2920</v>
      </c>
      <c r="D399" s="1027"/>
      <c r="E399" s="1027"/>
      <c r="F399" s="1027"/>
      <c r="G399" s="1027"/>
      <c r="H399" s="1027"/>
      <c r="I399" s="1027"/>
      <c r="J399" s="1027"/>
      <c r="K399" s="1027"/>
      <c r="L399" s="1027"/>
      <c r="M399" s="1027"/>
      <c r="N399" s="1027"/>
      <c r="O399" s="654" t="s">
        <v>1054</v>
      </c>
      <c r="P399" s="1607"/>
      <c r="Q399" s="210"/>
    </row>
    <row r="400" spans="1:31" ht="12" customHeight="1">
      <c r="A400" s="49"/>
      <c r="B400" s="54" t="s">
        <v>2830</v>
      </c>
      <c r="C400" s="38" t="s">
        <v>135</v>
      </c>
      <c r="D400" s="38"/>
      <c r="E400" s="38"/>
      <c r="F400" s="38"/>
      <c r="G400" s="38"/>
      <c r="H400" s="38"/>
      <c r="I400" s="38"/>
      <c r="J400" s="38"/>
      <c r="K400" s="38"/>
      <c r="L400" s="38"/>
      <c r="M400" s="38"/>
      <c r="N400" s="49"/>
      <c r="O400" s="654"/>
      <c r="P400" s="49"/>
      <c r="Q400" s="49"/>
    </row>
    <row r="401" spans="1:32" ht="12" customHeight="1">
      <c r="A401" s="49"/>
      <c r="B401" s="54"/>
      <c r="C401" s="166" t="s">
        <v>2923</v>
      </c>
      <c r="D401" s="44"/>
      <c r="E401" s="49"/>
      <c r="F401" s="38"/>
      <c r="G401" s="1552"/>
      <c r="H401" s="757" t="s">
        <v>266</v>
      </c>
      <c r="J401" s="166" t="s">
        <v>2926</v>
      </c>
      <c r="K401" s="38"/>
      <c r="N401" s="1552"/>
      <c r="O401" s="757" t="s">
        <v>266</v>
      </c>
    </row>
    <row r="402" spans="1:32" ht="12" customHeight="1">
      <c r="A402" s="49"/>
      <c r="B402" s="54"/>
      <c r="C402" s="166" t="s">
        <v>2924</v>
      </c>
      <c r="D402" s="44"/>
      <c r="E402" s="49"/>
      <c r="F402" s="38"/>
      <c r="G402" s="1558"/>
      <c r="H402" s="758"/>
      <c r="J402" s="166" t="s">
        <v>2927</v>
      </c>
      <c r="K402" s="38"/>
      <c r="N402" s="1564"/>
      <c r="O402" s="759"/>
    </row>
    <row r="403" spans="1:32" ht="12" customHeight="1">
      <c r="A403" s="49"/>
      <c r="B403" s="54"/>
      <c r="C403" s="166" t="s">
        <v>2925</v>
      </c>
      <c r="D403" s="44"/>
      <c r="E403" s="49"/>
      <c r="F403" s="38"/>
      <c r="G403" s="1564"/>
      <c r="H403" s="759" t="s">
        <v>266</v>
      </c>
      <c r="K403" s="38"/>
      <c r="L403" s="38"/>
      <c r="M403" s="38"/>
      <c r="N403" s="49"/>
      <c r="O403" s="654"/>
    </row>
    <row r="404" spans="1:32" ht="12" customHeight="1">
      <c r="A404" s="49"/>
      <c r="B404" s="54" t="s">
        <v>2428</v>
      </c>
      <c r="C404" s="38" t="s">
        <v>3141</v>
      </c>
      <c r="D404" s="38"/>
      <c r="E404" s="38"/>
      <c r="F404" s="38"/>
      <c r="G404" s="38"/>
      <c r="J404" s="49"/>
      <c r="K404" s="38"/>
      <c r="L404" s="38"/>
      <c r="M404" s="38"/>
      <c r="N404" s="49"/>
      <c r="O404" s="654"/>
      <c r="P404" s="654"/>
      <c r="Q404" s="654"/>
    </row>
    <row r="405" spans="1:32" ht="12" customHeight="1">
      <c r="A405" s="49"/>
      <c r="B405" s="54"/>
      <c r="C405" s="578" t="s">
        <v>2928</v>
      </c>
      <c r="D405" s="38"/>
      <c r="E405" s="38"/>
      <c r="F405" s="38"/>
      <c r="G405" s="1665"/>
      <c r="H405" s="324"/>
      <c r="J405" s="578" t="s">
        <v>1597</v>
      </c>
      <c r="K405" s="38"/>
      <c r="N405" s="1690"/>
      <c r="O405" s="679"/>
    </row>
    <row r="406" spans="1:32" ht="12" customHeight="1">
      <c r="A406" s="49"/>
      <c r="B406" s="54"/>
      <c r="C406" s="578" t="s">
        <v>1596</v>
      </c>
      <c r="D406" s="38"/>
      <c r="E406" s="38"/>
      <c r="F406" s="38"/>
      <c r="G406" s="1667"/>
      <c r="H406" s="325"/>
      <c r="J406" s="578" t="s">
        <v>2980</v>
      </c>
      <c r="N406" s="1704"/>
      <c r="O406" s="1705"/>
      <c r="P406" s="1705"/>
      <c r="Q406" s="1706"/>
    </row>
    <row r="407" spans="1:32" ht="12" customHeight="1">
      <c r="B407" s="173" t="s">
        <v>2570</v>
      </c>
      <c r="D407" s="173"/>
      <c r="E407" s="173"/>
      <c r="F407" s="173"/>
      <c r="G407" s="173"/>
      <c r="H407" s="813"/>
      <c r="I407" s="162"/>
      <c r="J407" s="162"/>
      <c r="K407" s="162"/>
      <c r="P407" s="802"/>
      <c r="Q407" s="59"/>
    </row>
    <row r="408" spans="1:32" ht="26.25" customHeight="1">
      <c r="A408" s="1611" t="s">
        <v>4194</v>
      </c>
      <c r="B408" s="1612"/>
      <c r="C408" s="1612"/>
      <c r="D408" s="1612"/>
      <c r="E408" s="1612"/>
      <c r="F408" s="1612"/>
      <c r="G408" s="1612"/>
      <c r="H408" s="1612"/>
      <c r="I408" s="1612"/>
      <c r="J408" s="1612"/>
      <c r="K408" s="1612"/>
      <c r="L408" s="1612"/>
      <c r="M408" s="1612"/>
      <c r="N408" s="1612"/>
      <c r="O408" s="1612"/>
      <c r="P408" s="1612"/>
      <c r="Q408" s="1613"/>
      <c r="U408" s="168"/>
      <c r="V408" s="168"/>
      <c r="W408" s="168"/>
      <c r="X408" s="168"/>
      <c r="Y408" s="168"/>
      <c r="Z408" s="168"/>
      <c r="AA408" s="168"/>
      <c r="AB408" s="168"/>
      <c r="AC408" s="168"/>
      <c r="AD408" s="168"/>
      <c r="AE408" s="656"/>
    </row>
    <row r="409" spans="1:32" ht="12" customHeight="1">
      <c r="B409" s="169" t="s">
        <v>2571</v>
      </c>
      <c r="C409" s="170"/>
      <c r="D409" s="809"/>
      <c r="E409" s="809"/>
      <c r="F409" s="809"/>
      <c r="G409" s="809"/>
      <c r="H409" s="809"/>
      <c r="I409" s="809"/>
      <c r="J409" s="809"/>
      <c r="K409" s="809"/>
      <c r="L409" s="809"/>
      <c r="M409" s="809"/>
      <c r="N409" s="809"/>
      <c r="O409" s="809"/>
      <c r="P409" s="809"/>
      <c r="Q409" s="809"/>
    </row>
    <row r="410" spans="1:32" ht="12" customHeight="1">
      <c r="A410" s="1048"/>
      <c r="B410" s="1049"/>
      <c r="C410" s="1049"/>
      <c r="D410" s="1049"/>
      <c r="E410" s="1049"/>
      <c r="F410" s="1049"/>
      <c r="G410" s="1049"/>
      <c r="H410" s="1049"/>
      <c r="I410" s="1049"/>
      <c r="J410" s="1049"/>
      <c r="K410" s="1049"/>
      <c r="L410" s="1049"/>
      <c r="M410" s="1049"/>
      <c r="N410" s="1049"/>
      <c r="O410" s="1049"/>
      <c r="P410" s="1049"/>
      <c r="Q410" s="1050"/>
    </row>
    <row r="411" spans="1:32" ht="7.15" customHeight="1">
      <c r="A411" s="802"/>
      <c r="B411" s="162"/>
      <c r="C411" s="809"/>
      <c r="D411" s="809"/>
      <c r="E411" s="809"/>
      <c r="F411" s="809"/>
      <c r="G411" s="809"/>
      <c r="H411" s="809"/>
      <c r="I411" s="809"/>
      <c r="J411" s="809"/>
      <c r="K411" s="809"/>
      <c r="L411" s="809"/>
      <c r="M411" s="809"/>
      <c r="Q411" s="59"/>
    </row>
    <row r="412" spans="1:32" ht="13.9" customHeight="1">
      <c r="A412" s="811">
        <v>28</v>
      </c>
      <c r="B412" s="5" t="s">
        <v>3506</v>
      </c>
      <c r="C412" s="5"/>
      <c r="D412" s="104"/>
      <c r="E412" s="809"/>
      <c r="F412" s="809"/>
      <c r="G412" s="809"/>
      <c r="H412" s="809"/>
      <c r="O412" s="163" t="s">
        <v>2572</v>
      </c>
      <c r="P412" s="1051"/>
      <c r="Q412" s="1054"/>
    </row>
    <row r="413" spans="1:32" s="164" customFormat="1" ht="21.75" customHeight="1">
      <c r="B413" s="174" t="s">
        <v>2694</v>
      </c>
      <c r="C413" s="1042" t="s">
        <v>3559</v>
      </c>
      <c r="D413" s="1042"/>
      <c r="E413" s="1042"/>
      <c r="F413" s="1042"/>
      <c r="G413" s="1042"/>
      <c r="H413" s="1042"/>
      <c r="I413" s="1042"/>
      <c r="J413" s="1042"/>
      <c r="K413" s="1042"/>
      <c r="L413" s="1042"/>
      <c r="M413" s="1042"/>
      <c r="N413" s="1042"/>
      <c r="O413" s="199" t="s">
        <v>2694</v>
      </c>
      <c r="P413" s="1657" t="s">
        <v>4087</v>
      </c>
      <c r="Q413" s="323"/>
      <c r="AE413" s="657"/>
      <c r="AF413" s="657"/>
    </row>
    <row r="414" spans="1:32" s="164" customFormat="1" ht="21.75" customHeight="1">
      <c r="B414" s="174" t="s">
        <v>2697</v>
      </c>
      <c r="C414" s="1042" t="s">
        <v>3560</v>
      </c>
      <c r="D414" s="1042"/>
      <c r="E414" s="1042"/>
      <c r="F414" s="1042"/>
      <c r="G414" s="1042"/>
      <c r="H414" s="1042"/>
      <c r="I414" s="1042"/>
      <c r="J414" s="1042"/>
      <c r="K414" s="1042"/>
      <c r="L414" s="1042"/>
      <c r="M414" s="1042"/>
      <c r="N414" s="1042"/>
      <c r="O414" s="199" t="s">
        <v>2697</v>
      </c>
      <c r="P414" s="1657" t="s">
        <v>4087</v>
      </c>
      <c r="Q414" s="323"/>
      <c r="AE414" s="657"/>
      <c r="AF414" s="657"/>
    </row>
    <row r="415" spans="1:32" s="164" customFormat="1" ht="21.75" customHeight="1">
      <c r="B415" s="174" t="s">
        <v>1054</v>
      </c>
      <c r="C415" s="1042" t="s">
        <v>3561</v>
      </c>
      <c r="D415" s="1042"/>
      <c r="E415" s="1042"/>
      <c r="F415" s="1042"/>
      <c r="G415" s="1042"/>
      <c r="H415" s="1042"/>
      <c r="I415" s="1042"/>
      <c r="J415" s="1042"/>
      <c r="K415" s="1042"/>
      <c r="L415" s="1042"/>
      <c r="M415" s="1042"/>
      <c r="N415" s="1042"/>
      <c r="O415" s="199" t="s">
        <v>1054</v>
      </c>
      <c r="P415" s="1657" t="s">
        <v>4087</v>
      </c>
      <c r="Q415" s="323"/>
      <c r="AE415" s="657"/>
      <c r="AF415" s="657"/>
    </row>
    <row r="416" spans="1:32" s="164" customFormat="1" ht="33.75" customHeight="1">
      <c r="B416" s="174" t="s">
        <v>2830</v>
      </c>
      <c r="C416" s="1042" t="s">
        <v>3562</v>
      </c>
      <c r="D416" s="1042"/>
      <c r="E416" s="1042"/>
      <c r="F416" s="1042"/>
      <c r="G416" s="1042"/>
      <c r="H416" s="1042"/>
      <c r="I416" s="1042"/>
      <c r="J416" s="1042"/>
      <c r="K416" s="1042"/>
      <c r="L416" s="1042"/>
      <c r="M416" s="1042"/>
      <c r="N416" s="1042"/>
      <c r="O416" s="199" t="s">
        <v>2830</v>
      </c>
      <c r="P416" s="1657" t="s">
        <v>4087</v>
      </c>
      <c r="Q416" s="323"/>
      <c r="AE416" s="657"/>
      <c r="AF416" s="657"/>
    </row>
    <row r="417" spans="1:32" s="164" customFormat="1" ht="34.5" customHeight="1">
      <c r="B417" s="174" t="s">
        <v>2428</v>
      </c>
      <c r="C417" s="1042" t="s">
        <v>3563</v>
      </c>
      <c r="D417" s="1042"/>
      <c r="E417" s="1042"/>
      <c r="F417" s="1042"/>
      <c r="G417" s="1042"/>
      <c r="H417" s="1042"/>
      <c r="I417" s="1042"/>
      <c r="J417" s="1042"/>
      <c r="K417" s="1042"/>
      <c r="L417" s="1042"/>
      <c r="M417" s="1042"/>
      <c r="N417" s="1042"/>
      <c r="O417" s="199" t="s">
        <v>2428</v>
      </c>
      <c r="P417" s="1657" t="s">
        <v>4087</v>
      </c>
      <c r="Q417" s="323"/>
      <c r="AE417" s="657"/>
      <c r="AF417" s="657"/>
    </row>
    <row r="418" spans="1:32" s="164" customFormat="1" ht="21.75" customHeight="1">
      <c r="B418" s="174" t="s">
        <v>2429</v>
      </c>
      <c r="C418" s="1042" t="s">
        <v>3564</v>
      </c>
      <c r="D418" s="1042"/>
      <c r="E418" s="1042"/>
      <c r="F418" s="1042"/>
      <c r="G418" s="1042"/>
      <c r="H418" s="1042"/>
      <c r="I418" s="1042"/>
      <c r="J418" s="1042"/>
      <c r="K418" s="1042"/>
      <c r="L418" s="1042"/>
      <c r="M418" s="1042"/>
      <c r="N418" s="1042"/>
      <c r="O418" s="199" t="s">
        <v>2429</v>
      </c>
      <c r="P418" s="1657" t="s">
        <v>4087</v>
      </c>
      <c r="Q418" s="323"/>
      <c r="AE418" s="657"/>
      <c r="AF418" s="657"/>
    </row>
    <row r="419" spans="1:32" ht="11.25" customHeight="1">
      <c r="B419" s="173" t="s">
        <v>2570</v>
      </c>
      <c r="D419" s="173"/>
      <c r="E419" s="173"/>
      <c r="F419" s="173"/>
      <c r="G419" s="173"/>
      <c r="H419" s="813"/>
      <c r="I419" s="162"/>
      <c r="J419" s="162"/>
      <c r="K419" s="162"/>
      <c r="L419" s="802"/>
      <c r="M419" s="802"/>
      <c r="N419" s="802"/>
      <c r="O419" s="802"/>
      <c r="P419" s="802"/>
      <c r="Q419" s="59"/>
    </row>
    <row r="420" spans="1:32" ht="14.25" customHeight="1">
      <c r="A420" s="1611"/>
      <c r="B420" s="1612"/>
      <c r="C420" s="1612"/>
      <c r="D420" s="1612"/>
      <c r="E420" s="1612"/>
      <c r="F420" s="1612"/>
      <c r="G420" s="1612"/>
      <c r="H420" s="1612"/>
      <c r="I420" s="1612"/>
      <c r="J420" s="1612"/>
      <c r="K420" s="1612"/>
      <c r="L420" s="1612"/>
      <c r="M420" s="1612"/>
      <c r="N420" s="1612"/>
      <c r="O420" s="1612"/>
      <c r="P420" s="1612"/>
      <c r="Q420" s="1613"/>
      <c r="R420" s="614" t="s">
        <v>1677</v>
      </c>
      <c r="S420" s="615"/>
      <c r="U420" s="168"/>
      <c r="V420" s="168"/>
      <c r="W420" s="168"/>
      <c r="X420" s="168"/>
      <c r="Y420" s="168"/>
      <c r="Z420" s="168"/>
      <c r="AA420" s="168"/>
      <c r="AB420" s="168"/>
      <c r="AC420" s="168"/>
      <c r="AD420" s="168"/>
      <c r="AE420" s="656"/>
    </row>
    <row r="421" spans="1:32" ht="11.25" customHeight="1">
      <c r="B421" s="169" t="s">
        <v>2571</v>
      </c>
      <c r="C421" s="170"/>
      <c r="D421" s="809"/>
      <c r="E421" s="809"/>
      <c r="F421" s="809"/>
      <c r="G421" s="809"/>
      <c r="H421" s="809"/>
      <c r="I421" s="809"/>
      <c r="J421" s="809"/>
      <c r="K421" s="809"/>
      <c r="L421" s="809"/>
      <c r="M421" s="809"/>
      <c r="N421" s="809"/>
      <c r="O421" s="809"/>
      <c r="P421" s="809"/>
      <c r="Q421" s="809"/>
    </row>
    <row r="422" spans="1:32" ht="11.45" customHeight="1">
      <c r="A422" s="1048"/>
      <c r="B422" s="1049"/>
      <c r="C422" s="1049"/>
      <c r="D422" s="1049"/>
      <c r="E422" s="1049"/>
      <c r="F422" s="1049"/>
      <c r="G422" s="1049"/>
      <c r="H422" s="1049"/>
      <c r="I422" s="1049"/>
      <c r="J422" s="1049"/>
      <c r="K422" s="1049"/>
      <c r="L422" s="1049"/>
      <c r="M422" s="1049"/>
      <c r="N422" s="1049"/>
      <c r="O422" s="1049"/>
      <c r="P422" s="1049"/>
      <c r="Q422" s="1050"/>
    </row>
    <row r="423" spans="1:32" ht="7.15" customHeight="1">
      <c r="A423" s="802"/>
      <c r="B423" s="162"/>
      <c r="C423" s="809"/>
      <c r="D423" s="809"/>
      <c r="E423" s="809"/>
      <c r="F423" s="809"/>
      <c r="G423" s="809"/>
      <c r="H423" s="809"/>
      <c r="I423" s="809"/>
      <c r="J423" s="809"/>
      <c r="K423" s="809"/>
      <c r="L423" s="809"/>
      <c r="M423" s="809"/>
      <c r="Q423" s="59"/>
    </row>
    <row r="424" spans="1:32" ht="13.9" customHeight="1">
      <c r="A424" s="811">
        <v>29</v>
      </c>
      <c r="B424" s="5" t="s">
        <v>3507</v>
      </c>
      <c r="C424" s="5"/>
      <c r="D424" s="104"/>
      <c r="E424" s="809"/>
      <c r="F424" s="809"/>
      <c r="G424" s="809"/>
      <c r="H424" s="809"/>
      <c r="I424" s="809"/>
      <c r="J424" s="809"/>
      <c r="K424" s="809"/>
      <c r="L424" s="809"/>
      <c r="M424" s="809"/>
      <c r="O424" s="163" t="s">
        <v>2572</v>
      </c>
      <c r="P424" s="1051"/>
      <c r="Q424" s="1054"/>
    </row>
    <row r="425" spans="1:32" ht="11.25" customHeight="1">
      <c r="A425" s="811"/>
      <c r="B425" s="173" t="s">
        <v>2570</v>
      </c>
      <c r="D425" s="173"/>
      <c r="E425" s="173"/>
      <c r="F425" s="173"/>
      <c r="G425" s="173"/>
      <c r="H425" s="813"/>
      <c r="I425" s="162"/>
      <c r="J425" s="162"/>
      <c r="K425" s="162"/>
      <c r="L425" s="802"/>
      <c r="M425" s="802"/>
      <c r="N425" s="802"/>
      <c r="O425" s="802"/>
      <c r="P425" s="802"/>
      <c r="Q425" s="59"/>
    </row>
    <row r="426" spans="1:32" ht="11.45" customHeight="1">
      <c r="A426" s="1611"/>
      <c r="B426" s="1612"/>
      <c r="C426" s="1612"/>
      <c r="D426" s="1612"/>
      <c r="E426" s="1612"/>
      <c r="F426" s="1612"/>
      <c r="G426" s="1612"/>
      <c r="H426" s="1612"/>
      <c r="I426" s="1612"/>
      <c r="J426" s="1612"/>
      <c r="K426" s="1612"/>
      <c r="L426" s="1612"/>
      <c r="M426" s="1612"/>
      <c r="N426" s="1612"/>
      <c r="O426" s="1612"/>
      <c r="P426" s="1612"/>
      <c r="Q426" s="1613"/>
      <c r="R426" s="614" t="s">
        <v>1677</v>
      </c>
      <c r="S426" s="615"/>
      <c r="U426" s="168"/>
      <c r="V426" s="168"/>
      <c r="W426" s="168"/>
      <c r="X426" s="168"/>
      <c r="Y426" s="168"/>
      <c r="Z426" s="168"/>
      <c r="AA426" s="168"/>
      <c r="AB426" s="168"/>
      <c r="AC426" s="168"/>
      <c r="AD426" s="168"/>
      <c r="AE426" s="656"/>
    </row>
    <row r="427" spans="1:32" ht="11.25" customHeight="1">
      <c r="B427" s="169" t="s">
        <v>2571</v>
      </c>
      <c r="C427" s="170"/>
      <c r="D427" s="809"/>
      <c r="E427" s="809"/>
      <c r="F427" s="809"/>
      <c r="G427" s="809"/>
      <c r="H427" s="809"/>
      <c r="I427" s="809"/>
      <c r="J427" s="809"/>
      <c r="K427" s="809"/>
      <c r="L427" s="809"/>
      <c r="M427" s="809"/>
      <c r="N427" s="809"/>
      <c r="O427" s="809"/>
      <c r="P427" s="809"/>
      <c r="Q427" s="809"/>
    </row>
    <row r="428" spans="1:32" ht="21.75" customHeight="1">
      <c r="A428" s="1048"/>
      <c r="B428" s="1049"/>
      <c r="C428" s="1049"/>
      <c r="D428" s="1049"/>
      <c r="E428" s="1049"/>
      <c r="F428" s="1049"/>
      <c r="G428" s="1049"/>
      <c r="H428" s="1049"/>
      <c r="I428" s="1049"/>
      <c r="J428" s="1049"/>
      <c r="K428" s="1049"/>
      <c r="L428" s="1049"/>
      <c r="M428" s="1049"/>
      <c r="N428" s="1049"/>
      <c r="O428" s="1049"/>
      <c r="P428" s="1049"/>
      <c r="Q428" s="1050"/>
    </row>
    <row r="429" spans="1:32" ht="3" customHeight="1">
      <c r="A429" s="802"/>
      <c r="B429" s="162"/>
      <c r="C429" s="809"/>
      <c r="D429" s="809"/>
      <c r="E429" s="809"/>
      <c r="F429" s="809"/>
      <c r="G429" s="809"/>
      <c r="H429" s="809"/>
      <c r="I429" s="809"/>
      <c r="J429" s="809"/>
      <c r="K429" s="809"/>
      <c r="L429" s="809"/>
      <c r="M429" s="809"/>
      <c r="N429" s="809"/>
      <c r="O429" s="809"/>
      <c r="P429" s="809"/>
      <c r="Q429" s="802"/>
    </row>
    <row r="430" spans="1:32" s="181" customFormat="1" ht="8.4499999999999993" customHeight="1">
      <c r="A430" s="802"/>
      <c r="B430" s="162"/>
      <c r="C430" s="809"/>
      <c r="D430" s="809"/>
      <c r="E430" s="809"/>
      <c r="F430" s="809"/>
      <c r="G430" s="809"/>
      <c r="H430" s="809"/>
      <c r="I430" s="809"/>
      <c r="J430" s="809"/>
      <c r="K430" s="809"/>
      <c r="L430" s="809"/>
      <c r="M430" s="809"/>
      <c r="AE430" s="658"/>
      <c r="AF430" s="658"/>
    </row>
    <row r="431" spans="1:32" s="181" customFormat="1" ht="3" customHeight="1">
      <c r="A431" s="802"/>
      <c r="B431" s="162"/>
      <c r="C431" s="809"/>
      <c r="D431" s="809"/>
      <c r="E431" s="809"/>
      <c r="F431" s="809"/>
      <c r="G431" s="809"/>
      <c r="H431" s="809"/>
      <c r="I431" s="809"/>
      <c r="J431" s="809"/>
      <c r="K431" s="809"/>
      <c r="L431" s="809"/>
      <c r="M431" s="809"/>
      <c r="N431" s="809"/>
      <c r="O431" s="809"/>
      <c r="P431" s="809"/>
      <c r="Q431" s="802"/>
      <c r="AE431" s="658"/>
      <c r="AF431" s="658"/>
    </row>
    <row r="432" spans="1:32" s="181" customFormat="1" ht="12" customHeight="1">
      <c r="A432" s="1707"/>
      <c r="B432" s="1707"/>
      <c r="C432" s="1707"/>
      <c r="D432" s="1707"/>
      <c r="E432" s="1707"/>
      <c r="F432" s="1707"/>
      <c r="G432" s="1707"/>
      <c r="H432" s="1707"/>
      <c r="I432" s="1707"/>
      <c r="J432" s="1707"/>
      <c r="K432" s="1707"/>
      <c r="L432" s="1707"/>
      <c r="M432" s="1707"/>
      <c r="N432" s="1707"/>
      <c r="O432" s="1707"/>
      <c r="P432" s="1707"/>
      <c r="Q432" s="1707"/>
      <c r="AE432" s="658"/>
      <c r="AF432" s="658"/>
    </row>
    <row r="433" spans="1:32" s="181" customFormat="1" ht="12" customHeight="1">
      <c r="A433" s="1707"/>
      <c r="B433" s="1707"/>
      <c r="C433" s="1707"/>
      <c r="D433" s="1707"/>
      <c r="E433" s="1707"/>
      <c r="F433" s="1707"/>
      <c r="G433" s="1707"/>
      <c r="H433" s="1707"/>
      <c r="I433" s="1707"/>
      <c r="J433" s="1707"/>
      <c r="K433" s="1707"/>
      <c r="L433" s="1707"/>
      <c r="M433" s="1707"/>
      <c r="N433" s="1707"/>
      <c r="O433" s="1707"/>
      <c r="P433" s="1707"/>
      <c r="Q433" s="1707"/>
      <c r="AE433" s="658"/>
      <c r="AF433" s="658"/>
    </row>
    <row r="434" spans="1:32" s="181" customFormat="1" ht="12" customHeight="1">
      <c r="A434" s="1707"/>
      <c r="B434" s="1707"/>
      <c r="C434" s="1707"/>
      <c r="D434" s="1707"/>
      <c r="E434" s="1707"/>
      <c r="F434" s="1707"/>
      <c r="G434" s="1707"/>
      <c r="H434" s="1707"/>
      <c r="I434" s="1707"/>
      <c r="J434" s="1707"/>
      <c r="K434" s="1707"/>
      <c r="L434" s="1707"/>
      <c r="M434" s="1707"/>
      <c r="N434" s="1707"/>
      <c r="O434" s="1707"/>
      <c r="P434" s="1707"/>
      <c r="Q434" s="1707"/>
      <c r="AE434" s="658"/>
      <c r="AF434" s="658"/>
    </row>
    <row r="435" spans="1:32" s="181" customFormat="1" ht="12" customHeight="1">
      <c r="A435" s="1707"/>
      <c r="B435" s="1707"/>
      <c r="C435" s="1707"/>
      <c r="D435" s="1707"/>
      <c r="E435" s="1707"/>
      <c r="F435" s="1707"/>
      <c r="G435" s="1707"/>
      <c r="H435" s="1707"/>
      <c r="I435" s="1707"/>
      <c r="J435" s="1707"/>
      <c r="K435" s="1707"/>
      <c r="L435" s="1707"/>
      <c r="M435" s="1707"/>
      <c r="N435" s="1707"/>
      <c r="O435" s="1707"/>
      <c r="P435" s="1707"/>
      <c r="Q435" s="1707"/>
      <c r="AE435" s="658"/>
      <c r="AF435" s="658"/>
    </row>
    <row r="436" spans="1:32" s="181" customFormat="1" ht="12" customHeight="1">
      <c r="A436" s="1707"/>
      <c r="B436" s="1707"/>
      <c r="C436" s="1707"/>
      <c r="D436" s="1707"/>
      <c r="E436" s="1707"/>
      <c r="F436" s="1707"/>
      <c r="G436" s="1707"/>
      <c r="H436" s="1707"/>
      <c r="I436" s="1707"/>
      <c r="J436" s="1707"/>
      <c r="K436" s="1707"/>
      <c r="L436" s="1707"/>
      <c r="M436" s="1707"/>
      <c r="N436" s="1707"/>
      <c r="O436" s="1707"/>
      <c r="P436" s="1707"/>
      <c r="Q436" s="1707"/>
      <c r="AE436" s="658"/>
      <c r="AF436" s="658"/>
    </row>
    <row r="437" spans="1:32" s="181" customFormat="1" ht="12" customHeight="1">
      <c r="A437" s="1707"/>
      <c r="B437" s="1707"/>
      <c r="C437" s="1707"/>
      <c r="D437" s="1707"/>
      <c r="E437" s="1707"/>
      <c r="F437" s="1707"/>
      <c r="G437" s="1707"/>
      <c r="H437" s="1707"/>
      <c r="I437" s="1707"/>
      <c r="J437" s="1707"/>
      <c r="K437" s="1707"/>
      <c r="L437" s="1707"/>
      <c r="M437" s="1707"/>
      <c r="N437" s="1707"/>
      <c r="O437" s="1707"/>
      <c r="P437" s="1707"/>
      <c r="Q437" s="1707"/>
      <c r="AE437" s="658"/>
      <c r="AF437" s="658"/>
    </row>
    <row r="438" spans="1:32" s="181" customFormat="1" ht="12" customHeight="1">
      <c r="A438" s="1707"/>
      <c r="B438" s="1707"/>
      <c r="C438" s="1707"/>
      <c r="D438" s="1707"/>
      <c r="E438" s="1707"/>
      <c r="F438" s="1707"/>
      <c r="G438" s="1707"/>
      <c r="H438" s="1707"/>
      <c r="I438" s="1707"/>
      <c r="J438" s="1707"/>
      <c r="K438" s="1707"/>
      <c r="L438" s="1707"/>
      <c r="M438" s="1707"/>
      <c r="N438" s="1707"/>
      <c r="O438" s="1707"/>
      <c r="P438" s="1707"/>
      <c r="Q438" s="1707"/>
      <c r="AE438" s="658"/>
      <c r="AF438" s="658"/>
    </row>
    <row r="439" spans="1:32" s="181" customFormat="1" ht="12" customHeight="1">
      <c r="A439" s="1707"/>
      <c r="B439" s="1707"/>
      <c r="C439" s="1707"/>
      <c r="D439" s="1707"/>
      <c r="E439" s="1707"/>
      <c r="F439" s="1707"/>
      <c r="G439" s="1707"/>
      <c r="H439" s="1707"/>
      <c r="I439" s="1707"/>
      <c r="J439" s="1707"/>
      <c r="K439" s="1707"/>
      <c r="L439" s="1707"/>
      <c r="M439" s="1707"/>
      <c r="N439" s="1707"/>
      <c r="O439" s="1707"/>
      <c r="P439" s="1707"/>
      <c r="Q439" s="1707"/>
      <c r="AE439" s="658"/>
      <c r="AF439" s="658"/>
    </row>
    <row r="440" spans="1:32" s="181" customFormat="1" ht="12" customHeight="1">
      <c r="A440" s="1707"/>
      <c r="B440" s="1707"/>
      <c r="C440" s="1707"/>
      <c r="D440" s="1707"/>
      <c r="E440" s="1707"/>
      <c r="F440" s="1707"/>
      <c r="G440" s="1707"/>
      <c r="H440" s="1707"/>
      <c r="I440" s="1707"/>
      <c r="J440" s="1707"/>
      <c r="K440" s="1707"/>
      <c r="L440" s="1707"/>
      <c r="M440" s="1707"/>
      <c r="N440" s="1707"/>
      <c r="O440" s="1707"/>
      <c r="P440" s="1707"/>
      <c r="Q440" s="1707"/>
      <c r="AE440" s="658"/>
      <c r="AF440" s="658"/>
    </row>
    <row r="441" spans="1:32" s="181" customFormat="1" ht="12" customHeight="1">
      <c r="A441" s="1707"/>
      <c r="B441" s="1707"/>
      <c r="C441" s="1707"/>
      <c r="D441" s="1707"/>
      <c r="E441" s="1707"/>
      <c r="F441" s="1707"/>
      <c r="G441" s="1707"/>
      <c r="H441" s="1707"/>
      <c r="I441" s="1707"/>
      <c r="J441" s="1707"/>
      <c r="K441" s="1707"/>
      <c r="L441" s="1707"/>
      <c r="M441" s="1707"/>
      <c r="N441" s="1707"/>
      <c r="O441" s="1707"/>
      <c r="P441" s="1707"/>
      <c r="Q441" s="1707"/>
      <c r="AE441" s="658"/>
      <c r="AF441" s="658"/>
    </row>
    <row r="442" spans="1:32" s="181" customFormat="1" ht="12" customHeight="1">
      <c r="A442" s="1707"/>
      <c r="B442" s="1707"/>
      <c r="C442" s="1707"/>
      <c r="D442" s="1707"/>
      <c r="E442" s="1707"/>
      <c r="F442" s="1707"/>
      <c r="G442" s="1707"/>
      <c r="H442" s="1707"/>
      <c r="I442" s="1707"/>
      <c r="J442" s="1707"/>
      <c r="K442" s="1707"/>
      <c r="L442" s="1707"/>
      <c r="M442" s="1707"/>
      <c r="N442" s="1707"/>
      <c r="O442" s="1707"/>
      <c r="P442" s="1707"/>
      <c r="Q442" s="1707"/>
      <c r="AE442" s="658"/>
      <c r="AF442" s="658"/>
    </row>
    <row r="443" spans="1:32" s="181" customFormat="1" ht="12" customHeight="1">
      <c r="A443" s="1707"/>
      <c r="B443" s="1707"/>
      <c r="C443" s="1707"/>
      <c r="D443" s="1707"/>
      <c r="E443" s="1707"/>
      <c r="F443" s="1707"/>
      <c r="G443" s="1707"/>
      <c r="H443" s="1707"/>
      <c r="I443" s="1707"/>
      <c r="J443" s="1707"/>
      <c r="K443" s="1707"/>
      <c r="L443" s="1707"/>
      <c r="M443" s="1707"/>
      <c r="N443" s="1707"/>
      <c r="O443" s="1707"/>
      <c r="P443" s="1707"/>
      <c r="Q443" s="1707"/>
      <c r="AE443" s="658"/>
      <c r="AF443" s="658"/>
    </row>
    <row r="444" spans="1:32" s="181" customFormat="1" ht="12" customHeight="1">
      <c r="A444" s="1707"/>
      <c r="B444" s="1707"/>
      <c r="C444" s="1707"/>
      <c r="D444" s="1707"/>
      <c r="E444" s="1707"/>
      <c r="F444" s="1707"/>
      <c r="G444" s="1707"/>
      <c r="H444" s="1707"/>
      <c r="I444" s="1707"/>
      <c r="J444" s="1707"/>
      <c r="K444" s="1707"/>
      <c r="L444" s="1707"/>
      <c r="M444" s="1707"/>
      <c r="N444" s="1707"/>
      <c r="O444" s="1707"/>
      <c r="P444" s="1707"/>
      <c r="Q444" s="1707"/>
      <c r="AE444" s="658"/>
      <c r="AF444" s="658"/>
    </row>
    <row r="445" spans="1:32" s="181" customFormat="1" ht="12" customHeight="1">
      <c r="A445" s="1708"/>
      <c r="B445" s="1708"/>
      <c r="C445" s="1708"/>
      <c r="D445" s="1708"/>
      <c r="E445" s="1708"/>
      <c r="F445" s="1708"/>
      <c r="G445" s="1708"/>
      <c r="H445" s="1708"/>
      <c r="I445" s="1708"/>
      <c r="J445" s="1708"/>
      <c r="K445" s="1708"/>
      <c r="L445" s="1708"/>
      <c r="M445" s="1708"/>
      <c r="N445" s="1707"/>
      <c r="O445" s="1707"/>
      <c r="P445" s="1707"/>
      <c r="Q445" s="1707"/>
      <c r="AE445" s="658"/>
      <c r="AF445" s="658"/>
    </row>
    <row r="446" spans="1:32" s="181" customFormat="1" ht="12" customHeight="1">
      <c r="A446" s="1708"/>
      <c r="B446" s="1708"/>
      <c r="C446" s="1708"/>
      <c r="D446" s="1708"/>
      <c r="E446" s="1708"/>
      <c r="F446" s="1708"/>
      <c r="G446" s="1708"/>
      <c r="H446" s="1708"/>
      <c r="I446" s="1708"/>
      <c r="J446" s="1708"/>
      <c r="K446" s="1708"/>
      <c r="L446" s="1708"/>
      <c r="M446" s="1708"/>
      <c r="N446" s="1707"/>
      <c r="O446" s="1707"/>
      <c r="P446" s="1707"/>
      <c r="Q446" s="1707"/>
      <c r="AE446" s="658"/>
      <c r="AF446" s="658"/>
    </row>
    <row r="447" spans="1:32" s="181" customFormat="1">
      <c r="A447" s="624"/>
      <c r="B447" s="624"/>
      <c r="C447" s="624"/>
      <c r="D447" s="624"/>
      <c r="E447" s="624"/>
      <c r="F447" s="624"/>
      <c r="G447" s="624"/>
      <c r="H447" s="624"/>
      <c r="I447" s="624"/>
      <c r="J447" s="624"/>
      <c r="K447" s="624"/>
      <c r="L447" s="624"/>
      <c r="M447" s="624"/>
      <c r="AE447" s="658"/>
      <c r="AF447" s="658"/>
    </row>
    <row r="448" spans="1:32" s="196" customFormat="1">
      <c r="A448" s="695"/>
      <c r="B448" s="695"/>
      <c r="C448" s="695"/>
      <c r="D448" s="695"/>
      <c r="E448" s="695"/>
      <c r="F448" s="695"/>
      <c r="G448" s="695"/>
      <c r="H448" s="695"/>
      <c r="I448" s="695"/>
      <c r="J448" s="695"/>
      <c r="K448" s="695"/>
      <c r="L448" s="695"/>
      <c r="M448" s="695"/>
      <c r="N448" s="148"/>
      <c r="O448" s="801"/>
      <c r="P448" s="801"/>
      <c r="AE448" s="661"/>
      <c r="AF448" s="661"/>
    </row>
    <row r="449" spans="1:32" s="578" customFormat="1" ht="11.25">
      <c r="A449" s="709"/>
      <c r="B449" s="709"/>
      <c r="C449" s="710" t="s">
        <v>2328</v>
      </c>
      <c r="D449" s="710"/>
      <c r="E449" s="710"/>
      <c r="F449" s="710"/>
      <c r="G449" s="710"/>
      <c r="H449" s="710"/>
      <c r="I449" s="710"/>
      <c r="J449" s="710" t="s">
        <v>1414</v>
      </c>
      <c r="K449" s="710"/>
      <c r="L449" s="709"/>
      <c r="M449" s="709"/>
      <c r="N449" s="585"/>
      <c r="O449" s="610"/>
      <c r="P449" s="610"/>
      <c r="AE449" s="601"/>
      <c r="AF449" s="601"/>
    </row>
    <row r="450" spans="1:32" s="578" customFormat="1" ht="11.25">
      <c r="A450" s="709"/>
      <c r="B450" s="709"/>
      <c r="C450" s="709" t="s">
        <v>2804</v>
      </c>
      <c r="D450" s="709"/>
      <c r="E450" s="709"/>
      <c r="F450" s="709"/>
      <c r="G450" s="709"/>
      <c r="H450" s="709"/>
      <c r="I450" s="709"/>
      <c r="J450" s="709" t="s">
        <v>2466</v>
      </c>
      <c r="K450" s="709"/>
      <c r="L450" s="709"/>
      <c r="M450" s="709"/>
      <c r="N450" s="585"/>
      <c r="O450" s="610"/>
      <c r="P450" s="610"/>
      <c r="AE450" s="601"/>
      <c r="AF450" s="601"/>
    </row>
    <row r="451" spans="1:32" s="578" customFormat="1" ht="11.25">
      <c r="A451" s="709"/>
      <c r="B451" s="709"/>
      <c r="C451" s="710" t="s">
        <v>3341</v>
      </c>
      <c r="D451" s="710"/>
      <c r="E451" s="710"/>
      <c r="F451" s="710"/>
      <c r="G451" s="710"/>
      <c r="H451" s="710"/>
      <c r="I451" s="710"/>
      <c r="J451" s="711" t="s">
        <v>2416</v>
      </c>
      <c r="K451" s="710"/>
      <c r="L451" s="709"/>
      <c r="M451" s="709"/>
      <c r="N451" s="585"/>
      <c r="O451" s="610"/>
      <c r="P451" s="610"/>
      <c r="AE451" s="601"/>
      <c r="AF451" s="601"/>
    </row>
    <row r="452" spans="1:32" s="578" customFormat="1" ht="11.25">
      <c r="A452" s="709"/>
      <c r="B452" s="709"/>
      <c r="C452" s="710" t="s">
        <v>2805</v>
      </c>
      <c r="D452" s="710"/>
      <c r="E452" s="710"/>
      <c r="F452" s="710"/>
      <c r="G452" s="710"/>
      <c r="H452" s="710"/>
      <c r="I452" s="710"/>
      <c r="J452" s="711" t="s">
        <v>251</v>
      </c>
      <c r="K452" s="710"/>
      <c r="L452" s="709"/>
      <c r="M452" s="709"/>
      <c r="N452" s="585"/>
      <c r="O452" s="610"/>
      <c r="P452" s="610"/>
      <c r="AE452" s="601"/>
      <c r="AF452" s="601"/>
    </row>
    <row r="453" spans="1:32" s="578" customFormat="1" ht="11.25">
      <c r="A453" s="709"/>
      <c r="B453" s="709"/>
      <c r="C453" s="710" t="s">
        <v>2806</v>
      </c>
      <c r="D453" s="710"/>
      <c r="E453" s="710"/>
      <c r="F453" s="710"/>
      <c r="G453" s="710"/>
      <c r="H453" s="710"/>
      <c r="I453" s="710"/>
      <c r="J453" s="709" t="s">
        <v>1601</v>
      </c>
      <c r="K453" s="710"/>
      <c r="L453" s="709"/>
      <c r="M453" s="709"/>
      <c r="N453" s="585"/>
      <c r="O453" s="610"/>
      <c r="P453" s="610"/>
      <c r="AE453" s="601"/>
      <c r="AF453" s="601"/>
    </row>
    <row r="454" spans="1:32" s="578" customFormat="1" ht="11.25">
      <c r="A454" s="709"/>
      <c r="B454" s="709"/>
      <c r="C454" s="712" t="s">
        <v>2807</v>
      </c>
      <c r="D454" s="710"/>
      <c r="E454" s="710"/>
      <c r="F454" s="710"/>
      <c r="G454" s="710"/>
      <c r="H454" s="710"/>
      <c r="I454" s="710"/>
      <c r="J454" s="713" t="s">
        <v>2819</v>
      </c>
      <c r="K454" s="710"/>
      <c r="L454" s="709"/>
      <c r="M454" s="709"/>
      <c r="N454" s="585"/>
      <c r="O454" s="610"/>
      <c r="P454" s="610"/>
      <c r="AE454" s="601"/>
      <c r="AF454" s="601"/>
    </row>
    <row r="455" spans="1:32" s="578" customFormat="1" ht="11.25">
      <c r="A455" s="709"/>
      <c r="B455" s="709"/>
      <c r="C455" s="712" t="s">
        <v>2808</v>
      </c>
      <c r="D455" s="710"/>
      <c r="E455" s="710"/>
      <c r="F455" s="710"/>
      <c r="G455" s="710"/>
      <c r="H455" s="710"/>
      <c r="I455" s="710"/>
      <c r="J455" s="711" t="s">
        <v>2340</v>
      </c>
      <c r="K455" s="710"/>
      <c r="L455" s="709"/>
      <c r="M455" s="709"/>
      <c r="N455" s="585"/>
      <c r="O455" s="610"/>
      <c r="P455" s="610"/>
      <c r="AE455" s="601"/>
      <c r="AF455" s="601"/>
    </row>
    <row r="456" spans="1:32" s="578" customFormat="1" ht="11.25">
      <c r="A456" s="709"/>
      <c r="B456" s="709"/>
      <c r="C456" s="712"/>
      <c r="D456" s="710"/>
      <c r="E456" s="710"/>
      <c r="F456" s="710"/>
      <c r="G456" s="710"/>
      <c r="H456" s="710"/>
      <c r="I456" s="710"/>
      <c r="J456" s="711" t="s">
        <v>1609</v>
      </c>
      <c r="K456" s="710"/>
      <c r="L456" s="709"/>
      <c r="M456" s="709"/>
      <c r="N456" s="585"/>
      <c r="O456" s="610"/>
      <c r="P456" s="610"/>
      <c r="AE456" s="601"/>
      <c r="AF456" s="601"/>
    </row>
    <row r="457" spans="1:32" s="578" customFormat="1" ht="11.25">
      <c r="A457" s="709"/>
      <c r="B457" s="709"/>
      <c r="C457" s="709" t="s">
        <v>2466</v>
      </c>
      <c r="D457" s="710"/>
      <c r="E457" s="710"/>
      <c r="F457" s="710"/>
      <c r="G457" s="710"/>
      <c r="H457" s="710"/>
      <c r="I457" s="710"/>
      <c r="J457" s="711" t="s">
        <v>2337</v>
      </c>
      <c r="K457" s="710"/>
      <c r="L457" s="709"/>
      <c r="M457" s="709"/>
      <c r="N457" s="585"/>
      <c r="O457" s="610"/>
      <c r="P457" s="610"/>
      <c r="AE457" s="601"/>
      <c r="AF457" s="601"/>
    </row>
    <row r="458" spans="1:32" s="578" customFormat="1" ht="11.25">
      <c r="A458" s="709"/>
      <c r="B458" s="709"/>
      <c r="C458" s="714" t="s">
        <v>1828</v>
      </c>
      <c r="D458" s="710"/>
      <c r="E458" s="710"/>
      <c r="F458" s="710"/>
      <c r="G458" s="710"/>
      <c r="H458" s="710"/>
      <c r="I458" s="710"/>
      <c r="J458" s="711" t="s">
        <v>2820</v>
      </c>
      <c r="K458" s="710"/>
      <c r="L458" s="709"/>
      <c r="M458" s="709"/>
      <c r="N458" s="585"/>
      <c r="O458" s="610"/>
      <c r="P458" s="610"/>
      <c r="AE458" s="601"/>
      <c r="AF458" s="601"/>
    </row>
    <row r="459" spans="1:32" s="578" customFormat="1" ht="11.25">
      <c r="A459" s="709"/>
      <c r="B459" s="709"/>
      <c r="C459" s="714" t="s">
        <v>1829</v>
      </c>
      <c r="D459" s="710"/>
      <c r="E459" s="710"/>
      <c r="F459" s="710"/>
      <c r="G459" s="710"/>
      <c r="H459" s="710"/>
      <c r="I459" s="710"/>
      <c r="J459" s="711" t="s">
        <v>2330</v>
      </c>
      <c r="K459" s="710"/>
      <c r="L459" s="709"/>
      <c r="M459" s="709"/>
      <c r="N459" s="585"/>
      <c r="O459" s="610"/>
      <c r="P459" s="610"/>
      <c r="AE459" s="601"/>
      <c r="AF459" s="601"/>
    </row>
    <row r="460" spans="1:32" s="578" customFormat="1" ht="11.25">
      <c r="A460" s="709"/>
      <c r="B460" s="709"/>
      <c r="C460" s="715" t="s">
        <v>2848</v>
      </c>
      <c r="D460" s="710"/>
      <c r="E460" s="710"/>
      <c r="F460" s="710"/>
      <c r="G460" s="710"/>
      <c r="H460" s="710"/>
      <c r="I460" s="710"/>
      <c r="J460" s="711" t="s">
        <v>1610</v>
      </c>
      <c r="K460" s="710"/>
      <c r="L460" s="709"/>
      <c r="M460" s="709"/>
      <c r="N460" s="585"/>
      <c r="O460" s="610"/>
      <c r="P460" s="610"/>
      <c r="AE460" s="601"/>
      <c r="AF460" s="601"/>
    </row>
    <row r="461" spans="1:32" s="578" customFormat="1" ht="11.25">
      <c r="A461" s="709"/>
      <c r="B461" s="709"/>
      <c r="C461" s="715" t="s">
        <v>1825</v>
      </c>
      <c r="D461" s="710"/>
      <c r="E461" s="710"/>
      <c r="F461" s="710"/>
      <c r="G461" s="710"/>
      <c r="H461" s="710"/>
      <c r="I461" s="710"/>
      <c r="J461" s="711" t="s">
        <v>765</v>
      </c>
      <c r="K461" s="710"/>
      <c r="L461" s="709"/>
      <c r="M461" s="709"/>
      <c r="N461" s="585"/>
      <c r="O461" s="610"/>
      <c r="P461" s="610"/>
      <c r="AE461" s="601"/>
      <c r="AF461" s="601"/>
    </row>
    <row r="462" spans="1:32" s="578" customFormat="1" ht="11.25">
      <c r="A462" s="709"/>
      <c r="B462" s="709"/>
      <c r="C462" s="715" t="s">
        <v>1826</v>
      </c>
      <c r="D462" s="710"/>
      <c r="E462" s="710"/>
      <c r="F462" s="710"/>
      <c r="G462" s="710"/>
      <c r="H462" s="710"/>
      <c r="I462" s="710"/>
      <c r="J462" s="711" t="s">
        <v>2336</v>
      </c>
      <c r="K462" s="710"/>
      <c r="L462" s="709"/>
      <c r="M462" s="709"/>
      <c r="N462" s="585"/>
      <c r="O462" s="610"/>
      <c r="P462" s="610"/>
      <c r="AE462" s="601"/>
      <c r="AF462" s="601"/>
    </row>
    <row r="463" spans="1:32" s="578" customFormat="1" ht="11.25">
      <c r="A463" s="709"/>
      <c r="B463" s="709"/>
      <c r="C463" s="714" t="s">
        <v>2843</v>
      </c>
      <c r="D463" s="710"/>
      <c r="E463" s="710"/>
      <c r="F463" s="710"/>
      <c r="G463" s="710"/>
      <c r="H463" s="710"/>
      <c r="I463" s="710"/>
      <c r="J463" s="711" t="s">
        <v>1603</v>
      </c>
      <c r="K463" s="710"/>
      <c r="L463" s="709"/>
      <c r="M463" s="709"/>
      <c r="N463" s="585"/>
      <c r="O463" s="610"/>
      <c r="P463" s="610"/>
      <c r="AE463" s="601"/>
      <c r="AF463" s="601"/>
    </row>
    <row r="464" spans="1:32" s="578" customFormat="1" ht="11.25">
      <c r="A464" s="709"/>
      <c r="B464" s="709"/>
      <c r="C464" s="714" t="s">
        <v>2844</v>
      </c>
      <c r="D464" s="710"/>
      <c r="E464" s="710"/>
      <c r="F464" s="710"/>
      <c r="G464" s="710"/>
      <c r="H464" s="710"/>
      <c r="I464" s="710"/>
      <c r="J464" s="711" t="s">
        <v>1602</v>
      </c>
      <c r="K464" s="709"/>
      <c r="L464" s="709"/>
      <c r="M464" s="709"/>
      <c r="N464" s="585"/>
      <c r="O464" s="610"/>
      <c r="P464" s="610"/>
      <c r="AE464" s="601"/>
      <c r="AF464" s="601"/>
    </row>
    <row r="465" spans="1:32" s="578" customFormat="1" ht="11.25">
      <c r="A465" s="709"/>
      <c r="B465" s="709"/>
      <c r="C465" s="714" t="s">
        <v>2845</v>
      </c>
      <c r="D465" s="709"/>
      <c r="E465" s="709"/>
      <c r="F465" s="709"/>
      <c r="G465" s="709"/>
      <c r="H465" s="709"/>
      <c r="I465" s="709"/>
      <c r="J465" s="711" t="s">
        <v>2417</v>
      </c>
      <c r="K465" s="709"/>
      <c r="L465" s="709"/>
      <c r="M465" s="709"/>
      <c r="N465" s="585"/>
      <c r="O465" s="610"/>
      <c r="P465" s="610"/>
      <c r="AE465" s="601"/>
      <c r="AF465" s="601"/>
    </row>
    <row r="466" spans="1:32" s="578" customFormat="1" ht="11.25">
      <c r="A466" s="709"/>
      <c r="B466" s="709"/>
      <c r="C466" s="714" t="s">
        <v>2846</v>
      </c>
      <c r="D466" s="709"/>
      <c r="E466" s="709"/>
      <c r="F466" s="709"/>
      <c r="G466" s="709"/>
      <c r="H466" s="709"/>
      <c r="I466" s="709"/>
      <c r="J466" s="711" t="s">
        <v>2339</v>
      </c>
      <c r="K466" s="709"/>
      <c r="L466" s="709"/>
      <c r="M466" s="709"/>
      <c r="N466" s="585"/>
      <c r="O466" s="610"/>
      <c r="P466" s="610"/>
      <c r="AE466" s="601"/>
      <c r="AF466" s="601"/>
    </row>
    <row r="467" spans="1:32" s="578" customFormat="1" ht="11.25">
      <c r="A467" s="709"/>
      <c r="B467" s="709"/>
      <c r="C467" s="714" t="s">
        <v>2847</v>
      </c>
      <c r="D467" s="709"/>
      <c r="E467" s="709"/>
      <c r="F467" s="709"/>
      <c r="G467" s="709"/>
      <c r="H467" s="709"/>
      <c r="I467" s="709"/>
      <c r="J467" s="711" t="s">
        <v>2331</v>
      </c>
      <c r="K467" s="709"/>
      <c r="L467" s="709"/>
      <c r="M467" s="709"/>
      <c r="N467" s="585"/>
      <c r="O467" s="610"/>
      <c r="P467" s="610"/>
      <c r="AE467" s="601"/>
      <c r="AF467" s="601"/>
    </row>
    <row r="468" spans="1:32" s="578" customFormat="1" ht="11.25">
      <c r="A468" s="709"/>
      <c r="B468" s="709"/>
      <c r="C468" s="714" t="s">
        <v>1827</v>
      </c>
      <c r="D468" s="709"/>
      <c r="E468" s="709"/>
      <c r="F468" s="709"/>
      <c r="G468" s="709"/>
      <c r="H468" s="709"/>
      <c r="I468" s="709"/>
      <c r="J468" s="711" t="s">
        <v>2818</v>
      </c>
      <c r="K468" s="709"/>
      <c r="L468" s="709"/>
      <c r="M468" s="709"/>
      <c r="N468" s="585"/>
      <c r="O468" s="610"/>
      <c r="P468" s="610"/>
      <c r="AE468" s="601"/>
      <c r="AF468" s="601"/>
    </row>
    <row r="469" spans="1:32" s="578" customFormat="1" ht="11.25">
      <c r="A469" s="709"/>
      <c r="B469" s="709"/>
      <c r="C469" s="714" t="s">
        <v>3009</v>
      </c>
      <c r="D469" s="709"/>
      <c r="E469" s="709"/>
      <c r="F469" s="709"/>
      <c r="G469" s="709"/>
      <c r="H469" s="709"/>
      <c r="I469" s="709"/>
      <c r="J469" s="709"/>
      <c r="K469" s="709"/>
      <c r="L469" s="709"/>
      <c r="M469" s="709"/>
      <c r="N469" s="585"/>
      <c r="O469" s="610"/>
      <c r="P469" s="610"/>
      <c r="AE469" s="601"/>
      <c r="AF469" s="601"/>
    </row>
    <row r="470" spans="1:32" s="578" customFormat="1" ht="11.25">
      <c r="A470" s="709"/>
      <c r="B470" s="709"/>
      <c r="C470" s="709"/>
      <c r="D470" s="709"/>
      <c r="E470" s="709"/>
      <c r="F470" s="709"/>
      <c r="G470" s="709"/>
      <c r="H470" s="709"/>
      <c r="I470" s="709"/>
      <c r="J470" s="709"/>
      <c r="K470" s="709"/>
      <c r="L470" s="709"/>
      <c r="M470" s="709"/>
      <c r="N470" s="585"/>
      <c r="O470" s="610"/>
      <c r="P470" s="610"/>
      <c r="AE470" s="601"/>
      <c r="AF470" s="601"/>
    </row>
    <row r="471" spans="1:32" s="64" customFormat="1" ht="11.25">
      <c r="A471" s="710"/>
      <c r="B471" s="710"/>
      <c r="C471" s="716" t="s">
        <v>2049</v>
      </c>
      <c r="D471" s="710"/>
      <c r="E471" s="710"/>
      <c r="F471" s="710"/>
      <c r="G471" s="710"/>
      <c r="H471" s="710"/>
      <c r="I471" s="710"/>
      <c r="J471" s="710"/>
      <c r="K471" s="710"/>
      <c r="L471" s="710"/>
      <c r="M471" s="710"/>
      <c r="AE471" s="551"/>
      <c r="AF471" s="551"/>
    </row>
    <row r="472" spans="1:32" s="64" customFormat="1" ht="11.25">
      <c r="A472" s="710"/>
      <c r="B472" s="710"/>
      <c r="C472" s="710" t="s">
        <v>2466</v>
      </c>
      <c r="D472" s="710"/>
      <c r="E472" s="710"/>
      <c r="F472" s="710"/>
      <c r="G472" s="710"/>
      <c r="H472" s="710"/>
      <c r="I472" s="710"/>
      <c r="J472" s="710"/>
      <c r="K472" s="710"/>
      <c r="L472" s="710"/>
      <c r="M472" s="710"/>
      <c r="AE472" s="551"/>
      <c r="AF472" s="551"/>
    </row>
    <row r="473" spans="1:32" s="64" customFormat="1" ht="11.25">
      <c r="A473" s="710"/>
      <c r="B473" s="710"/>
      <c r="C473" s="710" t="s">
        <v>2804</v>
      </c>
      <c r="D473" s="710"/>
      <c r="E473" s="709"/>
      <c r="F473" s="709"/>
      <c r="G473" s="709"/>
      <c r="H473" s="709"/>
      <c r="I473" s="709"/>
      <c r="J473" s="709"/>
      <c r="K473" s="709"/>
      <c r="L473" s="709"/>
      <c r="M473" s="709"/>
      <c r="AE473" s="551"/>
      <c r="AF473" s="551"/>
    </row>
    <row r="474" spans="1:32" s="64" customFormat="1" ht="11.25">
      <c r="A474" s="710"/>
      <c r="B474" s="710"/>
      <c r="C474" s="710" t="s">
        <v>3341</v>
      </c>
      <c r="D474" s="709"/>
      <c r="E474" s="709"/>
      <c r="F474" s="709"/>
      <c r="G474" s="709"/>
      <c r="H474" s="710"/>
      <c r="I474" s="709"/>
      <c r="J474" s="709"/>
      <c r="K474" s="709"/>
      <c r="L474" s="709"/>
      <c r="M474" s="709"/>
      <c r="AE474" s="551"/>
      <c r="AF474" s="551"/>
    </row>
    <row r="475" spans="1:32" s="64" customFormat="1" ht="11.25">
      <c r="A475" s="710"/>
      <c r="B475" s="710"/>
      <c r="C475" s="710" t="s">
        <v>2805</v>
      </c>
      <c r="D475" s="709"/>
      <c r="E475" s="709"/>
      <c r="F475" s="709"/>
      <c r="G475" s="709"/>
      <c r="H475" s="709"/>
      <c r="I475" s="709"/>
      <c r="J475" s="709"/>
      <c r="K475" s="709"/>
      <c r="L475" s="709"/>
      <c r="M475" s="709"/>
      <c r="AE475" s="551"/>
      <c r="AF475" s="551"/>
    </row>
    <row r="476" spans="1:32" s="64" customFormat="1" ht="11.25">
      <c r="A476" s="710"/>
      <c r="B476" s="710"/>
      <c r="C476" s="710" t="s">
        <v>2329</v>
      </c>
      <c r="D476" s="709"/>
      <c r="E476" s="709"/>
      <c r="F476" s="709"/>
      <c r="G476" s="709"/>
      <c r="H476" s="710"/>
      <c r="I476" s="709"/>
      <c r="J476" s="709"/>
      <c r="K476" s="709"/>
      <c r="L476" s="709"/>
      <c r="M476" s="709"/>
      <c r="AE476" s="551"/>
      <c r="AF476" s="551"/>
    </row>
    <row r="477" spans="1:32" s="64" customFormat="1" ht="11.25">
      <c r="A477" s="710"/>
      <c r="B477" s="710"/>
      <c r="C477" s="712" t="s">
        <v>2723</v>
      </c>
      <c r="D477" s="709"/>
      <c r="E477" s="709"/>
      <c r="F477" s="709"/>
      <c r="G477" s="709"/>
      <c r="H477" s="710"/>
      <c r="I477" s="709"/>
      <c r="J477" s="709"/>
      <c r="K477" s="709"/>
      <c r="L477" s="709"/>
      <c r="M477" s="709"/>
      <c r="AE477" s="551"/>
      <c r="AF477" s="551"/>
    </row>
    <row r="478" spans="1:32" s="64" customFormat="1" ht="11.25">
      <c r="A478" s="710"/>
      <c r="B478" s="710"/>
      <c r="C478" s="710" t="s">
        <v>251</v>
      </c>
      <c r="D478" s="709"/>
      <c r="E478" s="709"/>
      <c r="F478" s="709"/>
      <c r="G478" s="709"/>
      <c r="H478" s="710"/>
      <c r="I478" s="709"/>
      <c r="J478" s="710"/>
      <c r="K478" s="709"/>
      <c r="L478" s="709"/>
      <c r="M478" s="709"/>
      <c r="AE478" s="551"/>
      <c r="AF478" s="551"/>
    </row>
    <row r="479" spans="1:32" s="64" customFormat="1" ht="11.25">
      <c r="A479" s="710"/>
      <c r="B479" s="710"/>
      <c r="C479" s="710" t="s">
        <v>2330</v>
      </c>
      <c r="D479" s="709"/>
      <c r="E479" s="709"/>
      <c r="F479" s="709"/>
      <c r="G479" s="709"/>
      <c r="H479" s="710"/>
      <c r="I479" s="709"/>
      <c r="J479" s="710"/>
      <c r="K479" s="709"/>
      <c r="L479" s="709"/>
      <c r="M479" s="709"/>
      <c r="AE479" s="551"/>
      <c r="AF479" s="551"/>
    </row>
    <row r="480" spans="1:32" s="64" customFormat="1" ht="11.25">
      <c r="A480" s="710"/>
      <c r="B480" s="710"/>
      <c r="C480" s="710" t="s">
        <v>2331</v>
      </c>
      <c r="D480" s="709"/>
      <c r="E480" s="709"/>
      <c r="F480" s="709"/>
      <c r="G480" s="709"/>
      <c r="H480" s="710"/>
      <c r="I480" s="709"/>
      <c r="J480" s="710"/>
      <c r="K480" s="709"/>
      <c r="L480" s="709"/>
      <c r="M480" s="709"/>
      <c r="AE480" s="551"/>
      <c r="AF480" s="551"/>
    </row>
    <row r="481" spans="1:32" s="64" customFormat="1" ht="11.25">
      <c r="A481" s="710"/>
      <c r="B481" s="710"/>
      <c r="C481" s="710" t="s">
        <v>3286</v>
      </c>
      <c r="D481" s="709"/>
      <c r="E481" s="709"/>
      <c r="F481" s="709"/>
      <c r="G481" s="709"/>
      <c r="H481" s="709"/>
      <c r="I481" s="709"/>
      <c r="J481" s="709"/>
      <c r="K481" s="709"/>
      <c r="L481" s="709"/>
      <c r="M481" s="709"/>
      <c r="AE481" s="551"/>
      <c r="AF481" s="551"/>
    </row>
    <row r="482" spans="1:32" s="64" customFormat="1" ht="11.25">
      <c r="A482" s="710"/>
      <c r="B482" s="710"/>
      <c r="C482" s="710" t="s">
        <v>2050</v>
      </c>
      <c r="D482" s="709"/>
      <c r="E482" s="709"/>
      <c r="F482" s="709"/>
      <c r="G482" s="709"/>
      <c r="H482" s="709"/>
      <c r="I482" s="709"/>
      <c r="J482" s="709"/>
      <c r="K482" s="709"/>
      <c r="L482" s="709"/>
      <c r="M482" s="709"/>
      <c r="AE482" s="551"/>
      <c r="AF482" s="551"/>
    </row>
    <row r="483" spans="1:32" s="64" customFormat="1" ht="11.25">
      <c r="A483" s="710"/>
      <c r="B483" s="710"/>
      <c r="C483" s="710" t="s">
        <v>2333</v>
      </c>
      <c r="D483" s="709"/>
      <c r="E483" s="709"/>
      <c r="F483" s="709"/>
      <c r="G483" s="709"/>
      <c r="H483" s="709"/>
      <c r="I483" s="709"/>
      <c r="J483" s="709"/>
      <c r="K483" s="709"/>
      <c r="L483" s="709"/>
      <c r="M483" s="709"/>
      <c r="AE483" s="551"/>
      <c r="AF483" s="551"/>
    </row>
    <row r="484" spans="1:32" s="64" customFormat="1" ht="11.25">
      <c r="A484" s="710"/>
      <c r="B484" s="710"/>
      <c r="C484" s="710" t="s">
        <v>3289</v>
      </c>
      <c r="D484" s="709"/>
      <c r="E484" s="709"/>
      <c r="F484" s="709"/>
      <c r="G484" s="709"/>
      <c r="H484" s="709"/>
      <c r="I484" s="709"/>
      <c r="J484" s="709"/>
      <c r="K484" s="709"/>
      <c r="L484" s="709"/>
      <c r="M484" s="709"/>
      <c r="AE484" s="551"/>
      <c r="AF484" s="551"/>
    </row>
    <row r="485" spans="1:32" s="64" customFormat="1" ht="11.25">
      <c r="A485" s="710"/>
      <c r="B485" s="710"/>
      <c r="C485" s="710" t="s">
        <v>2335</v>
      </c>
      <c r="D485" s="709"/>
      <c r="E485" s="709"/>
      <c r="F485" s="709"/>
      <c r="G485" s="709"/>
      <c r="H485" s="709"/>
      <c r="I485" s="709"/>
      <c r="J485" s="709"/>
      <c r="K485" s="709"/>
      <c r="L485" s="709"/>
      <c r="M485" s="709"/>
      <c r="N485" s="64" t="s">
        <v>3287</v>
      </c>
      <c r="AE485" s="551"/>
      <c r="AF485" s="551"/>
    </row>
    <row r="486" spans="1:32" s="64" customFormat="1" ht="11.25">
      <c r="A486" s="710"/>
      <c r="B486" s="710"/>
      <c r="C486" s="710" t="s">
        <v>2336</v>
      </c>
      <c r="D486" s="709"/>
      <c r="E486" s="709"/>
      <c r="F486" s="709"/>
      <c r="G486" s="709"/>
      <c r="H486" s="709"/>
      <c r="I486" s="709"/>
      <c r="J486" s="709"/>
      <c r="K486" s="709"/>
      <c r="L486" s="709"/>
      <c r="M486" s="709"/>
      <c r="AE486" s="551"/>
      <c r="AF486" s="551"/>
    </row>
    <row r="487" spans="1:32" s="64" customFormat="1" ht="11.25">
      <c r="A487" s="710"/>
      <c r="B487" s="710"/>
      <c r="C487" s="710" t="s">
        <v>2337</v>
      </c>
      <c r="D487" s="709"/>
      <c r="E487" s="709"/>
      <c r="F487" s="709"/>
      <c r="G487" s="709"/>
      <c r="H487" s="709"/>
      <c r="I487" s="709"/>
      <c r="J487" s="709"/>
      <c r="K487" s="709"/>
      <c r="L487" s="709"/>
      <c r="M487" s="709"/>
      <c r="AE487" s="551"/>
      <c r="AF487" s="551"/>
    </row>
    <row r="488" spans="1:32" s="64" customFormat="1" ht="11.25">
      <c r="A488" s="710"/>
      <c r="B488" s="710"/>
      <c r="C488" s="710" t="s">
        <v>765</v>
      </c>
      <c r="D488" s="709"/>
      <c r="E488" s="709"/>
      <c r="F488" s="709"/>
      <c r="G488" s="709"/>
      <c r="H488" s="709"/>
      <c r="I488" s="709"/>
      <c r="J488" s="709"/>
      <c r="K488" s="709"/>
      <c r="L488" s="709"/>
      <c r="M488" s="709"/>
      <c r="AE488" s="551"/>
      <c r="AF488" s="551"/>
    </row>
    <row r="489" spans="1:32" s="64" customFormat="1" ht="11.25">
      <c r="A489" s="710"/>
      <c r="B489" s="710"/>
      <c r="C489" s="710" t="s">
        <v>2338</v>
      </c>
      <c r="D489" s="709"/>
      <c r="E489" s="709"/>
      <c r="F489" s="709"/>
      <c r="G489" s="709"/>
      <c r="H489" s="709"/>
      <c r="I489" s="709"/>
      <c r="J489" s="709"/>
      <c r="K489" s="709"/>
      <c r="L489" s="709"/>
      <c r="M489" s="709"/>
      <c r="AE489" s="551"/>
      <c r="AF489" s="551"/>
    </row>
    <row r="490" spans="1:32" s="64" customFormat="1" ht="11.25">
      <c r="A490" s="710"/>
      <c r="B490" s="710"/>
      <c r="C490" s="710" t="s">
        <v>2583</v>
      </c>
      <c r="D490" s="709"/>
      <c r="E490" s="709"/>
      <c r="F490" s="709"/>
      <c r="G490" s="709"/>
      <c r="H490" s="709"/>
      <c r="I490" s="709"/>
      <c r="J490" s="709"/>
      <c r="K490" s="709"/>
      <c r="L490" s="709"/>
      <c r="M490" s="709"/>
      <c r="AE490" s="551"/>
      <c r="AF490" s="551"/>
    </row>
    <row r="491" spans="1:32" s="64" customFormat="1" ht="11.25">
      <c r="A491" s="710"/>
      <c r="B491" s="710"/>
      <c r="C491" s="710" t="s">
        <v>250</v>
      </c>
      <c r="D491" s="709"/>
      <c r="E491" s="709"/>
      <c r="F491" s="709"/>
      <c r="G491" s="709"/>
      <c r="H491" s="709"/>
      <c r="I491" s="709"/>
      <c r="J491" s="709"/>
      <c r="K491" s="709"/>
      <c r="L491" s="709"/>
      <c r="M491" s="709"/>
      <c r="AE491" s="551"/>
      <c r="AF491" s="551"/>
    </row>
    <row r="492" spans="1:32" s="64" customFormat="1" ht="11.25">
      <c r="A492" s="710"/>
      <c r="B492" s="710"/>
      <c r="C492" s="710"/>
      <c r="D492" s="710"/>
      <c r="E492" s="710"/>
      <c r="F492" s="710"/>
      <c r="G492" s="710"/>
      <c r="H492" s="710"/>
      <c r="I492" s="710"/>
      <c r="J492" s="710"/>
      <c r="K492" s="710"/>
      <c r="L492" s="710"/>
      <c r="M492" s="710"/>
      <c r="AE492" s="551"/>
      <c r="AF492" s="551"/>
    </row>
    <row r="493" spans="1:32" s="64" customFormat="1" ht="11.25">
      <c r="A493" s="710"/>
      <c r="B493" s="710"/>
      <c r="C493" s="716" t="s">
        <v>2485</v>
      </c>
      <c r="D493" s="710"/>
      <c r="E493" s="710"/>
      <c r="F493" s="710"/>
      <c r="G493" s="710"/>
      <c r="H493" s="710"/>
      <c r="I493" s="710"/>
      <c r="J493" s="710"/>
      <c r="K493" s="710"/>
      <c r="L493" s="710"/>
      <c r="M493" s="710"/>
      <c r="AE493" s="551"/>
      <c r="AF493" s="551"/>
    </row>
    <row r="494" spans="1:32" s="64" customFormat="1" ht="11.25">
      <c r="A494" s="710"/>
      <c r="B494" s="710"/>
      <c r="C494" s="710" t="s">
        <v>1323</v>
      </c>
      <c r="D494" s="710"/>
      <c r="E494" s="710"/>
      <c r="F494" s="710"/>
      <c r="G494" s="710"/>
      <c r="H494" s="710"/>
      <c r="I494" s="710"/>
      <c r="J494" s="710"/>
      <c r="K494" s="710"/>
      <c r="L494" s="710"/>
      <c r="M494" s="710"/>
      <c r="AE494" s="551"/>
      <c r="AF494" s="551"/>
    </row>
    <row r="495" spans="1:32" s="64" customFormat="1" ht="11.25">
      <c r="A495" s="710"/>
      <c r="B495" s="710"/>
      <c r="C495" s="714" t="s">
        <v>2232</v>
      </c>
      <c r="D495" s="710"/>
      <c r="E495" s="710"/>
      <c r="F495" s="710"/>
      <c r="G495" s="710"/>
      <c r="H495" s="710"/>
      <c r="I495" s="710"/>
      <c r="J495" s="710"/>
      <c r="K495" s="710"/>
      <c r="L495" s="710"/>
      <c r="M495" s="710"/>
      <c r="AE495" s="551"/>
      <c r="AF495" s="551"/>
    </row>
    <row r="496" spans="1:32" s="64" customFormat="1" ht="11.25">
      <c r="A496" s="710"/>
      <c r="B496" s="710"/>
      <c r="C496" s="714" t="s">
        <v>912</v>
      </c>
      <c r="D496" s="710"/>
      <c r="E496" s="710"/>
      <c r="F496" s="710"/>
      <c r="G496" s="710"/>
      <c r="H496" s="710"/>
      <c r="I496" s="710"/>
      <c r="J496" s="710"/>
      <c r="K496" s="710"/>
      <c r="L496" s="714"/>
      <c r="M496" s="710"/>
      <c r="AE496" s="551"/>
      <c r="AF496" s="551"/>
    </row>
    <row r="497" spans="1:32" s="64" customFormat="1" ht="11.25">
      <c r="A497" s="710"/>
      <c r="B497" s="710"/>
      <c r="C497" s="714" t="s">
        <v>913</v>
      </c>
      <c r="D497" s="710"/>
      <c r="E497" s="710"/>
      <c r="F497" s="710"/>
      <c r="G497" s="710"/>
      <c r="H497" s="710"/>
      <c r="I497" s="710"/>
      <c r="J497" s="710"/>
      <c r="K497" s="710"/>
      <c r="L497" s="714"/>
      <c r="M497" s="710"/>
      <c r="AE497" s="551"/>
      <c r="AF497" s="551"/>
    </row>
    <row r="498" spans="1:32" s="64" customFormat="1" ht="11.25">
      <c r="A498" s="710"/>
      <c r="B498" s="710"/>
      <c r="C498" s="714" t="s">
        <v>2872</v>
      </c>
      <c r="D498" s="710"/>
      <c r="E498" s="710"/>
      <c r="F498" s="710"/>
      <c r="G498" s="710"/>
      <c r="H498" s="710"/>
      <c r="I498" s="710"/>
      <c r="J498" s="710"/>
      <c r="K498" s="710"/>
      <c r="L498" s="714"/>
      <c r="M498" s="710"/>
      <c r="AE498" s="551"/>
      <c r="AF498" s="551"/>
    </row>
    <row r="499" spans="1:32" s="64" customFormat="1" ht="11.25">
      <c r="A499" s="710"/>
      <c r="B499" s="710"/>
      <c r="C499" s="714" t="s">
        <v>132</v>
      </c>
      <c r="D499" s="710"/>
      <c r="E499" s="710"/>
      <c r="F499" s="710"/>
      <c r="G499" s="710"/>
      <c r="H499" s="710"/>
      <c r="I499" s="710"/>
      <c r="J499" s="710"/>
      <c r="K499" s="710"/>
      <c r="L499" s="714"/>
      <c r="M499" s="710"/>
      <c r="AE499" s="551"/>
      <c r="AF499" s="551"/>
    </row>
    <row r="500" spans="1:32" s="64" customFormat="1" ht="11.25">
      <c r="A500" s="710"/>
      <c r="B500" s="710"/>
      <c r="C500" s="623" t="s">
        <v>130</v>
      </c>
      <c r="D500" s="710"/>
      <c r="E500" s="710"/>
      <c r="F500" s="710"/>
      <c r="G500" s="710"/>
      <c r="H500" s="710"/>
      <c r="I500" s="710"/>
      <c r="J500" s="710"/>
      <c r="K500" s="710"/>
      <c r="L500" s="714"/>
      <c r="M500" s="710"/>
      <c r="AE500" s="551"/>
      <c r="AF500" s="551"/>
    </row>
    <row r="501" spans="1:32" s="64" customFormat="1" ht="11.25">
      <c r="A501" s="710"/>
      <c r="B501" s="710"/>
      <c r="C501" s="623" t="s">
        <v>2588</v>
      </c>
      <c r="D501" s="710"/>
      <c r="E501" s="710"/>
      <c r="F501" s="710"/>
      <c r="G501" s="710"/>
      <c r="H501" s="710"/>
      <c r="I501" s="710"/>
      <c r="J501" s="710"/>
      <c r="K501" s="710"/>
      <c r="L501" s="710"/>
      <c r="M501" s="710"/>
      <c r="AE501" s="551"/>
      <c r="AF501" s="551"/>
    </row>
    <row r="502" spans="1:32" s="64" customFormat="1" ht="11.25">
      <c r="A502" s="710"/>
      <c r="B502" s="710"/>
      <c r="C502" s="714" t="s">
        <v>1343</v>
      </c>
      <c r="D502" s="710"/>
      <c r="E502" s="710"/>
      <c r="F502" s="710"/>
      <c r="G502" s="710"/>
      <c r="H502" s="710"/>
      <c r="I502" s="710"/>
      <c r="J502" s="710"/>
      <c r="K502" s="710"/>
      <c r="L502" s="714"/>
      <c r="M502" s="710"/>
      <c r="AE502" s="551"/>
      <c r="AF502" s="551"/>
    </row>
    <row r="503" spans="1:32" s="64" customFormat="1" ht="11.25">
      <c r="A503" s="710"/>
      <c r="B503" s="710"/>
      <c r="C503" s="623" t="s">
        <v>131</v>
      </c>
      <c r="D503" s="710"/>
      <c r="E503" s="710"/>
      <c r="F503" s="710"/>
      <c r="G503" s="710"/>
      <c r="H503" s="710"/>
      <c r="I503" s="710"/>
      <c r="J503" s="710"/>
      <c r="K503" s="710"/>
      <c r="L503" s="714"/>
      <c r="M503" s="710"/>
      <c r="AE503" s="551"/>
      <c r="AF503" s="551"/>
    </row>
    <row r="504" spans="1:32" s="64" customFormat="1" ht="11.25">
      <c r="A504" s="710"/>
      <c r="B504" s="710"/>
      <c r="C504" s="623" t="s">
        <v>132</v>
      </c>
      <c r="D504" s="710"/>
      <c r="E504" s="710"/>
      <c r="F504" s="710"/>
      <c r="G504" s="710"/>
      <c r="H504" s="710"/>
      <c r="I504" s="710"/>
      <c r="J504" s="710"/>
      <c r="K504" s="710"/>
      <c r="L504" s="714"/>
      <c r="M504" s="710"/>
      <c r="AE504" s="551"/>
      <c r="AF504" s="551"/>
    </row>
    <row r="505" spans="1:32" s="64" customFormat="1" ht="11.25">
      <c r="A505" s="710"/>
      <c r="B505" s="710"/>
      <c r="C505" s="623" t="s">
        <v>133</v>
      </c>
      <c r="D505" s="710"/>
      <c r="E505" s="710"/>
      <c r="F505" s="710"/>
      <c r="G505" s="710"/>
      <c r="H505" s="710"/>
      <c r="I505" s="710"/>
      <c r="J505" s="710"/>
      <c r="K505" s="710"/>
      <c r="L505" s="714"/>
      <c r="M505" s="710"/>
      <c r="AE505" s="551"/>
      <c r="AF505" s="551"/>
    </row>
    <row r="506" spans="1:32" s="64" customFormat="1" ht="11.25">
      <c r="A506" s="710"/>
      <c r="B506" s="710"/>
      <c r="C506" s="623" t="s">
        <v>3525</v>
      </c>
      <c r="D506" s="710"/>
      <c r="E506" s="710"/>
      <c r="F506" s="710"/>
      <c r="G506" s="710"/>
      <c r="H506" s="710"/>
      <c r="I506" s="710"/>
      <c r="J506" s="710"/>
      <c r="K506" s="710"/>
      <c r="L506" s="710"/>
      <c r="M506" s="710"/>
      <c r="AE506" s="551"/>
      <c r="AF506" s="551"/>
    </row>
    <row r="507" spans="1:32" s="64" customFormat="1" ht="11.25">
      <c r="A507" s="710"/>
      <c r="B507" s="710"/>
      <c r="C507" s="714" t="s">
        <v>2722</v>
      </c>
      <c r="D507" s="710"/>
      <c r="E507" s="710"/>
      <c r="F507" s="710"/>
      <c r="G507" s="710"/>
      <c r="H507" s="710"/>
      <c r="I507" s="710"/>
      <c r="J507" s="710"/>
      <c r="K507" s="710"/>
      <c r="L507" s="714"/>
      <c r="M507" s="710"/>
      <c r="AE507" s="551"/>
      <c r="AF507" s="551"/>
    </row>
    <row r="508" spans="1:32" s="64" customFormat="1" ht="11.25">
      <c r="A508" s="710"/>
      <c r="B508" s="710"/>
      <c r="C508" s="623" t="s">
        <v>3526</v>
      </c>
      <c r="D508" s="710"/>
      <c r="E508" s="710"/>
      <c r="F508" s="710"/>
      <c r="G508" s="710"/>
      <c r="H508" s="710"/>
      <c r="I508" s="710"/>
      <c r="J508" s="710"/>
      <c r="K508" s="710"/>
      <c r="L508" s="714"/>
      <c r="M508" s="710"/>
      <c r="AE508" s="551"/>
      <c r="AF508" s="551"/>
    </row>
    <row r="509" spans="1:32" s="64" customFormat="1" ht="11.25">
      <c r="A509" s="710"/>
      <c r="B509" s="710"/>
      <c r="C509" s="623" t="s">
        <v>1818</v>
      </c>
      <c r="D509" s="710"/>
      <c r="E509" s="710"/>
      <c r="F509" s="710"/>
      <c r="G509" s="710"/>
      <c r="H509" s="710"/>
      <c r="I509" s="710"/>
      <c r="J509" s="710"/>
      <c r="K509" s="710"/>
      <c r="L509" s="714"/>
      <c r="M509" s="710"/>
      <c r="AE509" s="551"/>
      <c r="AF509" s="551"/>
    </row>
    <row r="510" spans="1:32" s="64" customFormat="1" ht="11.25">
      <c r="A510" s="710"/>
      <c r="B510" s="710"/>
      <c r="C510" s="623" t="s">
        <v>2048</v>
      </c>
      <c r="D510" s="710"/>
      <c r="E510" s="710"/>
      <c r="F510" s="710"/>
      <c r="G510" s="710"/>
      <c r="H510" s="710"/>
      <c r="I510" s="710"/>
      <c r="J510" s="710"/>
      <c r="K510" s="717" t="s">
        <v>588</v>
      </c>
      <c r="L510" s="714"/>
      <c r="M510" s="710"/>
      <c r="AE510" s="551"/>
      <c r="AF510" s="551"/>
    </row>
    <row r="511" spans="1:32" s="64" customFormat="1" ht="11.25">
      <c r="A511" s="710"/>
      <c r="B511" s="710"/>
      <c r="C511" s="623" t="s">
        <v>3527</v>
      </c>
      <c r="D511" s="710"/>
      <c r="E511" s="710"/>
      <c r="F511" s="710"/>
      <c r="G511" s="710"/>
      <c r="H511" s="710"/>
      <c r="I511" s="710"/>
      <c r="J511" s="710"/>
      <c r="K511" s="710" t="s">
        <v>1491</v>
      </c>
      <c r="L511" s="714"/>
      <c r="M511" s="710"/>
      <c r="AE511" s="551"/>
      <c r="AF511" s="551"/>
    </row>
    <row r="512" spans="1:32" s="64" customFormat="1" ht="11.25">
      <c r="A512" s="710"/>
      <c r="B512" s="710"/>
      <c r="C512" s="623" t="s">
        <v>3528</v>
      </c>
      <c r="D512" s="710"/>
      <c r="E512" s="710"/>
      <c r="F512" s="710"/>
      <c r="G512" s="710"/>
      <c r="H512" s="710"/>
      <c r="I512" s="710"/>
      <c r="J512" s="710"/>
      <c r="K512" s="710" t="s">
        <v>3483</v>
      </c>
      <c r="L512" s="710"/>
      <c r="M512" s="710"/>
      <c r="AE512" s="551"/>
      <c r="AF512" s="551"/>
    </row>
    <row r="513" spans="1:32" s="64" customFormat="1" ht="11.25">
      <c r="A513" s="710"/>
      <c r="B513" s="710"/>
      <c r="C513" s="714" t="s">
        <v>1625</v>
      </c>
      <c r="D513" s="710"/>
      <c r="E513" s="710"/>
      <c r="F513" s="710"/>
      <c r="G513" s="710"/>
      <c r="H513" s="710"/>
      <c r="I513" s="710"/>
      <c r="J513" s="710"/>
      <c r="K513" s="710" t="s">
        <v>3484</v>
      </c>
      <c r="L513" s="710"/>
      <c r="M513" s="710"/>
      <c r="AE513" s="551"/>
      <c r="AF513" s="551"/>
    </row>
    <row r="514" spans="1:32" s="64" customFormat="1" ht="11.25">
      <c r="A514" s="710"/>
      <c r="B514" s="710"/>
      <c r="C514" s="710"/>
      <c r="D514" s="710"/>
      <c r="E514" s="710"/>
      <c r="F514" s="710"/>
      <c r="G514" s="710"/>
      <c r="H514" s="710"/>
      <c r="I514" s="710"/>
      <c r="J514" s="710"/>
      <c r="K514" s="710"/>
      <c r="L514" s="710"/>
      <c r="M514" s="710"/>
      <c r="AE514" s="551"/>
      <c r="AF514" s="551"/>
    </row>
    <row r="515" spans="1:32" s="64" customFormat="1" ht="11.25">
      <c r="A515" s="710"/>
      <c r="B515" s="710"/>
      <c r="C515" s="716" t="s">
        <v>280</v>
      </c>
      <c r="D515" s="710"/>
      <c r="E515" s="710"/>
      <c r="F515" s="710"/>
      <c r="G515" s="710"/>
      <c r="H515" s="710"/>
      <c r="I515" s="710"/>
      <c r="J515" s="710"/>
      <c r="K515" s="717" t="s">
        <v>2968</v>
      </c>
      <c r="L515" s="710"/>
      <c r="M515" s="710"/>
      <c r="AE515" s="551"/>
      <c r="AF515" s="551"/>
    </row>
    <row r="516" spans="1:32" s="64" customFormat="1" ht="11.25">
      <c r="A516" s="710"/>
      <c r="B516" s="710"/>
      <c r="C516" s="710" t="s">
        <v>1492</v>
      </c>
      <c r="D516" s="710"/>
      <c r="E516" s="710"/>
      <c r="F516" s="710"/>
      <c r="G516" s="710"/>
      <c r="H516" s="710"/>
      <c r="I516" s="710"/>
      <c r="J516" s="710"/>
      <c r="K516" s="710" t="s">
        <v>3057</v>
      </c>
      <c r="L516" s="710"/>
      <c r="M516" s="710"/>
      <c r="AE516" s="551"/>
      <c r="AF516" s="551"/>
    </row>
    <row r="517" spans="1:32" s="64" customFormat="1" ht="11.25">
      <c r="A517" s="710"/>
      <c r="B517" s="710"/>
      <c r="C517" s="710" t="s">
        <v>186</v>
      </c>
      <c r="D517" s="710"/>
      <c r="E517" s="710"/>
      <c r="F517" s="710"/>
      <c r="G517" s="710"/>
      <c r="H517" s="710"/>
      <c r="I517" s="710"/>
      <c r="J517" s="710"/>
      <c r="K517" s="710" t="s">
        <v>1888</v>
      </c>
      <c r="L517" s="710"/>
      <c r="M517" s="710"/>
      <c r="AE517" s="551"/>
      <c r="AF517" s="551"/>
    </row>
    <row r="518" spans="1:32" s="64" customFormat="1" ht="11.25">
      <c r="A518" s="710"/>
      <c r="B518" s="710"/>
      <c r="C518" s="710" t="s">
        <v>1983</v>
      </c>
      <c r="D518" s="710"/>
      <c r="E518" s="710"/>
      <c r="F518" s="710"/>
      <c r="G518" s="710"/>
      <c r="H518" s="710"/>
      <c r="I518" s="710"/>
      <c r="J518" s="710"/>
      <c r="K518" s="710" t="s">
        <v>1544</v>
      </c>
      <c r="L518" s="710"/>
      <c r="M518" s="710"/>
      <c r="AE518" s="551"/>
      <c r="AF518" s="551"/>
    </row>
    <row r="519" spans="1:32" s="64" customFormat="1" ht="11.25">
      <c r="A519" s="710"/>
      <c r="B519" s="710"/>
      <c r="C519" s="710" t="s">
        <v>2833</v>
      </c>
      <c r="D519" s="710"/>
      <c r="E519" s="710"/>
      <c r="F519" s="710"/>
      <c r="G519" s="710"/>
      <c r="H519" s="710"/>
      <c r="I519" s="710"/>
      <c r="J519" s="710"/>
      <c r="K519" s="710" t="s">
        <v>1543</v>
      </c>
      <c r="L519" s="710"/>
      <c r="M519" s="710"/>
      <c r="AE519" s="551"/>
      <c r="AF519" s="551"/>
    </row>
    <row r="520" spans="1:32" s="64" customFormat="1" ht="11.25">
      <c r="A520" s="710"/>
      <c r="B520" s="710"/>
      <c r="C520" s="710" t="s">
        <v>185</v>
      </c>
      <c r="D520" s="710"/>
      <c r="E520" s="710"/>
      <c r="F520" s="710"/>
      <c r="G520" s="710"/>
      <c r="H520" s="710"/>
      <c r="I520" s="710"/>
      <c r="J520" s="710"/>
      <c r="K520" s="710" t="s">
        <v>3683</v>
      </c>
      <c r="L520" s="710"/>
      <c r="M520" s="710"/>
      <c r="AE520" s="551"/>
      <c r="AF520" s="551"/>
    </row>
    <row r="521" spans="1:32" s="64" customFormat="1" ht="11.25">
      <c r="A521" s="710"/>
      <c r="B521" s="710"/>
      <c r="C521" s="710"/>
      <c r="D521" s="710"/>
      <c r="E521" s="710"/>
      <c r="F521" s="710"/>
      <c r="G521" s="710"/>
      <c r="H521" s="710"/>
      <c r="I521" s="710"/>
      <c r="J521" s="710"/>
      <c r="K521" s="717" t="s">
        <v>2658</v>
      </c>
      <c r="L521" s="710"/>
      <c r="M521" s="710"/>
      <c r="AE521" s="551"/>
      <c r="AF521" s="551"/>
    </row>
    <row r="522" spans="1:32" s="64" customFormat="1" ht="11.25">
      <c r="A522" s="710"/>
      <c r="B522" s="710"/>
      <c r="C522" s="710"/>
      <c r="D522" s="710"/>
      <c r="E522" s="710"/>
      <c r="F522" s="710"/>
      <c r="G522" s="710"/>
      <c r="H522" s="710"/>
      <c r="I522" s="710"/>
      <c r="J522" s="710"/>
      <c r="K522" s="710" t="s">
        <v>1490</v>
      </c>
      <c r="L522" s="710"/>
      <c r="M522" s="710"/>
      <c r="AE522" s="551"/>
      <c r="AF522" s="551"/>
    </row>
    <row r="523" spans="1:32" s="64" customFormat="1" ht="11.25">
      <c r="A523" s="710"/>
      <c r="B523" s="710"/>
      <c r="C523" s="710"/>
      <c r="D523" s="710"/>
      <c r="E523" s="710"/>
      <c r="F523" s="710"/>
      <c r="G523" s="710"/>
      <c r="H523" s="710"/>
      <c r="I523" s="710"/>
      <c r="J523" s="710"/>
      <c r="K523" s="710" t="s">
        <v>2445</v>
      </c>
      <c r="L523" s="710"/>
      <c r="M523" s="710"/>
      <c r="AE523" s="551"/>
      <c r="AF523" s="551"/>
    </row>
    <row r="524" spans="1:32" s="64" customFormat="1" ht="11.25">
      <c r="A524" s="710"/>
      <c r="B524" s="710"/>
      <c r="C524" s="710"/>
      <c r="D524" s="710"/>
      <c r="E524" s="710"/>
      <c r="F524" s="710"/>
      <c r="G524" s="710"/>
      <c r="H524" s="710"/>
      <c r="I524" s="710"/>
      <c r="J524" s="710"/>
      <c r="K524" s="710" t="s">
        <v>1545</v>
      </c>
      <c r="L524" s="710"/>
      <c r="M524" s="710"/>
      <c r="AE524" s="551"/>
      <c r="AF524" s="551"/>
    </row>
    <row r="525" spans="1:32" s="64" customFormat="1" ht="11.25">
      <c r="A525" s="710"/>
      <c r="B525" s="710"/>
      <c r="C525" s="710"/>
      <c r="D525" s="710"/>
      <c r="E525" s="710"/>
      <c r="F525" s="710"/>
      <c r="G525" s="710"/>
      <c r="H525" s="710"/>
      <c r="I525" s="710"/>
      <c r="J525" s="710"/>
      <c r="K525" s="710" t="s">
        <v>2446</v>
      </c>
      <c r="L525" s="710"/>
      <c r="M525" s="710"/>
      <c r="AE525" s="551"/>
      <c r="AF525" s="551"/>
    </row>
    <row r="526" spans="1:32" s="64" customFormat="1" ht="11.25">
      <c r="A526" s="710"/>
      <c r="B526" s="710"/>
      <c r="C526" s="710"/>
      <c r="D526" s="710"/>
      <c r="E526" s="710"/>
      <c r="F526" s="710"/>
      <c r="G526" s="710"/>
      <c r="H526" s="710"/>
      <c r="I526" s="710"/>
      <c r="J526" s="710"/>
      <c r="K526" s="710" t="s">
        <v>3122</v>
      </c>
      <c r="L526" s="710"/>
      <c r="M526" s="710"/>
      <c r="AE526" s="551"/>
      <c r="AF526" s="551"/>
    </row>
    <row r="527" spans="1:32" s="64" customFormat="1" ht="11.25">
      <c r="A527" s="710"/>
      <c r="B527" s="710"/>
      <c r="C527" s="710"/>
      <c r="D527" s="710"/>
      <c r="E527" s="710"/>
      <c r="F527" s="710"/>
      <c r="G527" s="710"/>
      <c r="H527" s="710"/>
      <c r="I527" s="710"/>
      <c r="J527" s="710"/>
      <c r="K527" s="710"/>
      <c r="L527" s="710"/>
      <c r="M527" s="710"/>
      <c r="AE527" s="551"/>
      <c r="AF527" s="551"/>
    </row>
    <row r="528" spans="1:32" s="64" customFormat="1" ht="11.25">
      <c r="A528" s="710"/>
      <c r="B528" s="710"/>
      <c r="C528" s="716" t="s">
        <v>1415</v>
      </c>
      <c r="D528" s="710"/>
      <c r="E528" s="710"/>
      <c r="F528" s="710"/>
      <c r="G528" s="710"/>
      <c r="H528" s="710"/>
      <c r="I528" s="710"/>
      <c r="J528" s="710"/>
      <c r="K528" s="716" t="s">
        <v>1416</v>
      </c>
      <c r="L528" s="710"/>
      <c r="M528" s="710"/>
      <c r="AE528" s="551"/>
      <c r="AF528" s="551"/>
    </row>
    <row r="529" spans="1:32" s="64" customFormat="1" ht="11.25">
      <c r="A529" s="710"/>
      <c r="B529" s="710"/>
      <c r="C529" s="710" t="s">
        <v>1414</v>
      </c>
      <c r="D529" s="710"/>
      <c r="E529" s="710"/>
      <c r="F529" s="710"/>
      <c r="G529" s="710"/>
      <c r="H529" s="710"/>
      <c r="I529" s="710"/>
      <c r="J529" s="710"/>
      <c r="K529" s="710" t="s">
        <v>1414</v>
      </c>
      <c r="L529" s="710"/>
      <c r="M529" s="710"/>
      <c r="AE529" s="551"/>
      <c r="AF529" s="551"/>
    </row>
    <row r="530" spans="1:32" s="64" customFormat="1" ht="11.25">
      <c r="A530" s="710"/>
      <c r="B530" s="710"/>
      <c r="C530" s="710" t="s">
        <v>2804</v>
      </c>
      <c r="D530" s="710"/>
      <c r="E530" s="710"/>
      <c r="F530" s="710"/>
      <c r="G530" s="710"/>
      <c r="H530" s="710"/>
      <c r="I530" s="710"/>
      <c r="J530" s="710"/>
      <c r="K530" s="710" t="s">
        <v>251</v>
      </c>
      <c r="L530" s="710"/>
      <c r="M530" s="710"/>
      <c r="AE530" s="551"/>
      <c r="AF530" s="551"/>
    </row>
    <row r="531" spans="1:32" s="64" customFormat="1" ht="11.25">
      <c r="A531" s="710"/>
      <c r="B531" s="710"/>
      <c r="C531" s="710" t="s">
        <v>3341</v>
      </c>
      <c r="D531" s="710"/>
      <c r="E531" s="710"/>
      <c r="F531" s="710"/>
      <c r="G531" s="710"/>
      <c r="H531" s="710"/>
      <c r="I531" s="710"/>
      <c r="J531" s="710"/>
      <c r="K531" s="710" t="s">
        <v>616</v>
      </c>
      <c r="L531" s="710"/>
      <c r="M531" s="710"/>
      <c r="AE531" s="551"/>
      <c r="AF531" s="551"/>
    </row>
    <row r="532" spans="1:32" s="64" customFormat="1" ht="11.25">
      <c r="A532" s="710"/>
      <c r="B532" s="710"/>
      <c r="C532" s="710" t="s">
        <v>2805</v>
      </c>
      <c r="D532" s="710"/>
      <c r="E532" s="710"/>
      <c r="F532" s="710"/>
      <c r="G532" s="710"/>
      <c r="H532" s="710"/>
      <c r="I532" s="710"/>
      <c r="J532" s="710"/>
      <c r="K532" s="710" t="s">
        <v>3286</v>
      </c>
      <c r="L532" s="710"/>
      <c r="M532" s="710"/>
      <c r="AE532" s="551"/>
      <c r="AF532" s="551"/>
    </row>
    <row r="533" spans="1:32" s="64" customFormat="1" ht="11.25">
      <c r="A533" s="710"/>
      <c r="B533" s="710"/>
      <c r="C533" s="710" t="s">
        <v>2659</v>
      </c>
      <c r="D533" s="710"/>
      <c r="E533" s="710"/>
      <c r="F533" s="710"/>
      <c r="G533" s="710"/>
      <c r="H533" s="710"/>
      <c r="I533" s="710"/>
      <c r="J533" s="710"/>
      <c r="K533" s="710" t="s">
        <v>2668</v>
      </c>
      <c r="L533" s="710"/>
      <c r="M533" s="710"/>
      <c r="AE533" s="551"/>
      <c r="AF533" s="551"/>
    </row>
    <row r="534" spans="1:32" s="64" customFormat="1" ht="11.25">
      <c r="A534" s="710"/>
      <c r="B534" s="710"/>
      <c r="C534" s="710" t="s">
        <v>764</v>
      </c>
      <c r="D534" s="710"/>
      <c r="E534" s="710"/>
      <c r="F534" s="710"/>
      <c r="G534" s="710"/>
      <c r="H534" s="710"/>
      <c r="I534" s="710"/>
      <c r="J534" s="710"/>
      <c r="K534" s="710" t="s">
        <v>3288</v>
      </c>
      <c r="L534" s="710"/>
      <c r="M534" s="710"/>
      <c r="AE534" s="551"/>
      <c r="AF534" s="551"/>
    </row>
    <row r="535" spans="1:32" s="64" customFormat="1" ht="11.25">
      <c r="A535" s="710"/>
      <c r="B535" s="710"/>
      <c r="C535" s="710" t="s">
        <v>2913</v>
      </c>
      <c r="D535" s="710"/>
      <c r="E535" s="710"/>
      <c r="F535" s="710"/>
      <c r="G535" s="710"/>
      <c r="H535" s="710"/>
      <c r="I535" s="710"/>
      <c r="J535" s="710"/>
      <c r="K535" s="710" t="s">
        <v>35</v>
      </c>
      <c r="L535" s="710"/>
      <c r="M535" s="710"/>
      <c r="AE535" s="551"/>
      <c r="AF535" s="551"/>
    </row>
    <row r="536" spans="1:32" s="64" customFormat="1" ht="11.25">
      <c r="A536" s="710"/>
      <c r="B536" s="710"/>
      <c r="C536" s="712" t="s">
        <v>36</v>
      </c>
      <c r="D536" s="710"/>
      <c r="E536" s="710"/>
      <c r="F536" s="710"/>
      <c r="G536" s="710"/>
      <c r="H536" s="710"/>
      <c r="I536" s="710"/>
      <c r="J536" s="710"/>
      <c r="K536" s="710" t="s">
        <v>2520</v>
      </c>
      <c r="L536" s="710"/>
      <c r="M536" s="710"/>
      <c r="AE536" s="551"/>
      <c r="AF536" s="551"/>
    </row>
    <row r="537" spans="1:32" s="64" customFormat="1" ht="11.25">
      <c r="A537" s="710"/>
      <c r="B537" s="710"/>
      <c r="C537" s="710"/>
      <c r="D537" s="710"/>
      <c r="E537" s="710"/>
      <c r="F537" s="710"/>
      <c r="G537" s="710"/>
      <c r="H537" s="710"/>
      <c r="I537" s="710"/>
      <c r="J537" s="710"/>
      <c r="K537" s="710" t="s">
        <v>3289</v>
      </c>
      <c r="L537" s="710"/>
      <c r="M537" s="710"/>
      <c r="AE537" s="551"/>
      <c r="AF537" s="551"/>
    </row>
    <row r="538" spans="1:32" s="64" customFormat="1" ht="11.25">
      <c r="A538" s="710"/>
      <c r="B538" s="710"/>
      <c r="C538" s="710"/>
      <c r="D538" s="710"/>
      <c r="E538" s="710"/>
      <c r="F538" s="710"/>
      <c r="G538" s="710"/>
      <c r="H538" s="710"/>
      <c r="I538" s="710"/>
      <c r="J538" s="710"/>
      <c r="K538" s="710" t="s">
        <v>1577</v>
      </c>
      <c r="L538" s="710"/>
      <c r="M538" s="710"/>
      <c r="AE538" s="551"/>
      <c r="AF538" s="551"/>
    </row>
    <row r="539" spans="1:32" s="64" customFormat="1" ht="11.25">
      <c r="A539" s="710"/>
      <c r="B539" s="710"/>
      <c r="C539" s="710"/>
      <c r="D539" s="710"/>
      <c r="E539" s="710"/>
      <c r="F539" s="710"/>
      <c r="G539" s="710"/>
      <c r="H539" s="710"/>
      <c r="I539" s="710"/>
      <c r="J539" s="710"/>
      <c r="K539" s="710" t="s">
        <v>2582</v>
      </c>
      <c r="L539" s="710"/>
      <c r="M539" s="710"/>
      <c r="AE539" s="551"/>
      <c r="AF539" s="551"/>
    </row>
    <row r="540" spans="1:32" s="64" customFormat="1" ht="11.25">
      <c r="A540" s="710"/>
      <c r="B540" s="710"/>
      <c r="C540" s="710"/>
      <c r="D540" s="710"/>
      <c r="E540" s="710"/>
      <c r="F540" s="710"/>
      <c r="G540" s="710"/>
      <c r="H540" s="710"/>
      <c r="I540" s="710"/>
      <c r="J540" s="710"/>
      <c r="K540" s="710" t="s">
        <v>763</v>
      </c>
      <c r="L540" s="710"/>
      <c r="M540" s="710"/>
      <c r="AE540" s="551"/>
      <c r="AF540" s="551"/>
    </row>
    <row r="541" spans="1:32" s="64" customFormat="1" ht="11.25">
      <c r="A541" s="710"/>
      <c r="B541" s="710"/>
      <c r="C541" s="710"/>
      <c r="D541" s="710"/>
      <c r="E541" s="710"/>
      <c r="F541" s="710"/>
      <c r="G541" s="710"/>
      <c r="H541" s="710"/>
      <c r="I541" s="710"/>
      <c r="J541" s="710"/>
      <c r="K541" s="710" t="s">
        <v>2583</v>
      </c>
      <c r="L541" s="710"/>
      <c r="M541" s="710"/>
      <c r="AE541" s="551"/>
      <c r="AF541" s="551"/>
    </row>
    <row r="542" spans="1:32" s="64" customFormat="1" ht="11.25">
      <c r="A542" s="710"/>
      <c r="B542" s="710"/>
      <c r="C542" s="710"/>
      <c r="D542" s="710"/>
      <c r="E542" s="710"/>
      <c r="F542" s="710"/>
      <c r="G542" s="710"/>
      <c r="H542" s="710"/>
      <c r="I542" s="710"/>
      <c r="J542" s="710"/>
      <c r="K542" s="710" t="s">
        <v>765</v>
      </c>
      <c r="L542" s="710"/>
      <c r="M542" s="710"/>
      <c r="AE542" s="551"/>
      <c r="AF542" s="551"/>
    </row>
    <row r="543" spans="1:32" s="64" customFormat="1" ht="11.25">
      <c r="A543" s="710"/>
      <c r="B543" s="710"/>
      <c r="C543" s="710"/>
      <c r="D543" s="710"/>
      <c r="E543" s="710"/>
      <c r="F543" s="710"/>
      <c r="G543" s="710"/>
      <c r="H543" s="710"/>
      <c r="I543" s="710"/>
      <c r="J543" s="710"/>
      <c r="K543" s="710" t="s">
        <v>250</v>
      </c>
      <c r="L543" s="710"/>
      <c r="M543" s="710"/>
      <c r="AE543" s="551"/>
      <c r="AF543" s="551"/>
    </row>
    <row r="544" spans="1:32" s="64" customFormat="1" ht="11.25">
      <c r="A544" s="710"/>
      <c r="B544" s="710"/>
      <c r="C544" s="710"/>
      <c r="D544" s="710"/>
      <c r="E544" s="710"/>
      <c r="F544" s="710"/>
      <c r="G544" s="710"/>
      <c r="H544" s="710"/>
      <c r="I544" s="710"/>
      <c r="J544" s="710"/>
      <c r="K544" s="710"/>
      <c r="L544" s="710"/>
      <c r="M544" s="710"/>
      <c r="AE544" s="551"/>
      <c r="AF544" s="551"/>
    </row>
    <row r="545" spans="1:32" s="64" customFormat="1" ht="11.25">
      <c r="A545" s="710"/>
      <c r="B545" s="710"/>
      <c r="C545" s="710"/>
      <c r="D545" s="718" t="s">
        <v>2750</v>
      </c>
      <c r="E545" s="710"/>
      <c r="F545" s="710"/>
      <c r="G545" s="710"/>
      <c r="H545" s="710"/>
      <c r="I545" s="710"/>
      <c r="J545" s="710"/>
      <c r="K545" s="710"/>
      <c r="L545" s="710"/>
      <c r="M545" s="710"/>
      <c r="AE545" s="551"/>
      <c r="AF545" s="551"/>
    </row>
    <row r="546" spans="1:32" s="64" customFormat="1" ht="11.25">
      <c r="A546" s="710"/>
      <c r="B546" s="710"/>
      <c r="C546" s="710"/>
      <c r="D546" s="710"/>
      <c r="E546" s="710"/>
      <c r="F546" s="710"/>
      <c r="G546" s="710"/>
      <c r="H546" s="710"/>
      <c r="I546" s="710"/>
      <c r="J546" s="710"/>
      <c r="K546" s="710"/>
      <c r="L546" s="710"/>
      <c r="M546" s="710"/>
      <c r="AE546" s="551"/>
      <c r="AF546" s="551"/>
    </row>
    <row r="547" spans="1:32" s="181" customFormat="1">
      <c r="A547" s="624"/>
      <c r="B547" s="624"/>
      <c r="C547" s="624"/>
      <c r="D547" s="624"/>
      <c r="E547" s="624"/>
      <c r="F547" s="624"/>
      <c r="G547" s="624"/>
      <c r="H547" s="624"/>
      <c r="I547" s="624"/>
      <c r="J547" s="624"/>
      <c r="K547" s="624"/>
      <c r="L547" s="624"/>
      <c r="M547" s="624"/>
      <c r="AE547" s="658"/>
      <c r="AF547" s="658"/>
    </row>
    <row r="548" spans="1:32">
      <c r="A548" s="624"/>
      <c r="B548" s="624"/>
      <c r="C548" s="624"/>
      <c r="D548" s="624"/>
      <c r="E548" s="624"/>
      <c r="F548" s="624"/>
      <c r="G548" s="624"/>
      <c r="H548" s="624"/>
      <c r="I548" s="624"/>
      <c r="J548" s="624"/>
      <c r="K548" s="624"/>
      <c r="L548" s="624"/>
      <c r="M548" s="624"/>
      <c r="N548" s="181"/>
      <c r="O548" s="181"/>
      <c r="P548" s="181"/>
      <c r="Q548" s="181"/>
      <c r="R548" s="181"/>
      <c r="S548" s="181"/>
      <c r="T548" s="181"/>
      <c r="U548" s="181"/>
    </row>
    <row r="549" spans="1:32">
      <c r="A549" s="624"/>
      <c r="B549" s="624"/>
      <c r="C549" s="624"/>
      <c r="D549" s="624"/>
      <c r="E549" s="624"/>
      <c r="F549" s="624"/>
      <c r="G549" s="624"/>
      <c r="H549" s="624"/>
      <c r="I549" s="624"/>
      <c r="J549" s="624"/>
      <c r="K549" s="624"/>
      <c r="L549" s="624"/>
      <c r="M549" s="624"/>
      <c r="N549" s="181"/>
      <c r="O549" s="181"/>
      <c r="P549" s="181"/>
      <c r="Q549" s="181"/>
      <c r="R549" s="181"/>
      <c r="S549" s="181"/>
      <c r="T549" s="181"/>
      <c r="U549" s="181"/>
    </row>
    <row r="550" spans="1:32">
      <c r="A550" s="9"/>
      <c r="B550" s="181"/>
      <c r="C550" s="181"/>
      <c r="D550" s="181"/>
      <c r="E550" s="181"/>
      <c r="F550" s="181"/>
      <c r="G550" s="181"/>
      <c r="H550" s="181"/>
      <c r="I550" s="181"/>
      <c r="J550" s="181"/>
      <c r="K550" s="181"/>
      <c r="L550" s="181"/>
      <c r="M550" s="181"/>
      <c r="N550" s="181"/>
      <c r="O550" s="181"/>
      <c r="P550" s="181"/>
      <c r="Q550" s="181"/>
      <c r="R550" s="181"/>
      <c r="S550" s="181"/>
      <c r="T550" s="181"/>
      <c r="U550" s="181"/>
    </row>
    <row r="551" spans="1:32">
      <c r="A551" s="9"/>
      <c r="B551" s="181"/>
      <c r="C551" s="181"/>
      <c r="D551" s="181"/>
      <c r="E551" s="181"/>
      <c r="F551" s="181"/>
      <c r="G551" s="181"/>
      <c r="H551" s="181"/>
      <c r="I551" s="181"/>
      <c r="J551" s="181"/>
      <c r="K551" s="181"/>
      <c r="L551" s="181"/>
      <c r="M551" s="181"/>
      <c r="N551" s="181"/>
      <c r="O551" s="181"/>
      <c r="P551" s="181"/>
      <c r="Q551" s="181"/>
      <c r="R551" s="181"/>
      <c r="S551" s="181"/>
      <c r="T551" s="181"/>
      <c r="U551" s="181"/>
    </row>
    <row r="552" spans="1:32">
      <c r="A552" s="9"/>
      <c r="B552" s="181"/>
      <c r="C552" s="181"/>
      <c r="D552" s="181"/>
      <c r="E552" s="181"/>
      <c r="F552" s="181"/>
      <c r="G552" s="181"/>
      <c r="H552" s="181"/>
      <c r="I552" s="181"/>
      <c r="J552" s="181"/>
      <c r="K552" s="181"/>
      <c r="L552" s="181"/>
      <c r="M552" s="181"/>
      <c r="N552" s="181"/>
      <c r="O552" s="181"/>
      <c r="P552" s="181"/>
      <c r="Q552" s="181"/>
      <c r="R552" s="181"/>
      <c r="S552" s="181"/>
      <c r="T552" s="181"/>
      <c r="U552" s="181"/>
    </row>
    <row r="553" spans="1:32">
      <c r="A553" s="9"/>
      <c r="B553" s="181"/>
      <c r="C553" s="181"/>
      <c r="D553" s="181"/>
      <c r="E553" s="181"/>
      <c r="F553" s="181"/>
      <c r="G553" s="181"/>
      <c r="H553" s="181"/>
      <c r="I553" s="181"/>
      <c r="J553" s="181"/>
      <c r="K553" s="181"/>
      <c r="L553" s="181"/>
      <c r="M553" s="181"/>
      <c r="N553" s="181"/>
      <c r="O553" s="181"/>
      <c r="P553" s="181"/>
      <c r="Q553" s="181"/>
      <c r="R553" s="181"/>
      <c r="S553" s="181"/>
      <c r="T553" s="181"/>
      <c r="U553" s="181"/>
    </row>
    <row r="554" spans="1:32">
      <c r="A554" s="9"/>
      <c r="B554" s="181"/>
      <c r="C554" s="181"/>
      <c r="D554" s="181"/>
      <c r="E554" s="181"/>
      <c r="F554" s="181"/>
      <c r="G554" s="181"/>
      <c r="H554" s="181"/>
      <c r="I554" s="181"/>
      <c r="J554" s="181"/>
      <c r="K554" s="181"/>
      <c r="L554" s="181"/>
      <c r="M554" s="181"/>
      <c r="N554" s="181"/>
      <c r="O554" s="181"/>
      <c r="P554" s="181"/>
      <c r="Q554" s="181"/>
      <c r="R554" s="181"/>
      <c r="S554" s="181"/>
      <c r="T554" s="181"/>
      <c r="U554" s="181"/>
    </row>
    <row r="555" spans="1:32">
      <c r="A555" s="9"/>
      <c r="B555" s="181"/>
      <c r="C555" s="181"/>
      <c r="D555" s="181"/>
      <c r="E555" s="181"/>
      <c r="F555" s="181"/>
      <c r="G555" s="181"/>
      <c r="H555" s="181"/>
      <c r="I555" s="181"/>
      <c r="J555" s="181"/>
      <c r="K555" s="181"/>
      <c r="L555" s="181"/>
      <c r="M555" s="181"/>
      <c r="N555" s="181"/>
      <c r="O555" s="181"/>
      <c r="P555" s="181"/>
      <c r="Q555" s="181"/>
      <c r="R555" s="181"/>
      <c r="S555" s="181"/>
      <c r="T555" s="181"/>
      <c r="U555" s="181"/>
    </row>
    <row r="556" spans="1:32">
      <c r="A556" s="9"/>
      <c r="B556" s="181"/>
      <c r="C556" s="181"/>
      <c r="D556" s="181"/>
      <c r="E556" s="181"/>
      <c r="F556" s="181"/>
      <c r="G556" s="181"/>
      <c r="H556" s="181"/>
      <c r="I556" s="181"/>
      <c r="J556" s="181"/>
      <c r="K556" s="181"/>
      <c r="L556" s="181"/>
      <c r="M556" s="181"/>
      <c r="N556" s="181"/>
      <c r="O556" s="181"/>
      <c r="P556" s="181"/>
      <c r="Q556" s="181"/>
      <c r="R556" s="181"/>
      <c r="S556" s="181"/>
      <c r="T556" s="181"/>
      <c r="U556" s="181"/>
    </row>
    <row r="557" spans="1:32">
      <c r="A557" s="9"/>
      <c r="B557" s="181"/>
      <c r="C557" s="181"/>
      <c r="D557" s="181"/>
      <c r="E557" s="181"/>
      <c r="F557" s="181"/>
      <c r="G557" s="181"/>
      <c r="H557" s="181"/>
      <c r="I557" s="181"/>
      <c r="J557" s="181"/>
      <c r="K557" s="181"/>
      <c r="L557" s="181"/>
      <c r="M557" s="181"/>
      <c r="N557" s="181"/>
      <c r="O557" s="181"/>
      <c r="P557" s="181"/>
      <c r="Q557" s="181"/>
      <c r="R557" s="181"/>
      <c r="S557" s="181"/>
      <c r="T557" s="181"/>
      <c r="U557" s="181"/>
    </row>
    <row r="558" spans="1:32">
      <c r="A558" s="9"/>
      <c r="B558" s="181"/>
      <c r="C558" s="181"/>
      <c r="D558" s="181"/>
      <c r="E558" s="181"/>
      <c r="F558" s="181"/>
      <c r="G558" s="181"/>
      <c r="H558" s="181"/>
      <c r="I558" s="181"/>
      <c r="J558" s="181"/>
      <c r="K558" s="181"/>
      <c r="L558" s="181"/>
      <c r="M558" s="181"/>
      <c r="N558" s="181"/>
      <c r="O558" s="181"/>
      <c r="P558" s="181"/>
      <c r="Q558" s="181"/>
      <c r="R558" s="181"/>
      <c r="S558" s="181"/>
      <c r="T558" s="181"/>
      <c r="U558" s="181"/>
    </row>
    <row r="559" spans="1:32">
      <c r="A559" s="9"/>
      <c r="B559" s="181"/>
      <c r="C559" s="181"/>
      <c r="D559" s="181"/>
      <c r="E559" s="181"/>
      <c r="F559" s="181"/>
      <c r="G559" s="181"/>
      <c r="H559" s="181"/>
      <c r="I559" s="181"/>
      <c r="J559" s="181"/>
      <c r="K559" s="181"/>
      <c r="L559" s="181"/>
      <c r="M559" s="181"/>
      <c r="N559" s="181"/>
      <c r="O559" s="181"/>
      <c r="P559" s="181"/>
      <c r="Q559" s="181"/>
      <c r="R559" s="181"/>
      <c r="S559" s="181"/>
      <c r="T559" s="181"/>
      <c r="U559" s="181"/>
    </row>
    <row r="560" spans="1:32">
      <c r="A560" s="9"/>
      <c r="B560" s="181"/>
      <c r="C560" s="181"/>
      <c r="D560" s="181"/>
      <c r="E560" s="181"/>
      <c r="F560" s="181"/>
      <c r="G560" s="181"/>
      <c r="H560" s="181"/>
      <c r="I560" s="181"/>
      <c r="J560" s="181"/>
      <c r="K560" s="181"/>
      <c r="L560" s="181"/>
      <c r="M560" s="181"/>
      <c r="N560" s="181"/>
      <c r="O560" s="181"/>
      <c r="P560" s="181"/>
      <c r="Q560" s="181"/>
      <c r="R560" s="181"/>
      <c r="S560" s="181"/>
      <c r="T560" s="181"/>
      <c r="U560" s="181"/>
    </row>
    <row r="561" spans="1:21">
      <c r="A561" s="9"/>
      <c r="B561" s="181"/>
      <c r="C561" s="181"/>
      <c r="D561" s="181"/>
      <c r="E561" s="181"/>
      <c r="F561" s="181"/>
      <c r="G561" s="181"/>
      <c r="H561" s="181"/>
      <c r="I561" s="181"/>
      <c r="J561" s="181"/>
      <c r="K561" s="181"/>
      <c r="L561" s="181"/>
      <c r="M561" s="181"/>
      <c r="N561" s="181"/>
      <c r="O561" s="181"/>
      <c r="P561" s="181"/>
      <c r="Q561" s="181"/>
      <c r="R561" s="181"/>
      <c r="S561" s="181"/>
      <c r="T561" s="181"/>
      <c r="U561" s="181"/>
    </row>
    <row r="562" spans="1:21">
      <c r="A562" s="9"/>
      <c r="B562" s="181"/>
      <c r="C562" s="181"/>
      <c r="D562" s="181"/>
      <c r="E562" s="181"/>
      <c r="F562" s="181"/>
      <c r="G562" s="181"/>
      <c r="H562" s="181"/>
      <c r="I562" s="181"/>
      <c r="J562" s="181"/>
      <c r="K562" s="181"/>
      <c r="L562" s="181"/>
      <c r="M562" s="181"/>
      <c r="N562" s="181"/>
      <c r="O562" s="181"/>
      <c r="P562" s="181"/>
      <c r="Q562" s="181"/>
      <c r="R562" s="181"/>
      <c r="S562" s="181"/>
      <c r="T562" s="181"/>
      <c r="U562" s="181"/>
    </row>
    <row r="563" spans="1:21">
      <c r="A563" s="9"/>
      <c r="B563" s="181"/>
      <c r="C563" s="181"/>
      <c r="D563" s="181"/>
      <c r="E563" s="181"/>
      <c r="F563" s="181"/>
      <c r="G563" s="181"/>
      <c r="H563" s="181"/>
      <c r="I563" s="181"/>
      <c r="J563" s="181"/>
      <c r="K563" s="181"/>
      <c r="L563" s="181"/>
      <c r="M563" s="181"/>
      <c r="N563" s="181"/>
      <c r="O563" s="181"/>
      <c r="P563" s="181"/>
      <c r="Q563" s="181"/>
      <c r="R563" s="181"/>
      <c r="S563" s="181"/>
      <c r="T563" s="181"/>
      <c r="U563" s="181"/>
    </row>
    <row r="564" spans="1:21">
      <c r="A564" s="9"/>
      <c r="B564" s="181"/>
      <c r="C564" s="181"/>
      <c r="D564" s="181"/>
      <c r="E564" s="181"/>
      <c r="F564" s="181"/>
      <c r="G564" s="181"/>
      <c r="H564" s="181"/>
      <c r="I564" s="181"/>
      <c r="J564" s="181"/>
      <c r="K564" s="181"/>
      <c r="L564" s="181"/>
      <c r="M564" s="181"/>
      <c r="N564" s="181"/>
      <c r="O564" s="181"/>
      <c r="P564" s="181"/>
      <c r="Q564" s="181"/>
      <c r="R564" s="181"/>
      <c r="S564" s="181"/>
      <c r="T564" s="181"/>
      <c r="U564" s="181"/>
    </row>
    <row r="565" spans="1:21">
      <c r="A565" s="9"/>
      <c r="B565" s="181"/>
      <c r="C565" s="181"/>
      <c r="D565" s="181"/>
      <c r="E565" s="181"/>
      <c r="F565" s="181"/>
      <c r="G565" s="181"/>
      <c r="H565" s="181"/>
      <c r="I565" s="181"/>
      <c r="J565" s="181"/>
      <c r="K565" s="181"/>
      <c r="L565" s="181"/>
      <c r="M565" s="181"/>
      <c r="N565" s="181"/>
      <c r="O565" s="181"/>
      <c r="P565" s="181"/>
      <c r="Q565" s="181"/>
      <c r="R565" s="181"/>
      <c r="S565" s="181"/>
      <c r="T565" s="181"/>
      <c r="U565" s="181"/>
    </row>
    <row r="566" spans="1:21">
      <c r="A566" s="9"/>
      <c r="B566" s="181"/>
      <c r="C566" s="181"/>
      <c r="D566" s="181"/>
      <c r="E566" s="181"/>
      <c r="F566" s="181"/>
      <c r="G566" s="181"/>
      <c r="H566" s="181"/>
      <c r="I566" s="181"/>
      <c r="J566" s="181"/>
      <c r="K566" s="181"/>
      <c r="L566" s="181"/>
      <c r="M566" s="181"/>
      <c r="N566" s="181"/>
      <c r="O566" s="181"/>
      <c r="P566" s="181"/>
      <c r="Q566" s="181"/>
      <c r="R566" s="181"/>
      <c r="S566" s="181"/>
      <c r="T566" s="181"/>
      <c r="U566" s="181"/>
    </row>
    <row r="567" spans="1:21">
      <c r="A567" s="9"/>
      <c r="B567" s="181"/>
      <c r="C567" s="181"/>
      <c r="D567" s="181"/>
      <c r="E567" s="181"/>
      <c r="F567" s="181"/>
      <c r="G567" s="181"/>
      <c r="H567" s="181"/>
      <c r="I567" s="181"/>
      <c r="J567" s="181"/>
      <c r="K567" s="181"/>
      <c r="L567" s="181"/>
      <c r="M567" s="181"/>
      <c r="N567" s="181"/>
      <c r="O567" s="181"/>
      <c r="P567" s="181"/>
      <c r="Q567" s="181"/>
      <c r="R567" s="181"/>
      <c r="S567" s="181"/>
      <c r="T567" s="181"/>
      <c r="U567" s="181"/>
    </row>
    <row r="568" spans="1:21">
      <c r="A568" s="9"/>
      <c r="B568" s="181"/>
      <c r="C568" s="181"/>
      <c r="D568" s="181"/>
      <c r="E568" s="181"/>
      <c r="F568" s="181"/>
      <c r="G568" s="181"/>
      <c r="H568" s="181"/>
      <c r="I568" s="181"/>
      <c r="J568" s="181"/>
      <c r="K568" s="181"/>
      <c r="L568" s="181"/>
      <c r="M568" s="181"/>
      <c r="N568" s="181"/>
      <c r="O568" s="181"/>
      <c r="P568" s="181"/>
      <c r="Q568" s="181"/>
      <c r="R568" s="181"/>
      <c r="S568" s="181"/>
      <c r="T568" s="181"/>
      <c r="U568" s="181"/>
    </row>
    <row r="569" spans="1:21">
      <c r="A569" s="9"/>
      <c r="B569" s="181"/>
      <c r="C569" s="181"/>
      <c r="D569" s="181"/>
      <c r="E569" s="181"/>
      <c r="F569" s="181"/>
      <c r="G569" s="181"/>
      <c r="H569" s="181"/>
      <c r="I569" s="181"/>
      <c r="J569" s="181"/>
      <c r="K569" s="181"/>
      <c r="L569" s="181"/>
      <c r="M569" s="181"/>
      <c r="N569" s="181"/>
      <c r="O569" s="181"/>
      <c r="P569" s="181"/>
      <c r="Q569" s="181"/>
      <c r="R569" s="181"/>
      <c r="S569" s="181"/>
      <c r="T569" s="181"/>
      <c r="U569" s="181"/>
    </row>
    <row r="570" spans="1:21">
      <c r="A570" s="9"/>
      <c r="B570" s="181"/>
      <c r="C570" s="181"/>
      <c r="D570" s="181"/>
      <c r="E570" s="181"/>
      <c r="F570" s="181"/>
      <c r="G570" s="181"/>
      <c r="H570" s="181"/>
      <c r="I570" s="181"/>
      <c r="J570" s="181"/>
      <c r="K570" s="181"/>
      <c r="L570" s="181"/>
      <c r="M570" s="181"/>
      <c r="N570" s="181"/>
      <c r="O570" s="181"/>
      <c r="P570" s="181"/>
      <c r="Q570" s="181"/>
      <c r="R570" s="181"/>
      <c r="S570" s="181"/>
      <c r="T570" s="181"/>
      <c r="U570" s="181"/>
    </row>
    <row r="571" spans="1:21">
      <c r="A571" s="9"/>
      <c r="B571" s="181"/>
      <c r="C571" s="181"/>
      <c r="D571" s="181"/>
      <c r="E571" s="181"/>
      <c r="F571" s="181"/>
      <c r="G571" s="181"/>
      <c r="H571" s="181"/>
      <c r="I571" s="181"/>
      <c r="J571" s="181"/>
      <c r="K571" s="181"/>
      <c r="L571" s="181"/>
      <c r="M571" s="181"/>
      <c r="N571" s="181"/>
      <c r="O571" s="181"/>
      <c r="P571" s="181"/>
      <c r="Q571" s="181"/>
      <c r="R571" s="181"/>
      <c r="S571" s="181"/>
      <c r="T571" s="181"/>
      <c r="U571" s="181"/>
    </row>
    <row r="572" spans="1:21">
      <c r="A572" s="9"/>
      <c r="B572" s="181"/>
      <c r="C572" s="181"/>
      <c r="D572" s="181"/>
      <c r="E572" s="181"/>
      <c r="F572" s="181"/>
      <c r="G572" s="181"/>
      <c r="H572" s="181"/>
      <c r="I572" s="181"/>
      <c r="J572" s="181"/>
      <c r="K572" s="181"/>
      <c r="L572" s="181"/>
      <c r="M572" s="181"/>
      <c r="N572" s="181"/>
      <c r="O572" s="181"/>
      <c r="P572" s="181"/>
      <c r="Q572" s="181"/>
      <c r="R572" s="181"/>
      <c r="S572" s="181"/>
      <c r="T572" s="181"/>
      <c r="U572" s="181"/>
    </row>
    <row r="573" spans="1:21">
      <c r="A573" s="9"/>
      <c r="B573" s="181"/>
      <c r="C573" s="181"/>
      <c r="D573" s="181"/>
      <c r="E573" s="181"/>
      <c r="F573" s="181"/>
      <c r="G573" s="181"/>
      <c r="H573" s="181"/>
      <c r="I573" s="181"/>
      <c r="J573" s="181"/>
      <c r="K573" s="181"/>
      <c r="L573" s="181"/>
      <c r="M573" s="181"/>
      <c r="N573" s="181"/>
      <c r="O573" s="181"/>
      <c r="P573" s="181"/>
      <c r="Q573" s="181"/>
      <c r="R573" s="181"/>
      <c r="S573" s="181"/>
      <c r="T573" s="181"/>
      <c r="U573" s="181"/>
    </row>
    <row r="574" spans="1:21">
      <c r="A574" s="9"/>
      <c r="B574" s="181"/>
      <c r="C574" s="181"/>
      <c r="D574" s="181"/>
      <c r="E574" s="181"/>
      <c r="F574" s="181"/>
      <c r="G574" s="181"/>
      <c r="H574" s="181"/>
      <c r="I574" s="181"/>
      <c r="J574" s="181"/>
      <c r="K574" s="181"/>
      <c r="L574" s="181"/>
      <c r="M574" s="181"/>
      <c r="N574" s="181"/>
      <c r="O574" s="181"/>
      <c r="P574" s="181"/>
      <c r="Q574" s="181"/>
      <c r="R574" s="181"/>
      <c r="S574" s="181"/>
      <c r="T574" s="181"/>
      <c r="U574" s="181"/>
    </row>
    <row r="575" spans="1:21">
      <c r="A575" s="9"/>
      <c r="B575" s="181"/>
      <c r="C575" s="181"/>
      <c r="D575" s="181"/>
      <c r="E575" s="181"/>
      <c r="F575" s="181"/>
      <c r="G575" s="181"/>
      <c r="H575" s="181"/>
      <c r="I575" s="181"/>
      <c r="J575" s="181"/>
      <c r="K575" s="181"/>
      <c r="L575" s="181"/>
      <c r="M575" s="181"/>
      <c r="N575" s="181"/>
      <c r="O575" s="181"/>
      <c r="P575" s="181"/>
      <c r="Q575" s="181"/>
      <c r="R575" s="181"/>
      <c r="S575" s="181"/>
      <c r="T575" s="181"/>
      <c r="U575" s="181"/>
    </row>
    <row r="576" spans="1:21">
      <c r="A576" s="9"/>
      <c r="B576" s="181"/>
      <c r="C576" s="181"/>
      <c r="D576" s="181"/>
      <c r="E576" s="181"/>
      <c r="F576" s="181"/>
      <c r="G576" s="181"/>
      <c r="H576" s="181"/>
      <c r="I576" s="181"/>
      <c r="J576" s="181"/>
      <c r="K576" s="181"/>
      <c r="L576" s="181"/>
      <c r="M576" s="181"/>
      <c r="N576" s="181"/>
      <c r="O576" s="181"/>
      <c r="P576" s="181"/>
      <c r="Q576" s="181"/>
      <c r="R576" s="181"/>
      <c r="S576" s="181"/>
      <c r="T576" s="181"/>
      <c r="U576" s="181"/>
    </row>
    <row r="577" spans="1:21">
      <c r="A577" s="9"/>
      <c r="B577" s="181"/>
      <c r="C577" s="181"/>
      <c r="D577" s="181"/>
      <c r="E577" s="181"/>
      <c r="F577" s="181"/>
      <c r="G577" s="181"/>
      <c r="H577" s="181"/>
      <c r="I577" s="181"/>
      <c r="J577" s="181"/>
      <c r="K577" s="181"/>
      <c r="L577" s="181"/>
      <c r="M577" s="181"/>
      <c r="N577" s="181"/>
      <c r="O577" s="181"/>
      <c r="P577" s="181"/>
      <c r="Q577" s="181"/>
      <c r="R577" s="181"/>
      <c r="S577" s="181"/>
      <c r="T577" s="181"/>
      <c r="U577" s="181"/>
    </row>
    <row r="578" spans="1:21">
      <c r="A578" s="9"/>
      <c r="B578" s="181"/>
      <c r="C578" s="181"/>
      <c r="D578" s="181"/>
      <c r="E578" s="181"/>
      <c r="F578" s="181"/>
      <c r="G578" s="181"/>
      <c r="H578" s="181"/>
      <c r="I578" s="181"/>
      <c r="J578" s="181"/>
      <c r="K578" s="181"/>
      <c r="L578" s="181"/>
      <c r="M578" s="181"/>
      <c r="N578" s="181"/>
      <c r="O578" s="181"/>
      <c r="P578" s="181"/>
      <c r="Q578" s="181"/>
      <c r="R578" s="181"/>
      <c r="S578" s="181"/>
      <c r="T578" s="181"/>
      <c r="U578" s="181"/>
    </row>
    <row r="579" spans="1:21">
      <c r="A579" s="9"/>
      <c r="B579" s="181"/>
      <c r="C579" s="181"/>
      <c r="D579" s="181"/>
      <c r="E579" s="181"/>
      <c r="F579" s="181"/>
      <c r="G579" s="181"/>
      <c r="H579" s="181"/>
      <c r="I579" s="181"/>
      <c r="J579" s="181"/>
      <c r="K579" s="181"/>
      <c r="L579" s="181"/>
      <c r="M579" s="181"/>
      <c r="N579" s="181"/>
      <c r="O579" s="181"/>
      <c r="P579" s="181"/>
      <c r="Q579" s="181"/>
      <c r="R579" s="181"/>
      <c r="S579" s="181"/>
      <c r="T579" s="181"/>
      <c r="U579" s="181"/>
    </row>
    <row r="580" spans="1:21">
      <c r="A580" s="9"/>
      <c r="B580" s="181"/>
      <c r="C580" s="181"/>
      <c r="D580" s="181"/>
      <c r="E580" s="181"/>
      <c r="F580" s="181"/>
      <c r="G580" s="181"/>
      <c r="H580" s="181"/>
      <c r="I580" s="181"/>
      <c r="J580" s="181"/>
      <c r="K580" s="181"/>
      <c r="L580" s="181"/>
      <c r="M580" s="181"/>
      <c r="N580" s="181"/>
      <c r="O580" s="181"/>
      <c r="P580" s="181"/>
      <c r="Q580" s="181"/>
      <c r="R580" s="181"/>
      <c r="S580" s="181"/>
      <c r="T580" s="181"/>
      <c r="U580" s="181"/>
    </row>
    <row r="581" spans="1:21">
      <c r="A581" s="9"/>
      <c r="B581" s="181"/>
      <c r="C581" s="181"/>
      <c r="D581" s="181"/>
      <c r="E581" s="181"/>
      <c r="F581" s="181"/>
      <c r="G581" s="181"/>
      <c r="H581" s="181"/>
      <c r="I581" s="181"/>
      <c r="J581" s="181"/>
      <c r="K581" s="181"/>
      <c r="L581" s="181"/>
      <c r="M581" s="181"/>
      <c r="N581" s="181"/>
      <c r="O581" s="181"/>
      <c r="P581" s="181"/>
      <c r="Q581" s="181"/>
      <c r="R581" s="181"/>
      <c r="S581" s="181"/>
      <c r="T581" s="181"/>
      <c r="U581" s="181"/>
    </row>
    <row r="582" spans="1:21">
      <c r="A582" s="9"/>
      <c r="B582" s="181"/>
      <c r="C582" s="181"/>
      <c r="D582" s="181"/>
      <c r="E582" s="181"/>
      <c r="F582" s="181"/>
      <c r="G582" s="181"/>
      <c r="H582" s="181"/>
      <c r="I582" s="181"/>
      <c r="J582" s="181"/>
      <c r="K582" s="181"/>
      <c r="L582" s="181"/>
      <c r="M582" s="181"/>
      <c r="N582" s="181"/>
      <c r="O582" s="181"/>
      <c r="P582" s="181"/>
      <c r="Q582" s="181"/>
      <c r="R582" s="181"/>
      <c r="S582" s="181"/>
      <c r="T582" s="181"/>
      <c r="U582" s="181"/>
    </row>
    <row r="583" spans="1:21">
      <c r="A583" s="9"/>
      <c r="B583" s="181"/>
      <c r="C583" s="181"/>
      <c r="D583" s="181"/>
      <c r="E583" s="181"/>
      <c r="F583" s="181"/>
      <c r="G583" s="181"/>
      <c r="H583" s="181"/>
      <c r="I583" s="181"/>
      <c r="J583" s="181"/>
      <c r="K583" s="181"/>
      <c r="L583" s="181"/>
      <c r="M583" s="181"/>
      <c r="N583" s="181"/>
      <c r="O583" s="181"/>
      <c r="P583" s="181"/>
      <c r="Q583" s="181"/>
      <c r="R583" s="181"/>
      <c r="S583" s="181"/>
      <c r="T583" s="181"/>
      <c r="U583" s="181"/>
    </row>
    <row r="584" spans="1:21">
      <c r="A584" s="9"/>
      <c r="B584" s="181"/>
      <c r="C584" s="181"/>
      <c r="D584" s="181"/>
      <c r="E584" s="181"/>
      <c r="F584" s="181"/>
      <c r="G584" s="181"/>
      <c r="H584" s="181"/>
      <c r="I584" s="181"/>
      <c r="J584" s="181"/>
      <c r="K584" s="181"/>
      <c r="L584" s="181"/>
      <c r="M584" s="181"/>
      <c r="N584" s="181"/>
      <c r="O584" s="181"/>
      <c r="P584" s="181"/>
      <c r="Q584" s="181"/>
      <c r="R584" s="181"/>
      <c r="S584" s="181"/>
      <c r="T584" s="181"/>
      <c r="U584" s="181"/>
    </row>
    <row r="585" spans="1:21">
      <c r="A585" s="9"/>
      <c r="B585" s="181"/>
      <c r="C585" s="181"/>
      <c r="D585" s="181"/>
      <c r="E585" s="181"/>
      <c r="F585" s="181"/>
      <c r="G585" s="181"/>
      <c r="H585" s="181"/>
      <c r="I585" s="181"/>
      <c r="J585" s="181"/>
      <c r="K585" s="181"/>
      <c r="L585" s="181"/>
      <c r="M585" s="181"/>
      <c r="N585" s="181"/>
      <c r="O585" s="181"/>
      <c r="P585" s="181"/>
      <c r="Q585" s="181"/>
      <c r="R585" s="181"/>
      <c r="S585" s="181"/>
      <c r="T585" s="181"/>
      <c r="U585" s="181"/>
    </row>
    <row r="586" spans="1:21">
      <c r="A586" s="9"/>
      <c r="B586" s="181"/>
      <c r="C586" s="181"/>
      <c r="D586" s="181"/>
      <c r="E586" s="181"/>
      <c r="F586" s="181"/>
      <c r="G586" s="181"/>
      <c r="H586" s="181"/>
      <c r="I586" s="181"/>
      <c r="J586" s="181"/>
      <c r="K586" s="181"/>
      <c r="L586" s="181"/>
      <c r="M586" s="181"/>
      <c r="N586" s="181"/>
      <c r="O586" s="181"/>
      <c r="P586" s="181"/>
      <c r="Q586" s="181"/>
      <c r="R586" s="181"/>
      <c r="S586" s="181"/>
      <c r="T586" s="181"/>
      <c r="U586" s="181"/>
    </row>
    <row r="587" spans="1:21">
      <c r="A587" s="9"/>
      <c r="B587" s="181"/>
      <c r="C587" s="181"/>
      <c r="D587" s="181"/>
      <c r="E587" s="181"/>
      <c r="F587" s="181"/>
      <c r="G587" s="181"/>
      <c r="H587" s="181"/>
      <c r="I587" s="181"/>
      <c r="J587" s="181"/>
      <c r="K587" s="181"/>
      <c r="L587" s="181"/>
      <c r="M587" s="181"/>
      <c r="N587" s="181"/>
      <c r="O587" s="181"/>
      <c r="P587" s="181"/>
      <c r="Q587" s="181"/>
      <c r="R587" s="181"/>
      <c r="S587" s="181"/>
      <c r="T587" s="181"/>
      <c r="U587" s="181"/>
    </row>
    <row r="588" spans="1:21">
      <c r="A588" s="9"/>
      <c r="B588" s="181"/>
      <c r="C588" s="181"/>
      <c r="D588" s="181"/>
      <c r="E588" s="181"/>
      <c r="F588" s="181"/>
      <c r="G588" s="181"/>
      <c r="H588" s="181"/>
      <c r="I588" s="181"/>
      <c r="J588" s="181"/>
      <c r="K588" s="181"/>
      <c r="L588" s="181"/>
      <c r="M588" s="181"/>
      <c r="N588" s="181"/>
      <c r="O588" s="181"/>
      <c r="P588" s="181"/>
      <c r="Q588" s="181"/>
      <c r="R588" s="181"/>
      <c r="S588" s="181"/>
      <c r="T588" s="181"/>
      <c r="U588" s="181"/>
    </row>
    <row r="589" spans="1:21">
      <c r="A589" s="9"/>
      <c r="B589" s="181"/>
      <c r="C589" s="181"/>
      <c r="D589" s="181"/>
      <c r="E589" s="181"/>
      <c r="F589" s="181"/>
      <c r="G589" s="181"/>
      <c r="H589" s="181"/>
      <c r="I589" s="181"/>
      <c r="J589" s="181"/>
      <c r="K589" s="181"/>
      <c r="L589" s="181"/>
      <c r="M589" s="181"/>
      <c r="N589" s="181"/>
      <c r="O589" s="181"/>
      <c r="P589" s="181"/>
      <c r="Q589" s="181"/>
      <c r="R589" s="181"/>
      <c r="S589" s="181"/>
      <c r="T589" s="181"/>
      <c r="U589" s="181"/>
    </row>
    <row r="590" spans="1:21">
      <c r="A590" s="9"/>
      <c r="B590" s="181"/>
      <c r="C590" s="181"/>
      <c r="D590" s="181"/>
      <c r="E590" s="181"/>
      <c r="F590" s="181"/>
      <c r="G590" s="181"/>
      <c r="H590" s="181"/>
      <c r="I590" s="181"/>
      <c r="J590" s="181"/>
      <c r="K590" s="181"/>
      <c r="L590" s="181"/>
      <c r="M590" s="181"/>
      <c r="N590" s="181"/>
      <c r="O590" s="181"/>
      <c r="P590" s="181"/>
      <c r="Q590" s="181"/>
      <c r="R590" s="181"/>
      <c r="S590" s="181"/>
      <c r="T590" s="181"/>
      <c r="U590" s="181"/>
    </row>
    <row r="591" spans="1:21">
      <c r="A591" s="9"/>
      <c r="B591" s="181"/>
      <c r="C591" s="181"/>
      <c r="D591" s="181"/>
      <c r="E591" s="181"/>
      <c r="F591" s="181"/>
      <c r="G591" s="181"/>
      <c r="H591" s="181"/>
      <c r="I591" s="181"/>
      <c r="J591" s="181"/>
      <c r="K591" s="181"/>
      <c r="L591" s="181"/>
      <c r="M591" s="181"/>
      <c r="N591" s="181"/>
      <c r="O591" s="181"/>
      <c r="P591" s="181"/>
      <c r="Q591" s="181"/>
      <c r="R591" s="181"/>
      <c r="S591" s="181"/>
      <c r="T591" s="181"/>
      <c r="U591" s="181"/>
    </row>
    <row r="592" spans="1:21">
      <c r="A592" s="9"/>
      <c r="B592" s="181"/>
      <c r="C592" s="181"/>
      <c r="D592" s="181"/>
      <c r="E592" s="181"/>
      <c r="F592" s="181"/>
      <c r="G592" s="181"/>
      <c r="H592" s="181"/>
      <c r="I592" s="181"/>
      <c r="J592" s="181"/>
      <c r="K592" s="181"/>
      <c r="L592" s="181"/>
      <c r="M592" s="181"/>
      <c r="N592" s="181"/>
      <c r="O592" s="181"/>
      <c r="P592" s="181"/>
      <c r="Q592" s="181"/>
      <c r="R592" s="181"/>
      <c r="S592" s="181"/>
      <c r="T592" s="181"/>
      <c r="U592" s="181"/>
    </row>
    <row r="593" spans="1:21">
      <c r="A593" s="9"/>
      <c r="B593" s="181"/>
      <c r="C593" s="181"/>
      <c r="D593" s="181"/>
      <c r="E593" s="181"/>
      <c r="F593" s="181"/>
      <c r="G593" s="181"/>
      <c r="H593" s="181"/>
      <c r="I593" s="181"/>
      <c r="J593" s="181"/>
      <c r="K593" s="181"/>
      <c r="L593" s="181"/>
      <c r="M593" s="181"/>
      <c r="N593" s="181"/>
      <c r="O593" s="181"/>
      <c r="P593" s="181"/>
      <c r="Q593" s="181"/>
      <c r="R593" s="181"/>
      <c r="S593" s="181"/>
      <c r="T593" s="181"/>
      <c r="U593" s="181"/>
    </row>
    <row r="594" spans="1:21">
      <c r="A594" s="9"/>
      <c r="B594" s="181"/>
      <c r="C594" s="181"/>
      <c r="D594" s="181"/>
      <c r="E594" s="181"/>
      <c r="F594" s="181"/>
      <c r="G594" s="181"/>
      <c r="H594" s="181"/>
      <c r="I594" s="181"/>
      <c r="J594" s="181"/>
      <c r="K594" s="181"/>
      <c r="L594" s="181"/>
      <c r="M594" s="181"/>
      <c r="N594" s="181"/>
      <c r="O594" s="181"/>
      <c r="P594" s="181"/>
      <c r="Q594" s="181"/>
      <c r="R594" s="181"/>
      <c r="S594" s="181"/>
      <c r="T594" s="181"/>
      <c r="U594" s="181"/>
    </row>
    <row r="595" spans="1:21">
      <c r="A595" s="9"/>
      <c r="B595" s="181"/>
      <c r="C595" s="181"/>
      <c r="D595" s="181"/>
      <c r="E595" s="181"/>
      <c r="F595" s="181"/>
      <c r="G595" s="181"/>
      <c r="H595" s="181"/>
      <c r="I595" s="181"/>
      <c r="J595" s="181"/>
      <c r="K595" s="181"/>
      <c r="L595" s="181"/>
      <c r="M595" s="181"/>
      <c r="N595" s="181"/>
      <c r="O595" s="181"/>
      <c r="P595" s="181"/>
      <c r="Q595" s="181"/>
      <c r="R595" s="181"/>
      <c r="S595" s="181"/>
      <c r="T595" s="181"/>
      <c r="U595" s="181"/>
    </row>
    <row r="596" spans="1:21">
      <c r="A596" s="9"/>
      <c r="B596" s="181"/>
      <c r="C596" s="181"/>
      <c r="D596" s="181"/>
      <c r="E596" s="181"/>
      <c r="F596" s="181"/>
      <c r="G596" s="181"/>
      <c r="H596" s="181"/>
      <c r="I596" s="181"/>
      <c r="J596" s="181"/>
      <c r="K596" s="181"/>
      <c r="L596" s="181"/>
      <c r="M596" s="181"/>
      <c r="N596" s="181"/>
      <c r="O596" s="181"/>
      <c r="P596" s="181"/>
      <c r="Q596" s="181"/>
      <c r="R596" s="181"/>
      <c r="S596" s="181"/>
      <c r="T596" s="181"/>
      <c r="U596" s="181"/>
    </row>
    <row r="597" spans="1:21">
      <c r="A597" s="9"/>
      <c r="B597" s="181"/>
      <c r="C597" s="181"/>
      <c r="D597" s="181"/>
      <c r="E597" s="181"/>
      <c r="F597" s="181"/>
      <c r="G597" s="181"/>
      <c r="H597" s="181"/>
      <c r="I597" s="181"/>
      <c r="J597" s="181"/>
      <c r="K597" s="181"/>
      <c r="L597" s="181"/>
      <c r="M597" s="181"/>
      <c r="N597" s="181"/>
      <c r="O597" s="181"/>
      <c r="P597" s="181"/>
      <c r="Q597" s="181"/>
      <c r="R597" s="181"/>
      <c r="S597" s="181"/>
      <c r="T597" s="181"/>
      <c r="U597" s="181"/>
    </row>
    <row r="598" spans="1:21">
      <c r="A598" s="9"/>
      <c r="B598" s="181"/>
      <c r="C598" s="181"/>
      <c r="D598" s="181"/>
      <c r="E598" s="181"/>
      <c r="F598" s="181"/>
      <c r="G598" s="181"/>
      <c r="H598" s="181"/>
      <c r="I598" s="181"/>
      <c r="J598" s="181"/>
      <c r="K598" s="181"/>
      <c r="L598" s="181"/>
      <c r="M598" s="181"/>
      <c r="N598" s="181"/>
      <c r="O598" s="181"/>
      <c r="P598" s="181"/>
      <c r="Q598" s="181"/>
      <c r="R598" s="181"/>
      <c r="S598" s="181"/>
      <c r="T598" s="181"/>
      <c r="U598" s="181"/>
    </row>
    <row r="599" spans="1:21">
      <c r="A599" s="9"/>
      <c r="B599" s="181"/>
      <c r="C599" s="181"/>
      <c r="D599" s="181"/>
      <c r="E599" s="181"/>
      <c r="F599" s="181"/>
      <c r="G599" s="181"/>
      <c r="H599" s="181"/>
      <c r="I599" s="181"/>
      <c r="J599" s="181"/>
      <c r="K599" s="181"/>
      <c r="L599" s="181"/>
      <c r="M599" s="181"/>
      <c r="N599" s="181"/>
      <c r="O599" s="181"/>
      <c r="P599" s="181"/>
      <c r="Q599" s="181"/>
      <c r="R599" s="181"/>
      <c r="S599" s="181"/>
      <c r="T599" s="181"/>
      <c r="U599" s="181"/>
    </row>
    <row r="600" spans="1:21">
      <c r="A600" s="9"/>
      <c r="B600" s="181"/>
      <c r="C600" s="181"/>
      <c r="D600" s="181"/>
      <c r="E600" s="181"/>
      <c r="F600" s="181"/>
      <c r="G600" s="181"/>
      <c r="H600" s="181"/>
      <c r="I600" s="181"/>
      <c r="J600" s="181"/>
      <c r="K600" s="181"/>
      <c r="L600" s="181"/>
      <c r="M600" s="181"/>
      <c r="N600" s="181"/>
      <c r="O600" s="181"/>
      <c r="P600" s="181"/>
      <c r="Q600" s="181"/>
      <c r="R600" s="181"/>
      <c r="S600" s="181"/>
      <c r="T600" s="181"/>
      <c r="U600" s="181"/>
    </row>
    <row r="601" spans="1:21">
      <c r="A601" s="9"/>
      <c r="B601" s="181"/>
      <c r="C601" s="181"/>
      <c r="D601" s="181"/>
      <c r="E601" s="181"/>
      <c r="F601" s="181"/>
      <c r="G601" s="181"/>
      <c r="H601" s="181"/>
      <c r="I601" s="181"/>
      <c r="J601" s="181"/>
      <c r="K601" s="181"/>
      <c r="L601" s="181"/>
      <c r="M601" s="181"/>
      <c r="N601" s="181"/>
      <c r="O601" s="181"/>
      <c r="P601" s="181"/>
      <c r="Q601" s="181"/>
      <c r="R601" s="181"/>
      <c r="S601" s="181"/>
      <c r="T601" s="181"/>
      <c r="U601" s="181"/>
    </row>
    <row r="602" spans="1:21">
      <c r="A602" s="9"/>
      <c r="B602" s="181"/>
      <c r="C602" s="181"/>
      <c r="D602" s="181"/>
      <c r="E602" s="181"/>
      <c r="F602" s="181"/>
      <c r="G602" s="181"/>
      <c r="H602" s="181"/>
      <c r="I602" s="181"/>
      <c r="J602" s="181"/>
      <c r="K602" s="181"/>
      <c r="L602" s="181"/>
      <c r="M602" s="181"/>
      <c r="N602" s="181"/>
      <c r="O602" s="181"/>
      <c r="P602" s="181"/>
      <c r="Q602" s="181"/>
      <c r="R602" s="181"/>
      <c r="S602" s="181"/>
      <c r="T602" s="181"/>
      <c r="U602" s="181"/>
    </row>
    <row r="603" spans="1:21">
      <c r="A603" s="9"/>
      <c r="B603" s="181"/>
      <c r="C603" s="181"/>
      <c r="D603" s="181"/>
      <c r="E603" s="181"/>
      <c r="F603" s="181"/>
      <c r="G603" s="181"/>
      <c r="H603" s="181"/>
      <c r="I603" s="181"/>
      <c r="J603" s="181"/>
      <c r="K603" s="181"/>
      <c r="L603" s="181"/>
      <c r="M603" s="181"/>
      <c r="N603" s="181"/>
      <c r="O603" s="181"/>
      <c r="P603" s="181"/>
      <c r="Q603" s="181"/>
      <c r="R603" s="181"/>
      <c r="S603" s="181"/>
      <c r="T603" s="181"/>
      <c r="U603" s="181"/>
    </row>
    <row r="604" spans="1:21">
      <c r="A604" s="9"/>
      <c r="B604" s="181"/>
      <c r="C604" s="181"/>
      <c r="D604" s="181"/>
      <c r="E604" s="181"/>
      <c r="F604" s="181"/>
      <c r="G604" s="181"/>
      <c r="H604" s="181"/>
      <c r="I604" s="181"/>
      <c r="J604" s="181"/>
      <c r="K604" s="181"/>
      <c r="L604" s="181"/>
      <c r="M604" s="181"/>
      <c r="N604" s="181"/>
      <c r="O604" s="181"/>
      <c r="P604" s="181"/>
      <c r="Q604" s="181"/>
      <c r="R604" s="181"/>
      <c r="S604" s="181"/>
      <c r="T604" s="181"/>
      <c r="U604" s="181"/>
    </row>
    <row r="605" spans="1:21">
      <c r="A605" s="9"/>
      <c r="B605" s="181"/>
      <c r="C605" s="181"/>
      <c r="D605" s="181"/>
      <c r="E605" s="181"/>
      <c r="F605" s="181"/>
      <c r="G605" s="181"/>
      <c r="H605" s="181"/>
      <c r="I605" s="181"/>
      <c r="J605" s="181"/>
      <c r="K605" s="181"/>
      <c r="L605" s="181"/>
      <c r="M605" s="181"/>
      <c r="N605" s="181"/>
      <c r="O605" s="181"/>
      <c r="P605" s="181"/>
      <c r="Q605" s="181"/>
      <c r="R605" s="181"/>
      <c r="S605" s="181"/>
      <c r="T605" s="181"/>
      <c r="U605" s="181"/>
    </row>
    <row r="606" spans="1:21">
      <c r="A606" s="9"/>
      <c r="B606" s="181"/>
      <c r="C606" s="181"/>
      <c r="D606" s="181"/>
      <c r="E606" s="181"/>
      <c r="F606" s="181"/>
      <c r="G606" s="181"/>
      <c r="H606" s="181"/>
      <c r="I606" s="181"/>
      <c r="J606" s="181"/>
      <c r="K606" s="181"/>
      <c r="L606" s="181"/>
      <c r="M606" s="181"/>
      <c r="N606" s="181"/>
      <c r="O606" s="181"/>
      <c r="P606" s="181"/>
      <c r="Q606" s="181"/>
      <c r="R606" s="181"/>
      <c r="S606" s="181"/>
      <c r="T606" s="181"/>
      <c r="U606" s="181"/>
    </row>
    <row r="607" spans="1:21">
      <c r="A607" s="9"/>
      <c r="B607" s="181"/>
      <c r="C607" s="181"/>
      <c r="D607" s="181"/>
      <c r="E607" s="181"/>
      <c r="F607" s="181"/>
      <c r="G607" s="181"/>
      <c r="H607" s="181"/>
      <c r="I607" s="181"/>
      <c r="J607" s="181"/>
      <c r="K607" s="181"/>
      <c r="L607" s="181"/>
      <c r="M607" s="181"/>
      <c r="N607" s="181"/>
      <c r="O607" s="181"/>
      <c r="P607" s="181"/>
      <c r="Q607" s="181"/>
      <c r="R607" s="181"/>
      <c r="S607" s="181"/>
      <c r="T607" s="181"/>
      <c r="U607" s="181"/>
    </row>
    <row r="608" spans="1:21">
      <c r="A608" s="9"/>
      <c r="B608" s="181"/>
      <c r="C608" s="181"/>
      <c r="D608" s="181"/>
      <c r="E608" s="181"/>
      <c r="F608" s="181"/>
      <c r="G608" s="181"/>
      <c r="H608" s="181"/>
      <c r="I608" s="181"/>
      <c r="J608" s="181"/>
      <c r="K608" s="181"/>
      <c r="L608" s="181"/>
      <c r="M608" s="181"/>
      <c r="N608" s="181"/>
      <c r="O608" s="181"/>
      <c r="P608" s="181"/>
      <c r="Q608" s="181"/>
      <c r="R608" s="181"/>
      <c r="S608" s="181"/>
      <c r="T608" s="181"/>
      <c r="U608" s="181"/>
    </row>
    <row r="609" spans="1:21">
      <c r="A609" s="9"/>
      <c r="B609" s="181"/>
      <c r="C609" s="181"/>
      <c r="D609" s="181"/>
      <c r="E609" s="181"/>
      <c r="F609" s="181"/>
      <c r="G609" s="181"/>
      <c r="H609" s="181"/>
      <c r="I609" s="181"/>
      <c r="J609" s="181"/>
      <c r="K609" s="181"/>
      <c r="L609" s="181"/>
      <c r="M609" s="181"/>
      <c r="N609" s="181"/>
      <c r="O609" s="181"/>
      <c r="P609" s="181"/>
      <c r="Q609" s="181"/>
      <c r="R609" s="181"/>
      <c r="S609" s="181"/>
      <c r="T609" s="181"/>
      <c r="U609" s="181"/>
    </row>
    <row r="610" spans="1:21">
      <c r="A610" s="9"/>
      <c r="B610" s="181"/>
      <c r="C610" s="181"/>
      <c r="D610" s="181"/>
      <c r="E610" s="181"/>
      <c r="F610" s="181"/>
      <c r="G610" s="181"/>
      <c r="H610" s="181"/>
      <c r="I610" s="181"/>
      <c r="J610" s="181"/>
      <c r="K610" s="181"/>
      <c r="L610" s="181"/>
      <c r="M610" s="181"/>
      <c r="N610" s="181"/>
      <c r="O610" s="181"/>
      <c r="P610" s="181"/>
      <c r="Q610" s="181"/>
      <c r="R610" s="181"/>
      <c r="S610" s="181"/>
      <c r="T610" s="181"/>
      <c r="U610" s="181"/>
    </row>
    <row r="611" spans="1:21">
      <c r="A611" s="9"/>
      <c r="B611" s="181"/>
      <c r="C611" s="181"/>
      <c r="D611" s="181"/>
      <c r="E611" s="181"/>
      <c r="F611" s="181"/>
      <c r="G611" s="181"/>
      <c r="H611" s="181"/>
      <c r="I611" s="181"/>
      <c r="J611" s="181"/>
      <c r="K611" s="181"/>
      <c r="L611" s="181"/>
      <c r="M611" s="181"/>
      <c r="N611" s="181"/>
      <c r="O611" s="181"/>
      <c r="P611" s="181"/>
      <c r="Q611" s="181"/>
      <c r="R611" s="181"/>
      <c r="S611" s="181"/>
      <c r="T611" s="181"/>
      <c r="U611" s="181"/>
    </row>
    <row r="612" spans="1:21">
      <c r="B612" s="181"/>
      <c r="C612" s="181"/>
      <c r="D612" s="181"/>
      <c r="E612" s="181"/>
      <c r="F612" s="181"/>
      <c r="G612" s="181"/>
      <c r="H612" s="181"/>
      <c r="I612" s="181"/>
      <c r="J612" s="181"/>
      <c r="K612" s="181"/>
      <c r="L612" s="181"/>
      <c r="M612" s="181"/>
      <c r="N612" s="181"/>
      <c r="O612" s="181"/>
      <c r="P612" s="181"/>
      <c r="Q612" s="181"/>
      <c r="R612" s="181"/>
      <c r="S612" s="181"/>
      <c r="T612" s="181"/>
      <c r="U612" s="181"/>
    </row>
    <row r="613" spans="1:21">
      <c r="B613" s="181"/>
      <c r="C613" s="181"/>
      <c r="D613" s="181"/>
      <c r="E613" s="181"/>
      <c r="F613" s="181"/>
      <c r="G613" s="181"/>
      <c r="H613" s="181"/>
      <c r="I613" s="181"/>
      <c r="J613" s="181"/>
      <c r="K613" s="181"/>
      <c r="L613" s="181"/>
      <c r="M613" s="181"/>
      <c r="N613" s="181"/>
      <c r="O613" s="181"/>
      <c r="P613" s="181"/>
      <c r="Q613" s="181"/>
      <c r="R613" s="181"/>
      <c r="S613" s="181"/>
      <c r="T613" s="181"/>
      <c r="U613" s="181"/>
    </row>
    <row r="614" spans="1:21">
      <c r="B614" s="181"/>
      <c r="C614" s="181"/>
      <c r="D614" s="181"/>
      <c r="E614" s="181"/>
      <c r="F614" s="181"/>
      <c r="G614" s="181"/>
      <c r="H614" s="181"/>
      <c r="I614" s="181"/>
      <c r="J614" s="181"/>
      <c r="K614" s="181"/>
      <c r="L614" s="181"/>
      <c r="M614" s="181"/>
      <c r="N614" s="181"/>
      <c r="O614" s="181"/>
      <c r="P614" s="181"/>
      <c r="Q614" s="181"/>
      <c r="R614" s="181"/>
      <c r="S614" s="181"/>
      <c r="T614" s="181"/>
      <c r="U614" s="181"/>
    </row>
    <row r="615" spans="1:21">
      <c r="B615" s="181"/>
      <c r="C615" s="181"/>
      <c r="D615" s="181"/>
      <c r="E615" s="181"/>
      <c r="F615" s="181"/>
      <c r="G615" s="181"/>
      <c r="H615" s="181"/>
      <c r="I615" s="181"/>
      <c r="J615" s="181"/>
      <c r="K615" s="181"/>
      <c r="L615" s="181"/>
      <c r="M615" s="181"/>
      <c r="N615" s="181"/>
      <c r="O615" s="181"/>
      <c r="P615" s="181"/>
      <c r="Q615" s="181"/>
      <c r="R615" s="181"/>
      <c r="S615" s="181"/>
      <c r="T615" s="181"/>
      <c r="U615" s="181"/>
    </row>
    <row r="616" spans="1:21">
      <c r="B616" s="181"/>
      <c r="C616" s="181"/>
      <c r="D616" s="181"/>
      <c r="E616" s="181"/>
      <c r="F616" s="181"/>
      <c r="G616" s="181"/>
      <c r="H616" s="181"/>
      <c r="I616" s="181"/>
      <c r="J616" s="181"/>
      <c r="K616" s="181"/>
      <c r="L616" s="181"/>
      <c r="M616" s="181"/>
      <c r="N616" s="181"/>
      <c r="O616" s="181"/>
      <c r="P616" s="181"/>
      <c r="Q616" s="181"/>
      <c r="R616" s="181"/>
      <c r="S616" s="181"/>
      <c r="T616" s="181"/>
      <c r="U616" s="181"/>
    </row>
    <row r="617" spans="1:21">
      <c r="B617" s="181"/>
      <c r="C617" s="181"/>
      <c r="D617" s="181"/>
      <c r="E617" s="181"/>
      <c r="F617" s="181"/>
      <c r="G617" s="181"/>
      <c r="H617" s="181"/>
      <c r="I617" s="181"/>
      <c r="J617" s="181"/>
      <c r="K617" s="181"/>
      <c r="L617" s="181"/>
      <c r="M617" s="181"/>
      <c r="N617" s="181"/>
      <c r="O617" s="181"/>
      <c r="P617" s="181"/>
      <c r="Q617" s="181"/>
      <c r="R617" s="181"/>
      <c r="S617" s="181"/>
      <c r="T617" s="181"/>
      <c r="U617" s="181"/>
    </row>
    <row r="618" spans="1:21">
      <c r="B618" s="181"/>
      <c r="C618" s="181"/>
      <c r="D618" s="181"/>
      <c r="E618" s="181"/>
      <c r="F618" s="181"/>
      <c r="G618" s="181"/>
      <c r="H618" s="181"/>
      <c r="I618" s="181"/>
      <c r="J618" s="181"/>
      <c r="K618" s="181"/>
      <c r="L618" s="181"/>
      <c r="M618" s="181"/>
      <c r="N618" s="181"/>
      <c r="O618" s="181"/>
      <c r="P618" s="181"/>
      <c r="Q618" s="181"/>
      <c r="R618" s="181"/>
      <c r="S618" s="181"/>
      <c r="T618" s="181"/>
      <c r="U618" s="181"/>
    </row>
    <row r="619" spans="1:21">
      <c r="B619" s="181"/>
      <c r="C619" s="181"/>
      <c r="D619" s="181"/>
      <c r="E619" s="181"/>
      <c r="F619" s="181"/>
      <c r="G619" s="181"/>
      <c r="H619" s="181"/>
      <c r="I619" s="181"/>
      <c r="J619" s="181"/>
      <c r="K619" s="181"/>
      <c r="L619" s="181"/>
      <c r="M619" s="181"/>
      <c r="N619" s="181"/>
      <c r="O619" s="181"/>
      <c r="P619" s="181"/>
      <c r="Q619" s="181"/>
      <c r="R619" s="181"/>
      <c r="S619" s="181"/>
      <c r="T619" s="181"/>
      <c r="U619" s="181"/>
    </row>
    <row r="620" spans="1:21">
      <c r="B620" s="181"/>
      <c r="C620" s="181"/>
      <c r="D620" s="181"/>
      <c r="E620" s="181"/>
      <c r="F620" s="181"/>
      <c r="G620" s="181"/>
      <c r="H620" s="181"/>
      <c r="I620" s="181"/>
      <c r="J620" s="181"/>
      <c r="K620" s="181"/>
      <c r="L620" s="181"/>
      <c r="M620" s="181"/>
      <c r="N620" s="181"/>
      <c r="O620" s="181"/>
      <c r="P620" s="181"/>
      <c r="Q620" s="181"/>
      <c r="R620" s="181"/>
      <c r="S620" s="181"/>
      <c r="T620" s="181"/>
      <c r="U620" s="181"/>
    </row>
    <row r="621" spans="1:21">
      <c r="B621" s="181"/>
      <c r="C621" s="181"/>
      <c r="D621" s="181"/>
      <c r="E621" s="181"/>
      <c r="F621" s="181"/>
      <c r="G621" s="181"/>
      <c r="H621" s="181"/>
      <c r="I621" s="181"/>
      <c r="J621" s="181"/>
      <c r="K621" s="181"/>
      <c r="L621" s="181"/>
      <c r="M621" s="181"/>
      <c r="N621" s="181"/>
      <c r="O621" s="181"/>
      <c r="P621" s="181"/>
      <c r="Q621" s="181"/>
      <c r="R621" s="181"/>
      <c r="S621" s="181"/>
      <c r="T621" s="181"/>
      <c r="U621" s="181"/>
    </row>
    <row r="622" spans="1:21">
      <c r="B622" s="181"/>
      <c r="C622" s="181"/>
      <c r="D622" s="181"/>
      <c r="E622" s="181"/>
      <c r="F622" s="181"/>
      <c r="G622" s="181"/>
      <c r="H622" s="181"/>
      <c r="I622" s="181"/>
      <c r="J622" s="181"/>
      <c r="K622" s="181"/>
      <c r="L622" s="181"/>
      <c r="M622" s="181"/>
      <c r="N622" s="181"/>
      <c r="O622" s="181"/>
      <c r="P622" s="181"/>
      <c r="Q622" s="181"/>
      <c r="R622" s="181"/>
      <c r="S622" s="181"/>
      <c r="T622" s="181"/>
      <c r="U622" s="181"/>
    </row>
    <row r="623" spans="1:21">
      <c r="B623" s="181"/>
      <c r="C623" s="181"/>
      <c r="D623" s="181"/>
      <c r="E623" s="181"/>
      <c r="F623" s="181"/>
      <c r="G623" s="181"/>
      <c r="H623" s="181"/>
      <c r="I623" s="181"/>
      <c r="J623" s="181"/>
      <c r="K623" s="181"/>
      <c r="L623" s="181"/>
      <c r="M623" s="181"/>
      <c r="N623" s="181"/>
      <c r="O623" s="181"/>
      <c r="P623" s="181"/>
      <c r="Q623" s="181"/>
      <c r="R623" s="181"/>
      <c r="S623" s="181"/>
      <c r="T623" s="181"/>
      <c r="U623" s="181"/>
    </row>
    <row r="624" spans="1:21">
      <c r="B624" s="181"/>
      <c r="C624" s="181"/>
      <c r="D624" s="181"/>
      <c r="E624" s="181"/>
      <c r="F624" s="181"/>
      <c r="G624" s="181"/>
      <c r="H624" s="181"/>
      <c r="I624" s="181"/>
      <c r="J624" s="181"/>
      <c r="K624" s="181"/>
      <c r="L624" s="181"/>
      <c r="M624" s="181"/>
      <c r="N624" s="181"/>
      <c r="O624" s="181"/>
      <c r="P624" s="181"/>
      <c r="Q624" s="181"/>
      <c r="R624" s="181"/>
      <c r="S624" s="181"/>
      <c r="T624" s="181"/>
      <c r="U624" s="181"/>
    </row>
    <row r="625" spans="2:21">
      <c r="B625" s="181"/>
      <c r="C625" s="181"/>
      <c r="D625" s="181"/>
      <c r="E625" s="181"/>
      <c r="F625" s="181"/>
      <c r="G625" s="181"/>
      <c r="H625" s="181"/>
      <c r="I625" s="181"/>
      <c r="J625" s="181"/>
      <c r="K625" s="181"/>
      <c r="L625" s="181"/>
      <c r="M625" s="181"/>
      <c r="N625" s="181"/>
      <c r="O625" s="181"/>
      <c r="P625" s="181"/>
      <c r="Q625" s="181"/>
      <c r="R625" s="181"/>
      <c r="S625" s="181"/>
      <c r="T625" s="181"/>
      <c r="U625" s="181"/>
    </row>
    <row r="626" spans="2:21">
      <c r="B626" s="181"/>
      <c r="C626" s="181"/>
      <c r="D626" s="181"/>
      <c r="E626" s="181"/>
      <c r="F626" s="181"/>
      <c r="G626" s="181"/>
      <c r="H626" s="181"/>
      <c r="I626" s="181"/>
      <c r="J626" s="181"/>
      <c r="K626" s="181"/>
      <c r="L626" s="181"/>
      <c r="M626" s="181"/>
      <c r="N626" s="181"/>
      <c r="O626" s="181"/>
      <c r="P626" s="181"/>
      <c r="Q626" s="181"/>
      <c r="R626" s="181"/>
      <c r="S626" s="181"/>
      <c r="T626" s="181"/>
      <c r="U626" s="181"/>
    </row>
    <row r="708" spans="1:32" s="49" customFormat="1" ht="11.25" customHeight="1">
      <c r="A708" s="82"/>
      <c r="B708" s="82"/>
      <c r="C708" s="82"/>
      <c r="D708" s="43"/>
      <c r="E708" s="43"/>
      <c r="F708" s="43"/>
      <c r="G708" s="813"/>
      <c r="H708" s="813"/>
      <c r="I708" s="813"/>
      <c r="J708" s="813"/>
      <c r="K708" s="82"/>
      <c r="L708" s="82"/>
      <c r="M708" s="82"/>
      <c r="N708" s="43"/>
      <c r="O708" s="813"/>
      <c r="P708" s="813"/>
      <c r="Q708" s="82"/>
      <c r="AE708" s="57"/>
      <c r="AF708" s="57"/>
    </row>
    <row r="709" spans="1:32" s="49" customFormat="1" ht="11.25" customHeight="1">
      <c r="A709" s="813"/>
      <c r="B709" s="813"/>
      <c r="C709" s="813"/>
      <c r="D709" s="43"/>
      <c r="E709" s="43"/>
      <c r="F709" s="43"/>
      <c r="G709" s="813"/>
      <c r="H709" s="813"/>
      <c r="I709" s="813"/>
      <c r="J709" s="813"/>
      <c r="K709" s="813"/>
      <c r="L709" s="813"/>
      <c r="M709" s="813"/>
      <c r="N709" s="43"/>
      <c r="O709" s="813"/>
      <c r="P709" s="813"/>
      <c r="Q709" s="813"/>
      <c r="AE709" s="57"/>
      <c r="AF709" s="57"/>
    </row>
    <row r="710" spans="1:32" s="49" customFormat="1" ht="11.25" customHeight="1">
      <c r="A710" s="813"/>
      <c r="B710" s="813"/>
      <c r="C710" s="813"/>
      <c r="D710" s="43"/>
      <c r="E710" s="43"/>
      <c r="F710" s="43"/>
      <c r="G710" s="813"/>
      <c r="H710" s="813"/>
      <c r="I710" s="813"/>
      <c r="J710" s="813"/>
      <c r="K710" s="813"/>
      <c r="L710" s="813"/>
      <c r="M710" s="813"/>
      <c r="N710" s="43"/>
      <c r="O710" s="813"/>
      <c r="P710" s="813"/>
      <c r="Q710" s="813"/>
      <c r="AE710" s="57"/>
      <c r="AF710" s="57"/>
    </row>
    <row r="711" spans="1:32" s="49" customFormat="1" ht="11.25" customHeight="1">
      <c r="A711" s="813"/>
      <c r="B711" s="813"/>
      <c r="C711" s="813"/>
      <c r="D711" s="43"/>
      <c r="E711" s="43"/>
      <c r="F711" s="43"/>
      <c r="G711" s="813"/>
      <c r="H711" s="813"/>
      <c r="I711" s="813"/>
      <c r="J711" s="813"/>
      <c r="K711" s="813"/>
      <c r="L711" s="813"/>
      <c r="M711" s="813"/>
      <c r="N711" s="43"/>
      <c r="O711" s="813"/>
      <c r="P711" s="813"/>
      <c r="Q711" s="813"/>
      <c r="AE711" s="57"/>
      <c r="AF711" s="57"/>
    </row>
    <row r="712" spans="1:32" s="49" customFormat="1" ht="11.25" customHeight="1">
      <c r="A712" s="813"/>
      <c r="B712" s="813"/>
      <c r="C712" s="813"/>
      <c r="D712" s="43"/>
      <c r="E712" s="43"/>
      <c r="F712" s="43"/>
      <c r="G712" s="43"/>
      <c r="H712" s="43"/>
      <c r="I712" s="813"/>
      <c r="J712" s="813"/>
      <c r="K712" s="813"/>
      <c r="L712" s="813"/>
      <c r="M712" s="813"/>
      <c r="N712" s="43"/>
      <c r="O712" s="813"/>
      <c r="P712" s="43"/>
      <c r="Q712" s="813"/>
      <c r="AE712" s="57"/>
      <c r="AF712" s="57"/>
    </row>
    <row r="713" spans="1:32">
      <c r="A713" s="813"/>
      <c r="B713" s="813"/>
      <c r="C713" s="813"/>
      <c r="K713" s="813"/>
      <c r="L713" s="813"/>
      <c r="M713" s="813"/>
      <c r="Q713" s="813"/>
    </row>
  </sheetData>
  <sheetProtection password="BD88" sheet="1" objects="1" scenarios="1" formatColumns="0" formatRows="0"/>
  <mergeCells count="240">
    <mergeCell ref="A143:Q143"/>
    <mergeCell ref="K192:N192"/>
    <mergeCell ref="K191:N191"/>
    <mergeCell ref="K181:N181"/>
    <mergeCell ref="K180:N180"/>
    <mergeCell ref="D276:N276"/>
    <mergeCell ref="D274:N274"/>
    <mergeCell ref="D273:N273"/>
    <mergeCell ref="D272:N272"/>
    <mergeCell ref="D275:N275"/>
    <mergeCell ref="A239:Q239"/>
    <mergeCell ref="A260:Q260"/>
    <mergeCell ref="P253:Q253"/>
    <mergeCell ref="P271:Q271"/>
    <mergeCell ref="P262:Q262"/>
    <mergeCell ref="C264:N264"/>
    <mergeCell ref="C255:N255"/>
    <mergeCell ref="C265:N265"/>
    <mergeCell ref="A258:Q258"/>
    <mergeCell ref="M245:O245"/>
    <mergeCell ref="P241:Q241"/>
    <mergeCell ref="A267:Q267"/>
    <mergeCell ref="A251:Q251"/>
    <mergeCell ref="P218:Q218"/>
    <mergeCell ref="A18:Q18"/>
    <mergeCell ref="M244:O244"/>
    <mergeCell ref="L221:O221"/>
    <mergeCell ref="A237:Q237"/>
    <mergeCell ref="L214:M214"/>
    <mergeCell ref="N214:P214"/>
    <mergeCell ref="L215:N215"/>
    <mergeCell ref="E84:G84"/>
    <mergeCell ref="P179:Q179"/>
    <mergeCell ref="C156:N156"/>
    <mergeCell ref="P163:Q163"/>
    <mergeCell ref="C172:N172"/>
    <mergeCell ref="A205:Q205"/>
    <mergeCell ref="A175:Q175"/>
    <mergeCell ref="A150:Q150"/>
    <mergeCell ref="A196:Q196"/>
    <mergeCell ref="A183:Q183"/>
    <mergeCell ref="F169:N169"/>
    <mergeCell ref="F171:N171"/>
    <mergeCell ref="A177:Q177"/>
    <mergeCell ref="A194:Q194"/>
    <mergeCell ref="A161:Q161"/>
    <mergeCell ref="C180:G180"/>
    <mergeCell ref="M111:P111"/>
    <mergeCell ref="K62:Q62"/>
    <mergeCell ref="A152:Q152"/>
    <mergeCell ref="K45:N45"/>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A16:Q16"/>
    <mergeCell ref="O84:Q84"/>
    <mergeCell ref="A15:Q15"/>
    <mergeCell ref="J84:L84"/>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8:Q48"/>
    <mergeCell ref="P45:Q47"/>
    <mergeCell ref="F45:I45"/>
    <mergeCell ref="D221:H221"/>
    <mergeCell ref="P145:Q145"/>
    <mergeCell ref="A159:Q159"/>
    <mergeCell ref="P154:Q154"/>
    <mergeCell ref="M95:P95"/>
    <mergeCell ref="K70:P70"/>
    <mergeCell ref="N147:O147"/>
    <mergeCell ref="C82:Q82"/>
    <mergeCell ref="K69:P69"/>
    <mergeCell ref="M80:P80"/>
    <mergeCell ref="A88:Q88"/>
    <mergeCell ref="A90:Q90"/>
    <mergeCell ref="P91:Q91"/>
    <mergeCell ref="J133:P133"/>
    <mergeCell ref="P109:Q109"/>
    <mergeCell ref="D96:N96"/>
    <mergeCell ref="K148:P148"/>
    <mergeCell ref="O85:Q85"/>
    <mergeCell ref="J85:L85"/>
    <mergeCell ref="E85:G85"/>
    <mergeCell ref="A105:Q105"/>
    <mergeCell ref="A107:Q107"/>
    <mergeCell ref="M114:P114"/>
    <mergeCell ref="D117:Q117"/>
    <mergeCell ref="C338:N338"/>
    <mergeCell ref="P394:Q394"/>
    <mergeCell ref="R8:S11"/>
    <mergeCell ref="P300:Q300"/>
    <mergeCell ref="P147:Q147"/>
    <mergeCell ref="P245:Q245"/>
    <mergeCell ref="P243:Q243"/>
    <mergeCell ref="A39:Q39"/>
    <mergeCell ref="A36:Q36"/>
    <mergeCell ref="R15:S18"/>
    <mergeCell ref="J32:N32"/>
    <mergeCell ref="R22:S25"/>
    <mergeCell ref="A23:Q23"/>
    <mergeCell ref="A24:Q24"/>
    <mergeCell ref="A27:Q27"/>
    <mergeCell ref="A298:Q298"/>
    <mergeCell ref="C66:M66"/>
    <mergeCell ref="P76:Q76"/>
    <mergeCell ref="A72:Q72"/>
    <mergeCell ref="K56:Q56"/>
    <mergeCell ref="A74:Q74"/>
    <mergeCell ref="M78:P78"/>
    <mergeCell ref="M79:P79"/>
    <mergeCell ref="D98:N98"/>
    <mergeCell ref="B163:D163"/>
    <mergeCell ref="A422:Q422"/>
    <mergeCell ref="P322:Q322"/>
    <mergeCell ref="A426:Q426"/>
    <mergeCell ref="P412:Q412"/>
    <mergeCell ref="C366:N366"/>
    <mergeCell ref="H388:O388"/>
    <mergeCell ref="P424:Q424"/>
    <mergeCell ref="C399:N399"/>
    <mergeCell ref="C324:N324"/>
    <mergeCell ref="A392:Q392"/>
    <mergeCell ref="C328:N328"/>
    <mergeCell ref="A333:Q333"/>
    <mergeCell ref="C417:N417"/>
    <mergeCell ref="A390:Q390"/>
    <mergeCell ref="E361:I361"/>
    <mergeCell ref="A381:Q381"/>
    <mergeCell ref="K323:P323"/>
    <mergeCell ref="H375:P375"/>
    <mergeCell ref="P360:Q360"/>
    <mergeCell ref="A378:Q378"/>
    <mergeCell ref="N374:O374"/>
    <mergeCell ref="C374:L374"/>
    <mergeCell ref="P373:Q373"/>
    <mergeCell ref="A296:Q296"/>
    <mergeCell ref="A141:Q141"/>
    <mergeCell ref="C157:N157"/>
    <mergeCell ref="C247:N247"/>
    <mergeCell ref="L220:O220"/>
    <mergeCell ref="L304:O304"/>
    <mergeCell ref="D289:F289"/>
    <mergeCell ref="L305:O305"/>
    <mergeCell ref="A331:Q331"/>
    <mergeCell ref="P244:Q244"/>
    <mergeCell ref="D220:H220"/>
    <mergeCell ref="A269:Q269"/>
    <mergeCell ref="P281:Q281"/>
    <mergeCell ref="M243:O243"/>
    <mergeCell ref="A249:Q249"/>
    <mergeCell ref="P210:Q210"/>
    <mergeCell ref="P187:Q187"/>
    <mergeCell ref="C327:N327"/>
    <mergeCell ref="A280:Q280"/>
    <mergeCell ref="A278:Q278"/>
    <mergeCell ref="L213:M213"/>
    <mergeCell ref="P198:Q198"/>
    <mergeCell ref="C191:G192"/>
    <mergeCell ref="A185:Q185"/>
    <mergeCell ref="A208:Q208"/>
    <mergeCell ref="C285:N285"/>
    <mergeCell ref="N406:Q406"/>
    <mergeCell ref="P335:Q335"/>
    <mergeCell ref="C316:N316"/>
    <mergeCell ref="C291:N291"/>
    <mergeCell ref="D293:N293"/>
    <mergeCell ref="D292:N292"/>
    <mergeCell ref="G288:N288"/>
    <mergeCell ref="G289:N289"/>
    <mergeCell ref="A320:Q320"/>
    <mergeCell ref="P311:Q311"/>
    <mergeCell ref="A318:Q318"/>
    <mergeCell ref="A309:Q309"/>
    <mergeCell ref="C344:N344"/>
    <mergeCell ref="C343:N343"/>
    <mergeCell ref="C342:N342"/>
    <mergeCell ref="C341:N341"/>
    <mergeCell ref="C340:N340"/>
    <mergeCell ref="C339:N339"/>
    <mergeCell ref="C313:N313"/>
    <mergeCell ref="C314:N314"/>
    <mergeCell ref="J361:L361"/>
    <mergeCell ref="C287:M287"/>
    <mergeCell ref="A43:E46"/>
    <mergeCell ref="C418:N418"/>
    <mergeCell ref="P374:Q374"/>
    <mergeCell ref="A369:Q369"/>
    <mergeCell ref="C365:N365"/>
    <mergeCell ref="P49:Q53"/>
    <mergeCell ref="A428:Q428"/>
    <mergeCell ref="M81:P81"/>
    <mergeCell ref="A410:Q410"/>
    <mergeCell ref="A408:Q408"/>
    <mergeCell ref="A420:Q420"/>
    <mergeCell ref="C415:N415"/>
    <mergeCell ref="C416:N416"/>
    <mergeCell ref="C414:N414"/>
    <mergeCell ref="C413:N413"/>
    <mergeCell ref="P383:Q383"/>
    <mergeCell ref="A371:Q371"/>
    <mergeCell ref="K146:L146"/>
    <mergeCell ref="A356:Q356"/>
    <mergeCell ref="A358:Q358"/>
    <mergeCell ref="M361:Q361"/>
    <mergeCell ref="A307:Q307"/>
    <mergeCell ref="C363:N363"/>
    <mergeCell ref="K68:P68"/>
  </mergeCells>
  <phoneticPr fontId="7" type="noConversion"/>
  <dataValidations count="18">
    <dataValidation type="list" allowBlank="1" showInputMessage="1" showErrorMessage="1" sqref="P44 N405:O405 P338:Q344 P164:Q173 J130:K132 O130:P132 P146:Q146 Q133 P126:Q128 P135:Q137 P119:Q120 P122:Q124 F130:G132 Q95 P96:Q99 P93:Q94 P101:Q103 P86:Q86 Q78:Q81 P362:Q367 P376 P292:Q293 P155:Q157 P189:Q192 P200:Q203 P180:Q181 Q186 P232:Q235 P224:Q229 I220:I221 P211:Q211 P220:P221 P246:Q246 P255:Q256 Q261 Q111:Q114 P112:P113 P31:Q31 Q148 Q347:Q354 Q359 P272:Q276 P444 P395:Q396 P398:Q399 P432:Q438 P441:P442 Q441:Q444 Q423 Q411 P446:Q446 Q375:Q376 Q323:Q329 Q372 G405:H406 P285:Q285 P282:Q283 P288:Q289 P313:Q316 Q310 P324:P329 P384:Q388 Q334 P302:Q303">
      <formula1>"Yes, No"</formula1>
    </dataValidation>
    <dataValidation type="list" allowBlank="1" showInputMessage="1" showErrorMessage="1" sqref="H446:I446">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63:C468 C458:C459"/>
    <dataValidation type="list" allowBlank="1" showInputMessage="1" showErrorMessage="1" sqref="P424 P41 P29 P58 P163 P154 P145 P109 P91 P76 P64 P179 P187 P198 P210 P241 P253 P262 P271 P394 P412 P300 P281 P311 P373 P383 P335 P322 P360">
      <formula1>"Conditional Pass, Pass, Fail, N/A, TBD"</formula1>
    </dataValidation>
    <dataValidation type="list" allowBlank="1" showInputMessage="1" showErrorMessage="1" sqref="P413:Q418 P231:Q231 P66 P223:Q223 P217:Q217 P247:Q247 P264:Q265 Q213:Q215">
      <formula1>"Agree, Disagree"</formula1>
    </dataValidation>
    <dataValidation type="list" allowBlank="1" showInputMessage="1" showErrorMessage="1" sqref="N374:Q374">
      <formula1>"&lt;&lt;Select&gt;&gt;, Minority concentration, Racially mixed, Non-minority"</formula1>
    </dataValidation>
    <dataValidation type="list" allowBlank="1" showInputMessage="1" showErrorMessage="1" sqref="L304:L305">
      <formula1>"Qualified without Conditions, Qualified with Conditions, Probationary Qualification with Conditions"</formula1>
    </dataValidation>
    <dataValidation type="list" allowBlank="1" showInputMessage="1" showErrorMessage="1" sqref="G289:N289">
      <formula1>$K$511:$K$513</formula1>
    </dataValidation>
    <dataValidation type="list" allowBlank="1" showInputMessage="1" showErrorMessage="1" sqref="G288">
      <formula1>$K$516:$K$520</formula1>
    </dataValidation>
    <dataValidation type="list" allowBlank="1" showInputMessage="1" showErrorMessage="1" sqref="L213">
      <formula1>"&lt;&lt;Select&gt;&gt;, Room, Building"</formula1>
    </dataValidation>
    <dataValidation type="list" allowBlank="1" showInputMessage="1" showErrorMessage="1" sqref="L214">
      <formula1>"&lt;&lt;Select&gt;&gt;, Gazebo, Covered Porch, Other - explain:"</formula1>
    </dataValidation>
    <dataValidation type="list" allowBlank="1" showInputMessage="1" showErrorMessage="1" sqref="L215:N215">
      <formula1>"&lt;&lt;Select&gt;&gt;, On-site laundry, Washer and dryer in each unit"</formula1>
    </dataValidation>
    <dataValidation type="list" allowBlank="1" showInputMessage="1" showErrorMessage="1" sqref="M243:Q243">
      <formula1>"&lt;&lt;Select&gt;&gt;, Wholesale, Historic Preservation"</formula1>
    </dataValidation>
    <dataValidation type="list" allowBlank="1" showInputMessage="1" showErrorMessage="1" sqref="Q220:Q221 P134:Q134 P138:Q138 J220:J221">
      <formula1>"Yes, No, N/A"</formula1>
    </dataValidation>
    <dataValidation type="list" allowBlank="1" showInputMessage="1" showErrorMessage="1" sqref="P147:Q147">
      <formula1>"&lt;&lt;Select&gt;&gt;, Warranty Deed, Contract/Option, Ground lease, No site control, Other (see comments)"</formula1>
    </dataValidation>
    <dataValidation type="list" allowBlank="1" showInputMessage="1" showErrorMessage="1" sqref="N147:O147">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WITHDRAWN"</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11" manualBreakCount="11">
    <brk id="28" max="16383" man="1"/>
    <brk id="75" max="16383" man="1"/>
    <brk id="108" max="16383" man="1"/>
    <brk id="144" max="16383" man="1"/>
    <brk id="178" max="16383" man="1"/>
    <brk id="209" max="16383" man="1"/>
    <brk id="252" max="16383" man="1"/>
    <brk id="280" max="16383" man="1"/>
    <brk id="321" max="16383" man="1"/>
    <brk id="359" max="16383" man="1"/>
    <brk id="393"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374"/>
  <sheetViews>
    <sheetView showGridLines="0" zoomScaleNormal="100" workbookViewId="0">
      <selection activeCell="A263"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1" customWidth="1"/>
    <col min="15" max="16" width="5.5703125" style="801"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3" customFormat="1" ht="13.9" customHeight="1">
      <c r="A1" s="919" t="str">
        <f>CONCATENATE("PART NINE - SCORING CRITERIA","  -  ",'Part I-Project Information'!$O$4," ",'Part I-Project Information'!$F$23,", ",'Part I-Project Information'!F26,", ",'Part I-Project Information'!J27," County")</f>
        <v>PART NINE - SCORING CRITERIA  -  2013-011 Mountain View Senior Residences, Stone Mountain, DeKalb County</v>
      </c>
      <c r="B1" s="920"/>
      <c r="C1" s="920"/>
      <c r="D1" s="920"/>
      <c r="E1" s="920"/>
      <c r="F1" s="920"/>
      <c r="G1" s="920"/>
      <c r="H1" s="920"/>
      <c r="I1" s="920"/>
      <c r="J1" s="920"/>
      <c r="K1" s="920"/>
      <c r="L1" s="920"/>
      <c r="M1" s="920"/>
      <c r="N1" s="920"/>
      <c r="O1" s="920"/>
      <c r="P1" s="921"/>
    </row>
    <row r="2" spans="1:19" s="43" customFormat="1" ht="4.1500000000000004" customHeight="1">
      <c r="A2" s="44"/>
      <c r="B2" s="44"/>
      <c r="C2" s="45"/>
      <c r="D2" s="44"/>
      <c r="E2" s="44"/>
      <c r="F2" s="44"/>
      <c r="G2" s="44"/>
      <c r="H2" s="44"/>
      <c r="I2" s="44"/>
      <c r="J2" s="44"/>
      <c r="K2" s="44"/>
      <c r="L2" s="44"/>
      <c r="M2" s="46"/>
      <c r="N2" s="88"/>
      <c r="O2" s="2"/>
      <c r="P2" s="2"/>
    </row>
    <row r="3" spans="1:19" s="43" customFormat="1" ht="12.6" customHeight="1">
      <c r="A3" s="49"/>
      <c r="B3" s="44"/>
      <c r="C3" s="44"/>
      <c r="D3" s="44"/>
      <c r="E3" s="44"/>
      <c r="F3" s="44"/>
      <c r="G3" s="44"/>
      <c r="H3" s="44"/>
      <c r="I3" s="44"/>
      <c r="J3" s="44"/>
      <c r="K3" s="49"/>
      <c r="M3" s="110" t="s">
        <v>2941</v>
      </c>
      <c r="N3" s="89"/>
      <c r="O3" s="100" t="s">
        <v>2940</v>
      </c>
      <c r="P3" s="222" t="s">
        <v>282</v>
      </c>
    </row>
    <row r="4" spans="1:19" s="51" customFormat="1" ht="12.6" customHeight="1">
      <c r="A4" s="49"/>
      <c r="B4" s="49"/>
      <c r="C4" s="49"/>
      <c r="D4" s="49"/>
      <c r="E4" s="49"/>
      <c r="F4" s="49"/>
      <c r="G4" s="49"/>
      <c r="H4" s="49"/>
      <c r="I4" s="49"/>
      <c r="J4" s="49"/>
      <c r="K4" s="49"/>
      <c r="M4" s="224" t="s">
        <v>97</v>
      </c>
      <c r="N4" s="102"/>
      <c r="O4" s="223" t="s">
        <v>2941</v>
      </c>
      <c r="P4" s="101" t="s">
        <v>2941</v>
      </c>
    </row>
    <row r="5" spans="1:19" s="51" customFormat="1" ht="3" customHeight="1">
      <c r="A5" s="49"/>
      <c r="B5" s="49"/>
      <c r="C5" s="49"/>
      <c r="D5" s="49"/>
      <c r="E5" s="49"/>
      <c r="F5" s="49"/>
      <c r="G5" s="49"/>
      <c r="H5" s="49"/>
      <c r="I5" s="49"/>
      <c r="J5" s="49"/>
      <c r="K5" s="49"/>
      <c r="M5" s="110"/>
      <c r="N5" s="11"/>
      <c r="O5" s="674"/>
      <c r="P5" s="34"/>
    </row>
    <row r="6" spans="1:19" s="51" customFormat="1" ht="12.75" customHeight="1">
      <c r="A6" s="49"/>
      <c r="B6" s="57"/>
      <c r="C6" s="49"/>
      <c r="D6" s="49"/>
      <c r="E6" s="49"/>
      <c r="F6" s="49"/>
      <c r="G6" s="49"/>
      <c r="I6" s="49"/>
      <c r="J6" s="49"/>
      <c r="L6" s="82" t="s">
        <v>1647</v>
      </c>
      <c r="M6" s="349">
        <f>M288</f>
        <v>103</v>
      </c>
      <c r="N6" s="10"/>
      <c r="O6" s="76">
        <f ca="1">O288</f>
        <v>58</v>
      </c>
      <c r="P6" s="76">
        <f ca="1">P288</f>
        <v>14</v>
      </c>
    </row>
    <row r="7" spans="1:19" s="51" customFormat="1" ht="3" customHeight="1">
      <c r="A7" s="49"/>
      <c r="B7" s="57"/>
      <c r="C7" s="49"/>
      <c r="D7" s="49"/>
      <c r="E7" s="49"/>
      <c r="F7" s="49"/>
      <c r="G7" s="49"/>
      <c r="H7" s="49"/>
      <c r="I7" s="49"/>
      <c r="J7" s="49"/>
      <c r="K7" s="49"/>
      <c r="M7" s="110"/>
      <c r="N7" s="11"/>
      <c r="O7" s="674"/>
      <c r="P7" s="34"/>
    </row>
    <row r="8" spans="1:19" s="49" customFormat="1" ht="12.6" customHeight="1">
      <c r="A8" s="189" t="s">
        <v>2698</v>
      </c>
      <c r="B8" s="127" t="s">
        <v>1452</v>
      </c>
      <c r="C8" s="5"/>
      <c r="D8" s="5"/>
      <c r="E8" s="5"/>
      <c r="F8" s="11"/>
      <c r="H8" s="56" t="s">
        <v>2223</v>
      </c>
      <c r="M8" s="2">
        <v>10</v>
      </c>
      <c r="N8" s="128"/>
      <c r="O8" s="76">
        <f>MIN($M8, $M8-O10-O12-O11)</f>
        <v>10</v>
      </c>
      <c r="P8" s="76">
        <f>MIN($M8, $M8-P10-P12-P11)</f>
        <v>10</v>
      </c>
      <c r="Q8" s="130" t="s">
        <v>566</v>
      </c>
    </row>
    <row r="9" spans="1:19" s="50" customFormat="1" ht="3.6" customHeight="1">
      <c r="A9" s="49"/>
      <c r="B9" s="75"/>
      <c r="C9" s="44"/>
      <c r="D9" s="55"/>
      <c r="E9" s="55"/>
      <c r="F9" s="62"/>
      <c r="G9" s="55"/>
      <c r="H9" s="55"/>
      <c r="I9" s="55"/>
      <c r="J9" s="55"/>
      <c r="K9" s="55"/>
      <c r="L9" s="49"/>
      <c r="M9" s="53"/>
      <c r="N9" s="73"/>
      <c r="O9" s="4"/>
      <c r="P9" s="674"/>
      <c r="R9" s="49"/>
      <c r="S9" s="49"/>
    </row>
    <row r="10" spans="1:19" s="49" customFormat="1" ht="11.25" customHeight="1">
      <c r="A10" s="230" t="s">
        <v>2694</v>
      </c>
      <c r="B10" s="213" t="s">
        <v>2573</v>
      </c>
      <c r="D10" s="55"/>
      <c r="E10" s="55"/>
      <c r="F10" s="669" t="s">
        <v>3380</v>
      </c>
      <c r="G10" s="38">
        <f>F16</f>
        <v>0</v>
      </c>
      <c r="H10" s="221" t="s">
        <v>274</v>
      </c>
      <c r="M10" s="7"/>
      <c r="N10" s="77" t="s">
        <v>2694</v>
      </c>
      <c r="O10" s="1709">
        <v>0</v>
      </c>
      <c r="P10" s="65"/>
    </row>
    <row r="11" spans="1:19" s="50" customFormat="1" ht="11.25" customHeight="1">
      <c r="A11" s="230"/>
      <c r="B11" s="131" t="s">
        <v>2828</v>
      </c>
      <c r="D11" s="55"/>
      <c r="E11" s="55"/>
      <c r="F11" s="669" t="s">
        <v>3380</v>
      </c>
      <c r="G11" s="38">
        <f>P16</f>
        <v>0</v>
      </c>
      <c r="H11" s="221" t="s">
        <v>3964</v>
      </c>
      <c r="J11" s="56"/>
      <c r="M11" s="7">
        <v>1</v>
      </c>
      <c r="N11" s="77"/>
      <c r="O11" s="1709">
        <v>0</v>
      </c>
      <c r="P11" s="65"/>
    </row>
    <row r="12" spans="1:19" s="49" customFormat="1" ht="11.25" customHeight="1">
      <c r="A12" s="230" t="s">
        <v>2697</v>
      </c>
      <c r="B12" s="213" t="s">
        <v>1031</v>
      </c>
      <c r="D12" s="55"/>
      <c r="E12" s="55"/>
      <c r="F12" s="669" t="s">
        <v>3380</v>
      </c>
      <c r="G12" s="38">
        <f>K16</f>
        <v>0</v>
      </c>
      <c r="H12" s="221" t="s">
        <v>3685</v>
      </c>
      <c r="J12" s="56"/>
      <c r="M12" s="7"/>
      <c r="N12" s="77" t="s">
        <v>2697</v>
      </c>
      <c r="O12" s="1709">
        <v>0</v>
      </c>
      <c r="P12" s="65"/>
      <c r="Q12" s="130"/>
    </row>
    <row r="13" spans="1:19" s="49" customFormat="1" ht="11.25" customHeight="1">
      <c r="A13" s="56" t="s">
        <v>281</v>
      </c>
      <c r="D13" s="55"/>
      <c r="E13" s="55"/>
      <c r="F13" s="55"/>
      <c r="G13" s="55"/>
      <c r="H13" s="44"/>
      <c r="I13" s="44"/>
      <c r="J13" s="44"/>
      <c r="K13" s="44"/>
      <c r="L13" s="50"/>
      <c r="M13" s="53"/>
      <c r="N13" s="73"/>
      <c r="O13" s="4"/>
      <c r="P13" s="808"/>
    </row>
    <row r="14" spans="1:19" s="49" customFormat="1" ht="12.6" customHeight="1">
      <c r="A14" s="1611"/>
      <c r="B14" s="1612"/>
      <c r="C14" s="1612"/>
      <c r="D14" s="1612"/>
      <c r="E14" s="1612"/>
      <c r="F14" s="1612"/>
      <c r="G14" s="1612"/>
      <c r="H14" s="1612"/>
      <c r="I14" s="1612"/>
      <c r="J14" s="1612"/>
      <c r="K14" s="1612"/>
      <c r="L14" s="1612"/>
      <c r="M14" s="1612"/>
      <c r="N14" s="1612"/>
      <c r="O14" s="1612"/>
      <c r="P14" s="1613"/>
      <c r="Q14" s="614" t="s">
        <v>1677</v>
      </c>
      <c r="R14" s="615"/>
    </row>
    <row r="15" spans="1:19" s="49" customFormat="1" ht="10.9" customHeight="1">
      <c r="A15" s="79" t="s">
        <v>2571</v>
      </c>
      <c r="C15" s="115"/>
      <c r="D15" s="115"/>
      <c r="F15" s="162" t="s">
        <v>2406</v>
      </c>
      <c r="K15" s="162" t="s">
        <v>2406</v>
      </c>
      <c r="P15" s="654" t="s">
        <v>2406</v>
      </c>
      <c r="R15" s="616"/>
      <c r="S15" s="195"/>
    </row>
    <row r="16" spans="1:19" s="49" customFormat="1" ht="12" customHeight="1">
      <c r="A16" s="1140" t="s">
        <v>3163</v>
      </c>
      <c r="B16" s="1140"/>
      <c r="C16" s="1140"/>
      <c r="D16" s="1140"/>
      <c r="E16" s="78" t="s">
        <v>675</v>
      </c>
      <c r="F16" s="92">
        <f>SUM(F17:F28)</f>
        <v>0</v>
      </c>
      <c r="G16" s="1141" t="s">
        <v>3164</v>
      </c>
      <c r="H16" s="1140"/>
      <c r="I16" s="1140"/>
      <c r="J16" s="78" t="s">
        <v>675</v>
      </c>
      <c r="K16" s="92">
        <f>SUM(K17:K28)</f>
        <v>0</v>
      </c>
      <c r="L16" s="816" t="s">
        <v>3963</v>
      </c>
      <c r="M16" s="115"/>
      <c r="N16" s="113"/>
      <c r="O16" s="78"/>
      <c r="P16" s="92">
        <f>SUM(P17:P28)</f>
        <v>0</v>
      </c>
      <c r="R16" s="616"/>
      <c r="S16" s="195"/>
    </row>
    <row r="17" spans="1:19" s="49" customFormat="1" ht="23.25" customHeight="1">
      <c r="A17" s="1137" t="e">
        <f>#REF!</f>
        <v>#REF!</v>
      </c>
      <c r="B17" s="1138"/>
      <c r="C17" s="1138"/>
      <c r="D17" s="1138"/>
      <c r="E17" s="1139"/>
      <c r="F17" s="281"/>
      <c r="G17" s="1135">
        <v>1</v>
      </c>
      <c r="H17" s="1136"/>
      <c r="I17" s="1136"/>
      <c r="J17" s="1136"/>
      <c r="K17" s="281"/>
      <c r="L17" s="1135">
        <v>1</v>
      </c>
      <c r="M17" s="1136"/>
      <c r="N17" s="1136"/>
      <c r="O17" s="1136"/>
      <c r="P17" s="281"/>
      <c r="Q17" s="614" t="s">
        <v>1677</v>
      </c>
      <c r="R17" s="615"/>
      <c r="S17" s="195"/>
    </row>
    <row r="18" spans="1:19" s="49" customFormat="1" ht="23.25" customHeight="1">
      <c r="A18" s="1132">
        <v>2</v>
      </c>
      <c r="B18" s="1133"/>
      <c r="C18" s="1133"/>
      <c r="D18" s="1133"/>
      <c r="E18" s="1134"/>
      <c r="F18" s="282"/>
      <c r="G18" s="1127">
        <v>2</v>
      </c>
      <c r="H18" s="1128"/>
      <c r="I18" s="1128"/>
      <c r="J18" s="1128"/>
      <c r="K18" s="282"/>
      <c r="L18" s="1127">
        <v>2</v>
      </c>
      <c r="M18" s="1128"/>
      <c r="N18" s="1128"/>
      <c r="O18" s="1128"/>
      <c r="P18" s="282"/>
      <c r="Q18" s="614"/>
      <c r="R18" s="615"/>
      <c r="S18" s="195"/>
    </row>
    <row r="19" spans="1:19" s="49" customFormat="1" ht="23.25" customHeight="1">
      <c r="A19" s="1132">
        <v>3</v>
      </c>
      <c r="B19" s="1133"/>
      <c r="C19" s="1133"/>
      <c r="D19" s="1133"/>
      <c r="E19" s="1134"/>
      <c r="F19" s="282"/>
      <c r="G19" s="1127">
        <v>3</v>
      </c>
      <c r="H19" s="1128"/>
      <c r="I19" s="1128"/>
      <c r="J19" s="1128"/>
      <c r="K19" s="282"/>
      <c r="L19" s="1127">
        <v>3</v>
      </c>
      <c r="M19" s="1128"/>
      <c r="N19" s="1128"/>
      <c r="O19" s="1128"/>
      <c r="P19" s="282"/>
      <c r="Q19" s="614"/>
      <c r="R19" s="615"/>
      <c r="S19" s="195"/>
    </row>
    <row r="20" spans="1:19" s="49" customFormat="1" ht="23.25" customHeight="1">
      <c r="A20" s="1132">
        <v>4</v>
      </c>
      <c r="B20" s="1133"/>
      <c r="C20" s="1133"/>
      <c r="D20" s="1133"/>
      <c r="E20" s="1134"/>
      <c r="F20" s="282"/>
      <c r="G20" s="1127">
        <v>4</v>
      </c>
      <c r="H20" s="1128"/>
      <c r="I20" s="1128"/>
      <c r="J20" s="1128"/>
      <c r="K20" s="282"/>
      <c r="L20" s="1127">
        <v>4</v>
      </c>
      <c r="M20" s="1128"/>
      <c r="N20" s="1128"/>
      <c r="O20" s="1128"/>
      <c r="P20" s="282"/>
      <c r="Q20" s="614"/>
      <c r="R20" s="615"/>
      <c r="S20" s="195"/>
    </row>
    <row r="21" spans="1:19" s="49" customFormat="1" ht="23.25" customHeight="1">
      <c r="A21" s="1132">
        <v>5</v>
      </c>
      <c r="B21" s="1133"/>
      <c r="C21" s="1133"/>
      <c r="D21" s="1133"/>
      <c r="E21" s="1134"/>
      <c r="F21" s="282"/>
      <c r="G21" s="1127">
        <v>5</v>
      </c>
      <c r="H21" s="1128"/>
      <c r="I21" s="1128"/>
      <c r="J21" s="1128"/>
      <c r="K21" s="282"/>
      <c r="L21" s="1127">
        <v>5</v>
      </c>
      <c r="M21" s="1128"/>
      <c r="N21" s="1128"/>
      <c r="O21" s="1128"/>
      <c r="P21" s="282"/>
      <c r="R21" s="195"/>
      <c r="S21" s="195"/>
    </row>
    <row r="22" spans="1:19" s="49" customFormat="1" ht="23.25" customHeight="1">
      <c r="A22" s="1132">
        <v>6</v>
      </c>
      <c r="B22" s="1133"/>
      <c r="C22" s="1133"/>
      <c r="D22" s="1133"/>
      <c r="E22" s="1134"/>
      <c r="F22" s="282"/>
      <c r="G22" s="1127">
        <v>6</v>
      </c>
      <c r="H22" s="1128"/>
      <c r="I22" s="1128"/>
      <c r="J22" s="1128"/>
      <c r="K22" s="282"/>
      <c r="L22" s="1127">
        <v>6</v>
      </c>
      <c r="M22" s="1128"/>
      <c r="N22" s="1128"/>
      <c r="O22" s="1128"/>
      <c r="P22" s="282"/>
      <c r="R22" s="195"/>
      <c r="S22" s="195"/>
    </row>
    <row r="23" spans="1:19" s="49" customFormat="1" ht="23.25" customHeight="1">
      <c r="A23" s="1132">
        <v>7</v>
      </c>
      <c r="B23" s="1133"/>
      <c r="C23" s="1133"/>
      <c r="D23" s="1133"/>
      <c r="E23" s="1134"/>
      <c r="F23" s="282"/>
      <c r="G23" s="1127">
        <v>7</v>
      </c>
      <c r="H23" s="1128"/>
      <c r="I23" s="1128"/>
      <c r="J23" s="1128"/>
      <c r="K23" s="282"/>
      <c r="L23" s="1127">
        <v>7</v>
      </c>
      <c r="M23" s="1128"/>
      <c r="N23" s="1128"/>
      <c r="O23" s="1128"/>
      <c r="P23" s="282"/>
      <c r="R23" s="195"/>
      <c r="S23" s="195"/>
    </row>
    <row r="24" spans="1:19" s="49" customFormat="1" ht="23.25" customHeight="1">
      <c r="A24" s="1132">
        <v>8</v>
      </c>
      <c r="B24" s="1133"/>
      <c r="C24" s="1133"/>
      <c r="D24" s="1133"/>
      <c r="E24" s="1134"/>
      <c r="F24" s="282"/>
      <c r="G24" s="1127">
        <v>8</v>
      </c>
      <c r="H24" s="1128"/>
      <c r="I24" s="1128"/>
      <c r="J24" s="1128"/>
      <c r="K24" s="282"/>
      <c r="L24" s="1127">
        <v>8</v>
      </c>
      <c r="M24" s="1128"/>
      <c r="N24" s="1128"/>
      <c r="O24" s="1128"/>
      <c r="P24" s="282"/>
      <c r="R24" s="195"/>
      <c r="S24" s="195"/>
    </row>
    <row r="25" spans="1:19" s="49" customFormat="1" ht="23.25" customHeight="1">
      <c r="A25" s="1132">
        <v>9</v>
      </c>
      <c r="B25" s="1133"/>
      <c r="C25" s="1133"/>
      <c r="D25" s="1133"/>
      <c r="E25" s="1134"/>
      <c r="F25" s="282"/>
      <c r="G25" s="1127">
        <v>9</v>
      </c>
      <c r="H25" s="1128"/>
      <c r="I25" s="1128"/>
      <c r="J25" s="1128"/>
      <c r="K25" s="282"/>
      <c r="L25" s="1127">
        <v>9</v>
      </c>
      <c r="M25" s="1128"/>
      <c r="N25" s="1128"/>
      <c r="O25" s="1128"/>
      <c r="P25" s="282"/>
      <c r="R25" s="195"/>
      <c r="S25" s="195"/>
    </row>
    <row r="26" spans="1:19" s="49" customFormat="1" ht="23.25" customHeight="1">
      <c r="A26" s="1132">
        <v>10</v>
      </c>
      <c r="B26" s="1133"/>
      <c r="C26" s="1133"/>
      <c r="D26" s="1133"/>
      <c r="E26" s="1134"/>
      <c r="F26" s="282"/>
      <c r="G26" s="1127">
        <v>10</v>
      </c>
      <c r="H26" s="1128"/>
      <c r="I26" s="1128"/>
      <c r="J26" s="1128"/>
      <c r="K26" s="282"/>
      <c r="L26" s="1127">
        <v>10</v>
      </c>
      <c r="M26" s="1128"/>
      <c r="N26" s="1128"/>
      <c r="O26" s="1128"/>
      <c r="P26" s="282"/>
      <c r="R26" s="195"/>
      <c r="S26" s="195"/>
    </row>
    <row r="27" spans="1:19" s="49" customFormat="1" ht="23.25" customHeight="1">
      <c r="A27" s="1132">
        <v>11</v>
      </c>
      <c r="B27" s="1133"/>
      <c r="C27" s="1133"/>
      <c r="D27" s="1133"/>
      <c r="E27" s="1134"/>
      <c r="F27" s="282"/>
      <c r="G27" s="1127">
        <v>11</v>
      </c>
      <c r="H27" s="1128"/>
      <c r="I27" s="1128"/>
      <c r="J27" s="1128"/>
      <c r="K27" s="282"/>
      <c r="L27" s="1127">
        <v>11</v>
      </c>
      <c r="M27" s="1128"/>
      <c r="N27" s="1128"/>
      <c r="O27" s="1128"/>
      <c r="P27" s="282"/>
      <c r="R27" s="195"/>
      <c r="S27" s="195"/>
    </row>
    <row r="28" spans="1:19" s="49" customFormat="1" ht="23.25" customHeight="1">
      <c r="A28" s="1144">
        <v>12</v>
      </c>
      <c r="B28" s="1145"/>
      <c r="C28" s="1145"/>
      <c r="D28" s="1145"/>
      <c r="E28" s="1146"/>
      <c r="F28" s="283"/>
      <c r="G28" s="1142">
        <v>12</v>
      </c>
      <c r="H28" s="1143"/>
      <c r="I28" s="1143"/>
      <c r="J28" s="1143"/>
      <c r="K28" s="283"/>
      <c r="L28" s="1142">
        <v>12</v>
      </c>
      <c r="M28" s="1143"/>
      <c r="N28" s="1143"/>
      <c r="O28" s="1143"/>
      <c r="P28" s="283"/>
    </row>
    <row r="29" spans="1:19" s="50" customFormat="1" ht="4.9000000000000004" customHeight="1">
      <c r="D29" s="47"/>
      <c r="E29" s="44"/>
      <c r="F29" s="674"/>
      <c r="G29" s="674"/>
      <c r="H29" s="674"/>
      <c r="I29" s="674"/>
      <c r="J29" s="38"/>
      <c r="K29" s="38"/>
      <c r="L29" s="38"/>
      <c r="M29" s="71"/>
      <c r="N29" s="674"/>
      <c r="O29" s="808"/>
      <c r="P29" s="4"/>
    </row>
    <row r="30" spans="1:19" s="50" customFormat="1" ht="12.6" customHeight="1">
      <c r="A30" s="605" t="s">
        <v>2700</v>
      </c>
      <c r="B30" s="134" t="s">
        <v>1417</v>
      </c>
      <c r="E30" s="68"/>
      <c r="G30" s="105"/>
      <c r="H30" s="61"/>
      <c r="K30" s="132"/>
      <c r="L30" s="490" t="str">
        <f>IF($O30&gt;$M30,"* * Check Score! * *","")</f>
        <v/>
      </c>
      <c r="M30" s="674">
        <v>4</v>
      </c>
      <c r="N30" s="8"/>
      <c r="O30" s="186">
        <f>IF($L32 &gt;= $P32,$M32,IF($L31&gt;=$P31,$M31,0))</f>
        <v>4</v>
      </c>
      <c r="P30" s="186">
        <f>IF($L32 &gt;= $P32,$M32,IF($L31&gt;=$P31,$M31,0))</f>
        <v>4</v>
      </c>
      <c r="Q30" s="130" t="s">
        <v>566</v>
      </c>
      <c r="R30" s="490" t="str">
        <f>IF(OR($O30=$M30,$O30=0,$O30=""),"","* * Check Score! * *")</f>
        <v/>
      </c>
    </row>
    <row r="31" spans="1:19" s="570" customFormat="1" ht="11.25" customHeight="1">
      <c r="A31" s="569" t="s">
        <v>2694</v>
      </c>
      <c r="B31" s="137" t="s">
        <v>3424</v>
      </c>
      <c r="E31" s="571"/>
      <c r="H31" s="549" t="s">
        <v>3540</v>
      </c>
      <c r="I31" s="1710">
        <v>0</v>
      </c>
      <c r="K31" s="549" t="s">
        <v>3542</v>
      </c>
      <c r="L31" s="573">
        <f>IF(OR('Part VI-Revenues &amp; Expenses'!$M$60="", 'Part VI-Revenues &amp; Expenses'!$M$60=0),0,I31/'Part VI-Revenues &amp; Expenses'!$M$60)</f>
        <v>0</v>
      </c>
      <c r="M31" s="577">
        <v>3</v>
      </c>
      <c r="N31" s="572"/>
      <c r="O31" s="1129" t="s">
        <v>3575</v>
      </c>
      <c r="P31" s="613">
        <v>0.15</v>
      </c>
    </row>
    <row r="32" spans="1:19" s="570" customFormat="1" ht="11.25" customHeight="1">
      <c r="A32" s="569" t="s">
        <v>2697</v>
      </c>
      <c r="B32" s="137" t="s">
        <v>3425</v>
      </c>
      <c r="E32" s="571"/>
      <c r="H32" s="549" t="s">
        <v>3426</v>
      </c>
      <c r="I32" s="1710">
        <v>75</v>
      </c>
      <c r="K32" s="549" t="s">
        <v>3542</v>
      </c>
      <c r="L32" s="573">
        <f>IF(OR('Part VI-Revenues &amp; Expenses'!$M$60="", 'Part VI-Revenues &amp; Expenses'!$M$60=0),0,I32/'Part VI-Revenues &amp; Expenses'!$M$60)</f>
        <v>0.9375</v>
      </c>
      <c r="M32" s="577">
        <v>4</v>
      </c>
      <c r="N32" s="572"/>
      <c r="O32" s="1130"/>
      <c r="P32" s="613">
        <v>0.3</v>
      </c>
    </row>
    <row r="33" spans="1:18" s="50" customFormat="1" ht="11.25" customHeight="1">
      <c r="A33" s="49"/>
      <c r="B33" s="56" t="s">
        <v>281</v>
      </c>
      <c r="C33" s="49"/>
      <c r="D33" s="55"/>
      <c r="E33" s="55"/>
      <c r="F33" s="55"/>
      <c r="G33" s="55"/>
      <c r="H33" s="44"/>
      <c r="I33" s="44"/>
      <c r="J33" s="44"/>
      <c r="K33" s="44"/>
      <c r="M33" s="53"/>
      <c r="N33" s="73"/>
      <c r="O33" s="4"/>
      <c r="P33" s="808"/>
    </row>
    <row r="34" spans="1:18" s="50" customFormat="1" ht="12.6" customHeight="1">
      <c r="A34" s="1611" t="s">
        <v>4196</v>
      </c>
      <c r="B34" s="1612"/>
      <c r="C34" s="1612"/>
      <c r="D34" s="1612"/>
      <c r="E34" s="1612"/>
      <c r="F34" s="1612"/>
      <c r="G34" s="1612"/>
      <c r="H34" s="1612"/>
      <c r="I34" s="1612"/>
      <c r="J34" s="1612"/>
      <c r="K34" s="1612"/>
      <c r="L34" s="1612"/>
      <c r="M34" s="1612"/>
      <c r="N34" s="1612"/>
      <c r="O34" s="1612"/>
      <c r="P34" s="1613"/>
      <c r="Q34" s="614" t="s">
        <v>1677</v>
      </c>
    </row>
    <row r="35" spans="1:18" s="50" customFormat="1" ht="11.45" customHeight="1">
      <c r="A35" s="49"/>
      <c r="B35" s="118" t="s">
        <v>2571</v>
      </c>
      <c r="C35" s="49"/>
      <c r="D35" s="103"/>
      <c r="E35" s="809"/>
      <c r="F35" s="809"/>
      <c r="G35" s="809"/>
      <c r="H35" s="809"/>
      <c r="I35" s="809"/>
      <c r="J35" s="809"/>
      <c r="K35" s="809"/>
      <c r="L35" s="809"/>
      <c r="M35" s="809"/>
      <c r="N35" s="90"/>
      <c r="O35" s="85"/>
      <c r="P35" s="2"/>
      <c r="Q35" s="570"/>
    </row>
    <row r="36" spans="1:18" s="50" customFormat="1" ht="12.6" customHeight="1">
      <c r="A36" s="1048"/>
      <c r="B36" s="1049"/>
      <c r="C36" s="1049"/>
      <c r="D36" s="1049"/>
      <c r="E36" s="1049"/>
      <c r="F36" s="1049"/>
      <c r="G36" s="1049"/>
      <c r="H36" s="1049"/>
      <c r="I36" s="1049"/>
      <c r="J36" s="1049"/>
      <c r="K36" s="1049"/>
      <c r="L36" s="1049"/>
      <c r="M36" s="1049"/>
      <c r="N36" s="1049"/>
      <c r="O36" s="1049"/>
      <c r="P36" s="1050"/>
      <c r="Q36" s="614" t="s">
        <v>1677</v>
      </c>
    </row>
    <row r="37" spans="1:18" ht="3" customHeight="1"/>
    <row r="38" spans="1:18" s="50" customFormat="1" ht="12.6" customHeight="1">
      <c r="A38" s="189" t="s">
        <v>3322</v>
      </c>
      <c r="B38" s="126" t="s">
        <v>2579</v>
      </c>
      <c r="D38" s="48"/>
      <c r="H38" s="1147" t="s">
        <v>775</v>
      </c>
      <c r="I38" s="1147"/>
      <c r="J38" s="1147"/>
      <c r="K38" s="1147"/>
      <c r="M38" s="2">
        <v>12</v>
      </c>
      <c r="N38" s="654"/>
      <c r="O38" s="186">
        <f>IF(OR($M40-$O41&lt;0,$O40-$O41&lt;0),0,IF($O40&lt;=$M40,$O40-$O41,IF($O40&gt;$M40,$M40-$O41,0)))</f>
        <v>12</v>
      </c>
      <c r="P38" s="186">
        <f>IF(OR($M40-$P41&lt;0,$P40-$P41&lt;0),0,IF($P40&lt;=$M40,$P40-$P41,IF($P40&gt;$M40,$M40-$P41,0)))</f>
        <v>0</v>
      </c>
      <c r="Q38" s="130" t="s">
        <v>566</v>
      </c>
    </row>
    <row r="39" spans="1:18" s="50" customFormat="1" ht="3" customHeight="1">
      <c r="A39" s="49"/>
      <c r="D39" s="47"/>
      <c r="E39" s="44"/>
      <c r="F39" s="674"/>
      <c r="G39" s="674"/>
      <c r="H39" s="1147"/>
      <c r="I39" s="1147"/>
      <c r="J39" s="1147"/>
      <c r="K39" s="1147"/>
      <c r="L39" s="38"/>
      <c r="M39" s="71"/>
      <c r="N39" s="674"/>
      <c r="O39" s="808"/>
      <c r="P39" s="4"/>
    </row>
    <row r="40" spans="1:18" s="50" customFormat="1" ht="12" customHeight="1">
      <c r="A40" s="171" t="s">
        <v>2694</v>
      </c>
      <c r="B40" s="213" t="s">
        <v>2580</v>
      </c>
      <c r="C40" s="5"/>
      <c r="D40" s="5"/>
      <c r="E40" s="221" t="s">
        <v>3659</v>
      </c>
      <c r="F40" s="389"/>
      <c r="G40" s="389"/>
      <c r="H40" s="1147"/>
      <c r="I40" s="1147"/>
      <c r="J40" s="1147"/>
      <c r="K40" s="1147"/>
      <c r="M40" s="88">
        <v>12</v>
      </c>
      <c r="N40" s="225" t="s">
        <v>2694</v>
      </c>
      <c r="O40" s="1711">
        <v>12</v>
      </c>
      <c r="P40" s="84"/>
      <c r="Q40" s="507" t="s">
        <v>3631</v>
      </c>
      <c r="R40" s="490"/>
    </row>
    <row r="41" spans="1:18" s="50" customFormat="1" ht="12.6" customHeight="1">
      <c r="A41" s="171" t="s">
        <v>2697</v>
      </c>
      <c r="B41" s="213" t="s">
        <v>2581</v>
      </c>
      <c r="D41" s="48"/>
      <c r="E41" s="221" t="s">
        <v>546</v>
      </c>
      <c r="F41" s="512"/>
      <c r="G41" s="512"/>
      <c r="H41" s="512"/>
      <c r="M41" s="162" t="s">
        <v>1660</v>
      </c>
      <c r="N41" s="654" t="s">
        <v>2697</v>
      </c>
      <c r="O41" s="1709">
        <v>0</v>
      </c>
      <c r="P41" s="84"/>
      <c r="Q41" s="507" t="s">
        <v>3631</v>
      </c>
      <c r="R41" s="490"/>
    </row>
    <row r="42" spans="1:18" s="50" customFormat="1" ht="11.25" customHeight="1">
      <c r="A42" s="49"/>
      <c r="B42" s="56" t="s">
        <v>281</v>
      </c>
      <c r="C42" s="49"/>
      <c r="D42" s="55"/>
      <c r="E42" s="55"/>
      <c r="F42" s="55"/>
      <c r="G42" s="55"/>
      <c r="H42" s="44"/>
      <c r="I42" s="44"/>
      <c r="J42" s="44"/>
      <c r="K42" s="44"/>
      <c r="M42" s="53"/>
      <c r="N42" s="73"/>
      <c r="O42" s="4"/>
      <c r="P42" s="808"/>
    </row>
    <row r="43" spans="1:18" s="50" customFormat="1" ht="23.45" customHeight="1">
      <c r="A43" s="1611"/>
      <c r="B43" s="1612"/>
      <c r="C43" s="1612"/>
      <c r="D43" s="1612"/>
      <c r="E43" s="1612"/>
      <c r="F43" s="1612"/>
      <c r="G43" s="1612"/>
      <c r="H43" s="1612"/>
      <c r="I43" s="1612"/>
      <c r="J43" s="1612"/>
      <c r="K43" s="1612"/>
      <c r="L43" s="1612"/>
      <c r="M43" s="1612"/>
      <c r="N43" s="1612"/>
      <c r="O43" s="1612"/>
      <c r="P43" s="1613"/>
      <c r="Q43" s="614" t="s">
        <v>1677</v>
      </c>
      <c r="R43" s="615"/>
    </row>
    <row r="44" spans="1:18" s="50" customFormat="1" ht="11.45" customHeight="1">
      <c r="A44" s="49"/>
      <c r="B44" s="79" t="s">
        <v>2571</v>
      </c>
      <c r="C44" s="49"/>
      <c r="D44" s="169"/>
      <c r="E44" s="809"/>
      <c r="F44" s="809"/>
      <c r="G44" s="809"/>
      <c r="H44" s="809"/>
      <c r="I44" s="809"/>
      <c r="J44" s="809"/>
      <c r="K44" s="809"/>
      <c r="L44" s="809"/>
      <c r="M44" s="809"/>
      <c r="N44" s="90"/>
      <c r="O44" s="85"/>
      <c r="P44" s="2"/>
      <c r="Q44" s="570"/>
      <c r="R44" s="570"/>
    </row>
    <row r="45" spans="1:18" s="50" customFormat="1" ht="23.45" customHeight="1">
      <c r="A45" s="1048"/>
      <c r="B45" s="1049"/>
      <c r="C45" s="1049"/>
      <c r="D45" s="1049"/>
      <c r="E45" s="1049"/>
      <c r="F45" s="1049"/>
      <c r="G45" s="1049"/>
      <c r="H45" s="1049"/>
      <c r="I45" s="1049"/>
      <c r="J45" s="1049"/>
      <c r="K45" s="1049"/>
      <c r="L45" s="1049"/>
      <c r="M45" s="1049"/>
      <c r="N45" s="1049"/>
      <c r="O45" s="1049"/>
      <c r="P45" s="1050"/>
      <c r="Q45" s="614" t="s">
        <v>1677</v>
      </c>
      <c r="R45" s="615"/>
    </row>
    <row r="46" spans="1:18" ht="3.6" customHeight="1">
      <c r="M46" s="40"/>
      <c r="N46" s="139"/>
      <c r="O46" s="187"/>
      <c r="P46" s="187"/>
    </row>
    <row r="47" spans="1:18" s="50" customFormat="1" ht="12.6" customHeight="1">
      <c r="A47" s="189" t="s">
        <v>1645</v>
      </c>
      <c r="B47" s="126" t="s">
        <v>3459</v>
      </c>
      <c r="D47" s="48"/>
      <c r="H47" s="52" t="s">
        <v>3543</v>
      </c>
      <c r="I47" s="56" t="s">
        <v>2587</v>
      </c>
      <c r="J47" s="55"/>
      <c r="K47" s="55"/>
      <c r="M47" s="2">
        <v>3</v>
      </c>
      <c r="N47" s="654"/>
      <c r="O47" s="186">
        <f>MIN($M47,(O48+O49+O50))</f>
        <v>1</v>
      </c>
      <c r="P47" s="186">
        <f>MIN($M47,(P48+P49+P50))</f>
        <v>0</v>
      </c>
      <c r="Q47" s="130" t="s">
        <v>566</v>
      </c>
    </row>
    <row r="48" spans="1:18" s="50" customFormat="1" ht="12" customHeight="1">
      <c r="A48" s="171" t="s">
        <v>2694</v>
      </c>
      <c r="B48" s="213" t="s">
        <v>3435</v>
      </c>
      <c r="C48" s="5"/>
      <c r="D48" s="5"/>
      <c r="E48" s="44"/>
      <c r="F48" s="5"/>
      <c r="G48" s="47"/>
      <c r="I48" s="47"/>
      <c r="K48" s="55"/>
      <c r="L48" s="490" t="str">
        <f>IF(OR($O48=$M48,$O48=0,$O48=""),"","* * Check Score! * *")</f>
        <v/>
      </c>
      <c r="M48" s="88">
        <v>3</v>
      </c>
      <c r="N48" s="225" t="s">
        <v>2694</v>
      </c>
      <c r="O48" s="1711">
        <v>0</v>
      </c>
      <c r="P48" s="84"/>
      <c r="R48" s="490"/>
    </row>
    <row r="49" spans="1:18" s="50" customFormat="1" ht="12.6" customHeight="1">
      <c r="A49" s="171" t="s">
        <v>2697</v>
      </c>
      <c r="B49" s="213" t="s">
        <v>3436</v>
      </c>
      <c r="E49" s="48"/>
      <c r="K49" s="55"/>
      <c r="L49" s="490" t="str">
        <f>IF(OR($O49=$M49,$O49=0,$O49=""),"","* * Check Score! * *")</f>
        <v/>
      </c>
      <c r="M49" s="88">
        <v>2</v>
      </c>
      <c r="N49" s="654" t="s">
        <v>2697</v>
      </c>
      <c r="O49" s="1711">
        <v>0</v>
      </c>
      <c r="P49" s="84"/>
      <c r="R49" s="490"/>
    </row>
    <row r="50" spans="1:18" s="50" customFormat="1" ht="12.6" customHeight="1">
      <c r="A50" s="171" t="s">
        <v>1054</v>
      </c>
      <c r="B50" s="213" t="s">
        <v>3461</v>
      </c>
      <c r="E50" s="48"/>
      <c r="K50" s="55"/>
      <c r="L50" s="490" t="str">
        <f>IF(OR($O50=$M50,$O50=0,$O50=""),"","* * Check Score! * *")</f>
        <v/>
      </c>
      <c r="M50" s="88">
        <v>1</v>
      </c>
      <c r="N50" s="225" t="s">
        <v>1054</v>
      </c>
      <c r="O50" s="1711">
        <v>1</v>
      </c>
      <c r="P50" s="84"/>
      <c r="R50" s="490"/>
    </row>
    <row r="51" spans="1:18" s="123" customFormat="1" ht="11.45" customHeight="1">
      <c r="A51" s="49"/>
      <c r="B51" s="56" t="s">
        <v>281</v>
      </c>
      <c r="C51" s="49"/>
      <c r="D51" s="55"/>
      <c r="E51" s="55"/>
      <c r="F51" s="55"/>
      <c r="G51" s="55"/>
      <c r="H51" s="44"/>
      <c r="I51" s="44"/>
      <c r="J51" s="44"/>
      <c r="K51" s="44"/>
      <c r="M51" s="53"/>
      <c r="N51" s="7"/>
      <c r="O51" s="4"/>
      <c r="P51" s="2"/>
    </row>
    <row r="52" spans="1:18" s="50" customFormat="1" ht="12.75" customHeight="1">
      <c r="A52" s="1611" t="s">
        <v>4197</v>
      </c>
      <c r="B52" s="1612"/>
      <c r="C52" s="1612"/>
      <c r="D52" s="1612"/>
      <c r="E52" s="1612"/>
      <c r="F52" s="1612"/>
      <c r="G52" s="1612"/>
      <c r="H52" s="1612"/>
      <c r="I52" s="1612"/>
      <c r="J52" s="1612"/>
      <c r="K52" s="1612"/>
      <c r="L52" s="1612"/>
      <c r="M52" s="1612"/>
      <c r="N52" s="1612"/>
      <c r="O52" s="1612"/>
      <c r="P52" s="1613"/>
      <c r="Q52" s="614" t="s">
        <v>1677</v>
      </c>
    </row>
    <row r="53" spans="1:18" s="123" customFormat="1" ht="11.45" customHeight="1">
      <c r="A53" s="49"/>
      <c r="B53" s="118" t="s">
        <v>2571</v>
      </c>
      <c r="C53" s="49"/>
      <c r="D53" s="118"/>
      <c r="E53" s="807"/>
      <c r="F53" s="807"/>
      <c r="G53" s="807"/>
      <c r="H53" s="807"/>
      <c r="I53" s="807"/>
      <c r="J53" s="807"/>
      <c r="K53" s="807"/>
      <c r="L53" s="807"/>
      <c r="M53" s="807"/>
      <c r="N53" s="113"/>
      <c r="O53" s="232"/>
      <c r="P53" s="2"/>
      <c r="Q53" s="570"/>
    </row>
    <row r="54" spans="1:18" s="50" customFormat="1" ht="12.75" customHeight="1">
      <c r="A54" s="1048"/>
      <c r="B54" s="1049"/>
      <c r="C54" s="1049"/>
      <c r="D54" s="1049"/>
      <c r="E54" s="1049"/>
      <c r="F54" s="1049"/>
      <c r="G54" s="1049"/>
      <c r="H54" s="1049"/>
      <c r="I54" s="1049"/>
      <c r="J54" s="1049"/>
      <c r="K54" s="1049"/>
      <c r="L54" s="1049"/>
      <c r="M54" s="1049"/>
      <c r="N54" s="1049"/>
      <c r="O54" s="1049"/>
      <c r="P54" s="1050"/>
      <c r="Q54" s="614" t="s">
        <v>1677</v>
      </c>
    </row>
    <row r="55" spans="1:18" s="50" customFormat="1" ht="3" customHeight="1">
      <c r="A55" s="226"/>
      <c r="B55" s="58"/>
      <c r="G55" s="48"/>
      <c r="J55" s="55"/>
      <c r="K55" s="55"/>
      <c r="M55" s="123"/>
      <c r="N55" s="58"/>
      <c r="O55" s="123"/>
      <c r="P55" s="123"/>
    </row>
    <row r="56" spans="1:18" s="50" customFormat="1" ht="12.6" customHeight="1">
      <c r="A56" s="189" t="s">
        <v>1646</v>
      </c>
      <c r="B56" s="126" t="s">
        <v>3460</v>
      </c>
      <c r="D56" s="48"/>
      <c r="E56" s="44" t="s">
        <v>1820</v>
      </c>
      <c r="I56" s="56" t="s">
        <v>2587</v>
      </c>
      <c r="M56" s="2">
        <v>2</v>
      </c>
      <c r="N56" s="517" t="str">
        <f>IF(OR($O56=$M56,$O56=0,$O56=""),"","***")</f>
        <v/>
      </c>
      <c r="O56" s="1711">
        <v>0</v>
      </c>
      <c r="P56" s="84"/>
      <c r="Q56" s="130" t="s">
        <v>566</v>
      </c>
    </row>
    <row r="57" spans="1:18" s="50" customFormat="1" ht="12.6" customHeight="1">
      <c r="A57" s="189"/>
      <c r="B57" s="513" t="s">
        <v>3427</v>
      </c>
      <c r="D57" s="48"/>
      <c r="E57" s="44"/>
      <c r="I57" s="1712"/>
      <c r="J57" s="1713"/>
      <c r="K57" s="1713"/>
      <c r="L57" s="1714"/>
      <c r="M57" s="2"/>
      <c r="N57" s="654"/>
      <c r="O57" s="654"/>
      <c r="P57" s="654"/>
      <c r="Q57" s="130"/>
    </row>
    <row r="58" spans="1:18" s="123" customFormat="1" ht="11.45" customHeight="1">
      <c r="A58" s="49"/>
      <c r="B58" s="56" t="s">
        <v>281</v>
      </c>
      <c r="C58" s="49"/>
      <c r="D58" s="55"/>
      <c r="E58" s="55"/>
      <c r="F58" s="55"/>
      <c r="G58" s="55"/>
      <c r="I58" s="44"/>
      <c r="J58" s="44"/>
      <c r="K58" s="44"/>
      <c r="M58" s="53"/>
      <c r="N58" s="7"/>
      <c r="O58" s="4"/>
      <c r="P58" s="2"/>
    </row>
    <row r="59" spans="1:18" s="50" customFormat="1" ht="12.75" customHeight="1">
      <c r="A59" s="1611"/>
      <c r="B59" s="1612"/>
      <c r="C59" s="1612"/>
      <c r="D59" s="1612"/>
      <c r="E59" s="1612"/>
      <c r="F59" s="1612"/>
      <c r="G59" s="1612"/>
      <c r="H59" s="1612"/>
      <c r="I59" s="1612"/>
      <c r="J59" s="1612"/>
      <c r="K59" s="1612"/>
      <c r="L59" s="1612"/>
      <c r="M59" s="1612"/>
      <c r="N59" s="1612"/>
      <c r="O59" s="1612"/>
      <c r="P59" s="1613"/>
      <c r="Q59" s="614" t="s">
        <v>1677</v>
      </c>
    </row>
    <row r="60" spans="1:18" s="123" customFormat="1" ht="11.45" customHeight="1">
      <c r="A60" s="49"/>
      <c r="B60" s="118" t="s">
        <v>2571</v>
      </c>
      <c r="C60" s="49"/>
      <c r="D60" s="118"/>
      <c r="E60" s="807"/>
      <c r="F60" s="807"/>
      <c r="G60" s="807"/>
      <c r="H60" s="807"/>
      <c r="I60" s="807"/>
      <c r="J60" s="807"/>
      <c r="K60" s="807"/>
      <c r="L60" s="807"/>
      <c r="M60" s="807"/>
      <c r="N60" s="113"/>
      <c r="O60" s="232"/>
      <c r="P60" s="2"/>
      <c r="Q60" s="570"/>
    </row>
    <row r="61" spans="1:18" s="50" customFormat="1" ht="12.75" customHeight="1">
      <c r="A61" s="1048"/>
      <c r="B61" s="1049"/>
      <c r="C61" s="1049"/>
      <c r="D61" s="1049"/>
      <c r="E61" s="1049"/>
      <c r="F61" s="1049"/>
      <c r="G61" s="1049"/>
      <c r="H61" s="1049"/>
      <c r="I61" s="1049"/>
      <c r="J61" s="1049"/>
      <c r="K61" s="1049"/>
      <c r="L61" s="1049"/>
      <c r="M61" s="1049"/>
      <c r="N61" s="1049"/>
      <c r="O61" s="1049"/>
      <c r="P61" s="1050"/>
      <c r="Q61" s="614" t="s">
        <v>1677</v>
      </c>
    </row>
    <row r="62" spans="1:18" ht="3" customHeight="1">
      <c r="B62" s="142"/>
      <c r="C62" s="142"/>
      <c r="D62" s="142"/>
      <c r="E62" s="142"/>
      <c r="R62" s="50"/>
    </row>
    <row r="63" spans="1:18" s="50" customFormat="1" ht="12.6" customHeight="1">
      <c r="A63" s="189" t="s">
        <v>2589</v>
      </c>
      <c r="B63" s="127" t="s">
        <v>235</v>
      </c>
      <c r="D63" s="47"/>
      <c r="E63" s="44"/>
      <c r="I63" s="611" t="s">
        <v>3529</v>
      </c>
      <c r="J63" s="1292" t="s">
        <v>4133</v>
      </c>
      <c r="K63" s="1715"/>
      <c r="L63" s="1293"/>
      <c r="M63" s="2">
        <v>3</v>
      </c>
      <c r="N63" s="517"/>
      <c r="O63" s="92">
        <f>IF(OR(J63="Earth Craft Communities",J63="LEED-ND"),$M64,IF(OR(J63="Earth Craft House Multifamily",J63="Earth Craft House Single Family",J63="Earth Craft House Renovation",J63="LEED for Homes",J63="EF Green Communities"),$M76,0))</f>
        <v>2</v>
      </c>
      <c r="P63" s="84"/>
      <c r="Q63" s="130" t="s">
        <v>566</v>
      </c>
    </row>
    <row r="64" spans="1:18" ht="11.45" customHeight="1">
      <c r="A64" s="171" t="s">
        <v>2694</v>
      </c>
      <c r="B64" s="229" t="s">
        <v>3058</v>
      </c>
      <c r="D64" s="40"/>
      <c r="H64" s="72"/>
      <c r="I64" s="40"/>
      <c r="J64" s="40"/>
      <c r="M64" s="139">
        <v>3</v>
      </c>
      <c r="N64" s="31"/>
      <c r="O64" s="144" t="s">
        <v>3296</v>
      </c>
      <c r="P64" s="144" t="s">
        <v>3296</v>
      </c>
    </row>
    <row r="65" spans="1:17" s="50" customFormat="1" ht="12.6" customHeight="1">
      <c r="B65" s="575" t="s">
        <v>3584</v>
      </c>
      <c r="D65" s="48"/>
      <c r="M65" s="2"/>
      <c r="N65" s="225" t="s">
        <v>2694</v>
      </c>
      <c r="O65" s="1607" t="s">
        <v>4074</v>
      </c>
      <c r="P65" s="210"/>
      <c r="Q65" s="130"/>
    </row>
    <row r="66" spans="1:17" ht="11.45" customHeight="1">
      <c r="A66" s="482" t="str">
        <f>IF($I$86="Stable Communities &lt; 10%", "X","")</f>
        <v/>
      </c>
      <c r="B66" s="483" t="s">
        <v>2698</v>
      </c>
      <c r="C66" s="499" t="s">
        <v>3428</v>
      </c>
      <c r="E66" s="142"/>
      <c r="N66" s="31"/>
      <c r="O66" s="31"/>
      <c r="P66" s="31"/>
    </row>
    <row r="67" spans="1:17" ht="23.25" customHeight="1">
      <c r="B67" s="506" t="s">
        <v>3201</v>
      </c>
      <c r="C67" s="1131" t="s">
        <v>3430</v>
      </c>
      <c r="D67" s="1131"/>
      <c r="E67" s="1131"/>
      <c r="F67" s="1131"/>
      <c r="G67" s="1131"/>
      <c r="H67" s="1131"/>
      <c r="I67" s="1131"/>
      <c r="J67" s="1131"/>
      <c r="K67" s="1131"/>
      <c r="L67" s="1131"/>
      <c r="M67" s="503" t="str">
        <f>IF(AND($I$86="Stable Communities &lt; 10%",O67=""), "X","")</f>
        <v/>
      </c>
      <c r="N67" s="505" t="s">
        <v>3431</v>
      </c>
      <c r="O67" s="1665" t="s">
        <v>4074</v>
      </c>
      <c r="P67" s="324"/>
    </row>
    <row r="68" spans="1:17" ht="12" customHeight="1">
      <c r="B68" s="506" t="s">
        <v>3202</v>
      </c>
      <c r="C68" s="172" t="s">
        <v>3686</v>
      </c>
      <c r="D68" s="172"/>
      <c r="E68" s="172"/>
      <c r="F68" s="172"/>
      <c r="G68" s="172"/>
      <c r="I68" s="172"/>
      <c r="L68" s="172"/>
      <c r="M68" s="503" t="str">
        <f>IF(AND($I$86="Stable Communities &lt; 10%",O68=""), "X","")</f>
        <v/>
      </c>
      <c r="N68" s="505" t="s">
        <v>3432</v>
      </c>
      <c r="O68" s="1666" t="s">
        <v>4074</v>
      </c>
      <c r="P68" s="473"/>
    </row>
    <row r="69" spans="1:17" ht="12" customHeight="1">
      <c r="B69" s="680" t="s">
        <v>3203</v>
      </c>
      <c r="C69" s="172" t="s">
        <v>3613</v>
      </c>
      <c r="D69" s="172"/>
      <c r="E69" s="172"/>
      <c r="F69" s="172"/>
      <c r="G69" s="172"/>
      <c r="I69" s="172"/>
      <c r="L69" s="172"/>
      <c r="M69" s="503" t="str">
        <f>IF(AND($I$86="Stable Communities &lt; 10%",O69=""), "X","")</f>
        <v/>
      </c>
      <c r="N69" s="505" t="s">
        <v>3687</v>
      </c>
      <c r="O69" s="1667" t="s">
        <v>4074</v>
      </c>
      <c r="P69" s="325"/>
    </row>
    <row r="70" spans="1:17" ht="12" customHeight="1">
      <c r="B70" s="506"/>
      <c r="C70" s="1607"/>
      <c r="D70" s="172" t="s">
        <v>3617</v>
      </c>
      <c r="E70" s="172"/>
      <c r="F70" s="172"/>
      <c r="G70" s="1607"/>
      <c r="H70" s="172" t="s">
        <v>3614</v>
      </c>
      <c r="I70" s="172"/>
      <c r="J70" s="1607"/>
      <c r="K70" s="172" t="s">
        <v>3615</v>
      </c>
      <c r="M70" s="503"/>
      <c r="N70" s="503"/>
      <c r="O70" s="503"/>
      <c r="P70" s="503"/>
    </row>
    <row r="71" spans="1:17" ht="11.45" customHeight="1">
      <c r="A71" s="482" t="str">
        <f>IF($I$86="Stable Communities &lt; 20%", "X","")</f>
        <v/>
      </c>
      <c r="B71" s="483" t="s">
        <v>2700</v>
      </c>
      <c r="C71" s="499" t="s">
        <v>3429</v>
      </c>
      <c r="E71" s="142"/>
      <c r="M71" s="504"/>
      <c r="N71" s="31"/>
      <c r="O71" s="144" t="s">
        <v>3296</v>
      </c>
      <c r="P71" s="144" t="s">
        <v>3296</v>
      </c>
    </row>
    <row r="72" spans="1:17" ht="23.25" customHeight="1">
      <c r="B72" s="506" t="s">
        <v>3201</v>
      </c>
      <c r="C72" s="1131" t="s">
        <v>3688</v>
      </c>
      <c r="D72" s="1131"/>
      <c r="E72" s="1131"/>
      <c r="F72" s="1131"/>
      <c r="G72" s="1131"/>
      <c r="H72" s="1131"/>
      <c r="I72" s="1131"/>
      <c r="J72" s="1131"/>
      <c r="K72" s="1131"/>
      <c r="L72" s="1131"/>
      <c r="M72" s="503" t="str">
        <f>IF(AND($I$86="Stable Communities &lt; 10%",O72=""), "X","")</f>
        <v/>
      </c>
      <c r="N72" s="680" t="s">
        <v>3433</v>
      </c>
      <c r="O72" s="1716" t="s">
        <v>4074</v>
      </c>
      <c r="P72" s="326"/>
    </row>
    <row r="73" spans="1:17" ht="12.75" customHeight="1">
      <c r="B73" s="506" t="s">
        <v>3202</v>
      </c>
      <c r="C73" s="172" t="s">
        <v>3613</v>
      </c>
      <c r="D73" s="172"/>
      <c r="E73" s="172"/>
      <c r="F73" s="172"/>
      <c r="G73" s="172"/>
      <c r="H73" s="1607"/>
      <c r="I73" s="172" t="s">
        <v>3616</v>
      </c>
      <c r="J73" s="172"/>
      <c r="K73" s="172"/>
      <c r="L73" s="172"/>
      <c r="M73" s="503" t="str">
        <f>IF(AND($I$86="Stable Communities &lt; 10%",O73=""), "X","")</f>
        <v/>
      </c>
      <c r="N73" s="574" t="s">
        <v>3434</v>
      </c>
      <c r="O73" s="1667" t="s">
        <v>4074</v>
      </c>
      <c r="P73" s="325"/>
    </row>
    <row r="74" spans="1:17" ht="12" customHeight="1">
      <c r="B74" s="506"/>
      <c r="E74" s="172"/>
      <c r="F74" s="172"/>
      <c r="H74" s="1607"/>
      <c r="I74" s="172" t="s">
        <v>3617</v>
      </c>
      <c r="J74" s="172"/>
      <c r="K74" s="172"/>
      <c r="M74" s="503"/>
      <c r="N74" s="503"/>
      <c r="O74" s="503"/>
      <c r="P74" s="503"/>
    </row>
    <row r="75" spans="1:17" ht="2.25" customHeight="1">
      <c r="N75" s="31"/>
      <c r="O75" s="31"/>
      <c r="P75" s="31"/>
    </row>
    <row r="76" spans="1:17" ht="11.45" customHeight="1">
      <c r="A76" s="171" t="s">
        <v>2697</v>
      </c>
      <c r="B76" s="229" t="s">
        <v>342</v>
      </c>
      <c r="D76" s="40"/>
      <c r="E76" s="40"/>
      <c r="F76" s="40"/>
      <c r="M76" s="66">
        <v>2</v>
      </c>
      <c r="N76" s="31"/>
      <c r="O76" s="144" t="s">
        <v>3296</v>
      </c>
      <c r="P76" s="144" t="s">
        <v>3296</v>
      </c>
    </row>
    <row r="77" spans="1:17" s="50" customFormat="1" ht="11.25" customHeight="1">
      <c r="A77" s="189"/>
      <c r="B77" s="681" t="s">
        <v>2698</v>
      </c>
      <c r="C77" s="676" t="s">
        <v>3692</v>
      </c>
      <c r="D77" s="48"/>
      <c r="M77" s="2"/>
      <c r="N77" s="681" t="s">
        <v>2698</v>
      </c>
      <c r="O77" s="1607" t="s">
        <v>4073</v>
      </c>
      <c r="P77" s="210"/>
      <c r="Q77" s="130"/>
    </row>
    <row r="78" spans="1:17" s="50" customFormat="1" ht="11.25" customHeight="1">
      <c r="A78" s="189"/>
      <c r="B78" s="681" t="s">
        <v>2700</v>
      </c>
      <c r="C78" s="676" t="s">
        <v>3689</v>
      </c>
      <c r="D78" s="48"/>
      <c r="M78" s="2"/>
      <c r="N78" s="681" t="s">
        <v>2700</v>
      </c>
      <c r="O78" s="1607" t="s">
        <v>4073</v>
      </c>
      <c r="P78" s="210"/>
      <c r="Q78" s="130"/>
    </row>
    <row r="79" spans="1:17" s="50" customFormat="1" ht="11.25" customHeight="1">
      <c r="A79" s="189"/>
      <c r="B79" s="681" t="s">
        <v>3322</v>
      </c>
      <c r="C79" s="676" t="s">
        <v>3690</v>
      </c>
      <c r="D79" s="48"/>
      <c r="M79" s="2"/>
      <c r="N79" s="681" t="s">
        <v>3322</v>
      </c>
      <c r="O79" s="1607" t="s">
        <v>4073</v>
      </c>
      <c r="P79" s="210"/>
      <c r="Q79" s="130"/>
    </row>
    <row r="80" spans="1:17" s="50" customFormat="1" ht="11.25" customHeight="1">
      <c r="A80" s="189"/>
      <c r="B80" s="681" t="s">
        <v>1645</v>
      </c>
      <c r="C80" s="676" t="s">
        <v>3691</v>
      </c>
      <c r="D80" s="48"/>
      <c r="M80" s="2"/>
      <c r="N80" s="681" t="s">
        <v>1645</v>
      </c>
      <c r="O80" s="1607" t="s">
        <v>4073</v>
      </c>
      <c r="P80" s="210"/>
      <c r="Q80" s="130"/>
    </row>
    <row r="81" spans="1:18" s="123" customFormat="1" ht="11.45" customHeight="1">
      <c r="A81" s="49"/>
      <c r="B81" s="56" t="s">
        <v>281</v>
      </c>
      <c r="C81" s="49"/>
      <c r="D81" s="55"/>
      <c r="E81" s="55"/>
      <c r="F81" s="55"/>
      <c r="G81" s="55"/>
      <c r="K81" s="44"/>
      <c r="M81" s="53"/>
      <c r="N81" s="7"/>
      <c r="O81" s="4"/>
      <c r="P81" s="2"/>
    </row>
    <row r="82" spans="1:18" s="50" customFormat="1" ht="12.75" customHeight="1">
      <c r="A82" s="1717" t="s">
        <v>4198</v>
      </c>
      <c r="B82" s="1718"/>
      <c r="C82" s="1718"/>
      <c r="D82" s="1718"/>
      <c r="E82" s="1718"/>
      <c r="F82" s="1718"/>
      <c r="G82" s="1718"/>
      <c r="H82" s="1718"/>
      <c r="I82" s="1718"/>
      <c r="J82" s="1718"/>
      <c r="K82" s="1718"/>
      <c r="L82" s="1718"/>
      <c r="M82" s="1718"/>
      <c r="N82" s="1718"/>
      <c r="O82" s="1718"/>
      <c r="P82" s="1719"/>
      <c r="Q82" s="614" t="s">
        <v>1677</v>
      </c>
    </row>
    <row r="83" spans="1:18" s="50" customFormat="1" ht="11.25" customHeight="1">
      <c r="B83" s="118" t="s">
        <v>2571</v>
      </c>
      <c r="C83" s="49"/>
      <c r="D83" s="103"/>
      <c r="E83" s="809"/>
      <c r="F83" s="809"/>
      <c r="G83" s="809"/>
      <c r="H83" s="809"/>
      <c r="I83" s="809"/>
      <c r="J83" s="809"/>
      <c r="K83" s="809"/>
      <c r="L83" s="809"/>
      <c r="M83" s="809"/>
      <c r="N83" s="90"/>
      <c r="O83" s="85"/>
      <c r="P83" s="2"/>
      <c r="Q83" s="570"/>
    </row>
    <row r="84" spans="1:18" s="50" customFormat="1" ht="12.75" customHeight="1">
      <c r="A84" s="1122"/>
      <c r="B84" s="1123"/>
      <c r="C84" s="1123"/>
      <c r="D84" s="1123"/>
      <c r="E84" s="1123"/>
      <c r="F84" s="1123"/>
      <c r="G84" s="1123"/>
      <c r="H84" s="1123"/>
      <c r="I84" s="1123"/>
      <c r="J84" s="1123"/>
      <c r="K84" s="1123"/>
      <c r="L84" s="1123"/>
      <c r="M84" s="1123"/>
      <c r="N84" s="1123"/>
      <c r="O84" s="1123"/>
      <c r="P84" s="1124"/>
      <c r="Q84" s="614" t="s">
        <v>1677</v>
      </c>
    </row>
    <row r="85" spans="1:18" s="50" customFormat="1" ht="3" customHeight="1">
      <c r="A85" s="49"/>
      <c r="D85" s="47"/>
      <c r="E85" s="44"/>
      <c r="F85" s="674"/>
      <c r="G85" s="674"/>
      <c r="H85" s="674"/>
      <c r="I85" s="674"/>
      <c r="J85" s="38"/>
      <c r="K85" s="38"/>
      <c r="L85" s="38"/>
      <c r="M85" s="71"/>
      <c r="N85" s="674"/>
      <c r="O85" s="808"/>
      <c r="P85" s="4"/>
    </row>
    <row r="86" spans="1:18" s="123" customFormat="1" ht="12.6" customHeight="1">
      <c r="A86" s="189" t="s">
        <v>638</v>
      </c>
      <c r="B86" s="127" t="s">
        <v>3165</v>
      </c>
      <c r="C86" s="112"/>
      <c r="D86" s="70"/>
      <c r="E86" s="70"/>
      <c r="I86" s="1287" t="s">
        <v>3728</v>
      </c>
      <c r="J86" s="1288"/>
      <c r="K86" s="1288"/>
      <c r="L86" s="1289"/>
      <c r="M86" s="2">
        <v>4</v>
      </c>
      <c r="N86" s="8"/>
      <c r="O86" s="92">
        <f>IF(I86="Stable Communities &lt; 5%",4,IF(I86="Stable Communities &lt; 10%",3,IF(I86="Stable Communities &lt; 15%",2,IF(I86="Stable Communities &lt; 20%",1,IF(I86="Statutory Redevelopment Plan",2,IF(I86="Redevelopment Zone",2,IF(I86="Local Redevelopment Plan",1,0)))))))</f>
        <v>2</v>
      </c>
      <c r="P86" s="84"/>
      <c r="Q86" s="130" t="s">
        <v>566</v>
      </c>
      <c r="R86" s="50"/>
    </row>
    <row r="87" spans="1:18" ht="12" customHeight="1">
      <c r="A87" s="1126" t="s">
        <v>3622</v>
      </c>
      <c r="B87" s="1126"/>
      <c r="C87" s="1126"/>
      <c r="D87" s="1126"/>
      <c r="E87" s="1126"/>
      <c r="F87" s="1126"/>
      <c r="G87" s="1126"/>
      <c r="H87" s="1126"/>
      <c r="I87" s="1126"/>
      <c r="J87" s="1126"/>
      <c r="K87" s="1126"/>
      <c r="L87" s="1126"/>
      <c r="M87" s="1126"/>
      <c r="N87" s="1126"/>
      <c r="O87" s="1126"/>
      <c r="P87" s="1126"/>
    </row>
    <row r="88" spans="1:18" ht="11.45" customHeight="1">
      <c r="A88" s="171" t="s">
        <v>2694</v>
      </c>
      <c r="B88" s="229" t="s">
        <v>3295</v>
      </c>
      <c r="D88" s="40"/>
      <c r="M88" s="139"/>
      <c r="N88" s="31"/>
      <c r="O88" s="144" t="s">
        <v>3296</v>
      </c>
      <c r="P88" s="144" t="s">
        <v>3296</v>
      </c>
    </row>
    <row r="89" spans="1:18" ht="11.45" customHeight="1">
      <c r="A89" s="482" t="str">
        <f>IF($I$86="Stable Communities &lt; 5%", "*","")</f>
        <v/>
      </c>
      <c r="B89" s="483" t="s">
        <v>2698</v>
      </c>
      <c r="C89" s="601" t="s">
        <v>3571</v>
      </c>
      <c r="E89" s="142"/>
      <c r="M89" s="97">
        <v>4</v>
      </c>
      <c r="N89" s="31"/>
      <c r="O89" s="1690" t="s">
        <v>4073</v>
      </c>
      <c r="P89" s="679"/>
    </row>
    <row r="90" spans="1:18" ht="11.45" customHeight="1">
      <c r="B90" s="483" t="s">
        <v>2700</v>
      </c>
      <c r="C90" s="601" t="s">
        <v>3754</v>
      </c>
      <c r="D90" s="1720">
        <v>0.15</v>
      </c>
      <c r="E90" s="601" t="s">
        <v>3755</v>
      </c>
      <c r="H90" s="121" t="s">
        <v>3148</v>
      </c>
      <c r="K90" s="166" t="s">
        <v>3753</v>
      </c>
      <c r="L90" s="1721">
        <v>0.14680000000000001</v>
      </c>
      <c r="M90" s="576"/>
      <c r="N90" s="574"/>
    </row>
    <row r="91" spans="1:18" ht="11.45" customHeight="1">
      <c r="B91" s="483" t="s">
        <v>3322</v>
      </c>
      <c r="C91" s="551" t="s">
        <v>3149</v>
      </c>
      <c r="E91" s="142"/>
      <c r="H91" s="121" t="s">
        <v>3150</v>
      </c>
      <c r="K91" s="670" t="s">
        <v>3723</v>
      </c>
      <c r="L91" s="1722" t="s">
        <v>1769</v>
      </c>
      <c r="M91" s="576"/>
    </row>
    <row r="92" spans="1:18" ht="3" customHeight="1">
      <c r="B92" s="142"/>
      <c r="C92" s="142"/>
      <c r="D92" s="142"/>
      <c r="E92" s="142"/>
      <c r="R92" s="50"/>
    </row>
    <row r="93" spans="1:18" ht="11.45" customHeight="1">
      <c r="A93" s="171" t="s">
        <v>2697</v>
      </c>
      <c r="B93" s="229" t="s">
        <v>290</v>
      </c>
      <c r="D93" s="40"/>
      <c r="E93" s="40"/>
      <c r="F93" s="40"/>
      <c r="H93" s="1150" t="s">
        <v>3768</v>
      </c>
      <c r="I93" s="1150"/>
      <c r="J93" s="1151"/>
      <c r="K93" s="1723"/>
      <c r="L93" s="1724"/>
      <c r="M93" s="1724"/>
      <c r="N93" s="1724"/>
      <c r="O93" s="1724"/>
      <c r="P93" s="1725"/>
    </row>
    <row r="94" spans="1:18" ht="3" customHeight="1">
      <c r="B94" s="142"/>
      <c r="C94" s="142"/>
      <c r="D94" s="142"/>
      <c r="E94" s="142"/>
      <c r="R94" s="50"/>
    </row>
    <row r="95" spans="1:18" s="50" customFormat="1" ht="11.45" customHeight="1">
      <c r="A95" s="576" t="str">
        <f>IF($I$86="Statutory Redevelopment Plan", "*","")</f>
        <v/>
      </c>
      <c r="B95" s="483" t="s">
        <v>2698</v>
      </c>
      <c r="C95" s="136" t="s">
        <v>461</v>
      </c>
      <c r="D95" s="123"/>
      <c r="E95" s="813"/>
      <c r="M95" s="577">
        <v>2</v>
      </c>
      <c r="O95" s="144" t="s">
        <v>3296</v>
      </c>
      <c r="P95" s="144" t="s">
        <v>3296</v>
      </c>
    </row>
    <row r="96" spans="1:18" s="50" customFormat="1" ht="11.45" customHeight="1">
      <c r="A96" s="482"/>
      <c r="B96" s="484" t="s">
        <v>3201</v>
      </c>
      <c r="C96" s="64" t="s">
        <v>3627</v>
      </c>
      <c r="D96" s="123"/>
      <c r="E96" s="813"/>
      <c r="G96" s="507"/>
      <c r="I96" s="1726"/>
      <c r="J96" s="1727"/>
      <c r="K96" s="1727"/>
      <c r="L96" s="1728"/>
      <c r="M96" s="482" t="str">
        <f>IF(AND($I$86="Statutory Redevelopment Plan",OR(O96="",I96=0)), "X","")</f>
        <v/>
      </c>
      <c r="N96" s="574" t="s">
        <v>3431</v>
      </c>
      <c r="O96" s="1665" t="s">
        <v>4074</v>
      </c>
      <c r="P96" s="324"/>
    </row>
    <row r="97" spans="1:18" s="50" customFormat="1" ht="11.45" customHeight="1">
      <c r="A97" s="482"/>
      <c r="B97" s="484" t="s">
        <v>3202</v>
      </c>
      <c r="C97" s="64" t="s">
        <v>3623</v>
      </c>
      <c r="D97" s="123"/>
      <c r="E97" s="813"/>
      <c r="G97" s="507"/>
      <c r="I97" s="1729" t="s">
        <v>3624</v>
      </c>
      <c r="J97" s="1730"/>
      <c r="M97" s="482" t="str">
        <f>IF(AND($I$86="Statutory Redevelopment Plan",OR(O97="",I97="&lt;&lt;Select statute&gt;&gt;")), "X","")</f>
        <v/>
      </c>
      <c r="N97" s="484" t="s">
        <v>3202</v>
      </c>
      <c r="O97" s="1666" t="s">
        <v>4074</v>
      </c>
      <c r="P97" s="473"/>
    </row>
    <row r="98" spans="1:18" s="50" customFormat="1" ht="11.45" customHeight="1">
      <c r="A98" s="482"/>
      <c r="B98" s="505" t="s">
        <v>3203</v>
      </c>
      <c r="C98" s="670" t="s">
        <v>3626</v>
      </c>
      <c r="D98" s="123"/>
      <c r="E98" s="813"/>
      <c r="G98" s="507"/>
      <c r="I98" s="1731"/>
      <c r="J98" s="1732"/>
      <c r="M98" s="482" t="str">
        <f>IF(AND($I$86="Statutory Redevelopment Plan",OR(O98="",I98="")), "X","")</f>
        <v/>
      </c>
      <c r="N98" s="505" t="s">
        <v>3203</v>
      </c>
      <c r="O98" s="1667" t="s">
        <v>4074</v>
      </c>
      <c r="P98" s="325"/>
    </row>
    <row r="99" spans="1:18" s="50" customFormat="1" ht="11.45" customHeight="1">
      <c r="A99" s="482"/>
      <c r="B99" s="505" t="s">
        <v>3204</v>
      </c>
      <c r="C99" s="64" t="s">
        <v>3625</v>
      </c>
      <c r="E99" s="813"/>
      <c r="G99" s="507"/>
      <c r="J99" s="64" t="s">
        <v>3628</v>
      </c>
      <c r="K99" s="1733"/>
      <c r="L99" s="1734"/>
      <c r="M99" s="482" t="str">
        <f>IF(AND($I$86="Statutory Redevelopment Plan",OR(O99="",K99="")), "X","")</f>
        <v/>
      </c>
      <c r="N99" s="505" t="s">
        <v>3204</v>
      </c>
      <c r="O99" s="1665" t="s">
        <v>4074</v>
      </c>
      <c r="P99" s="324"/>
    </row>
    <row r="100" spans="1:18" s="50" customFormat="1" ht="11.45" customHeight="1">
      <c r="A100" s="482"/>
      <c r="B100" s="505" t="s">
        <v>3205</v>
      </c>
      <c r="C100" s="64" t="s">
        <v>3629</v>
      </c>
      <c r="D100" s="123"/>
      <c r="E100" s="813"/>
      <c r="G100" s="507"/>
      <c r="J100" s="64" t="s">
        <v>3628</v>
      </c>
      <c r="K100" s="1733"/>
      <c r="L100" s="1734"/>
      <c r="M100" s="482" t="str">
        <f>IF(AND($I$86="Statutory Redevelopment Plan",OR(O100="",K100="")), "X","")</f>
        <v/>
      </c>
      <c r="N100" s="505" t="s">
        <v>3205</v>
      </c>
      <c r="O100" s="1667" t="s">
        <v>4074</v>
      </c>
      <c r="P100" s="325"/>
    </row>
    <row r="101" spans="1:18" ht="3" customHeight="1">
      <c r="B101" s="142"/>
      <c r="C101" s="142"/>
      <c r="D101" s="142"/>
      <c r="E101" s="142"/>
      <c r="R101" s="50"/>
    </row>
    <row r="102" spans="1:18" s="50" customFormat="1" ht="11.45" customHeight="1">
      <c r="A102" s="482" t="str">
        <f>IF($I$86="Redevelopment Zone", "*","")</f>
        <v/>
      </c>
      <c r="B102" s="483" t="s">
        <v>2700</v>
      </c>
      <c r="C102" s="136" t="s">
        <v>462</v>
      </c>
      <c r="D102" s="123"/>
      <c r="E102" s="813" t="s">
        <v>1433</v>
      </c>
      <c r="H102" s="1735" t="s">
        <v>2466</v>
      </c>
      <c r="I102" s="1736"/>
      <c r="J102" s="585" t="s">
        <v>3693</v>
      </c>
      <c r="K102" s="1729"/>
      <c r="L102" s="1730"/>
      <c r="M102" s="577">
        <v>2</v>
      </c>
      <c r="N102" s="682" t="s">
        <v>2700</v>
      </c>
      <c r="O102" s="1737">
        <v>0</v>
      </c>
      <c r="P102" s="671"/>
      <c r="Q102" s="507" t="s">
        <v>3631</v>
      </c>
    </row>
    <row r="103" spans="1:18" s="50" customFormat="1" ht="11.45" customHeight="1">
      <c r="A103" s="482" t="str">
        <f>IF($I$87="Redevelopment Zone", "*","")</f>
        <v/>
      </c>
      <c r="B103" s="483"/>
      <c r="C103" s="136"/>
      <c r="D103" s="123"/>
      <c r="E103" s="813" t="s">
        <v>3766</v>
      </c>
      <c r="I103" s="1723"/>
      <c r="J103" s="1724"/>
      <c r="K103" s="1724"/>
      <c r="L103" s="1725"/>
      <c r="M103" s="753"/>
      <c r="N103" s="577"/>
      <c r="O103" s="577"/>
      <c r="P103" s="577"/>
      <c r="Q103" s="507"/>
    </row>
    <row r="104" spans="1:18" ht="3" customHeight="1">
      <c r="B104" s="142"/>
      <c r="C104" s="142"/>
      <c r="D104" s="142"/>
      <c r="E104" s="142"/>
      <c r="R104" s="50"/>
    </row>
    <row r="105" spans="1:18" s="50" customFormat="1" ht="11.45" customHeight="1">
      <c r="A105" s="482" t="str">
        <f>IF($I$86="Local Redevelopment Plan", "*","")</f>
        <v/>
      </c>
      <c r="B105" s="483" t="s">
        <v>3322</v>
      </c>
      <c r="C105" s="136" t="s">
        <v>770</v>
      </c>
      <c r="D105" s="123"/>
      <c r="E105" s="813"/>
      <c r="F105" s="502"/>
      <c r="H105" s="813" t="s">
        <v>552</v>
      </c>
      <c r="I105" s="1723"/>
      <c r="J105" s="1724"/>
      <c r="K105" s="1724"/>
      <c r="L105" s="1725"/>
      <c r="M105" s="577">
        <v>1</v>
      </c>
      <c r="N105" s="577"/>
      <c r="O105" s="1738">
        <v>0</v>
      </c>
      <c r="P105" s="547"/>
      <c r="Q105" s="507" t="s">
        <v>3631</v>
      </c>
    </row>
    <row r="106" spans="1:18" ht="11.45" customHeight="1">
      <c r="B106" s="484" t="s">
        <v>3201</v>
      </c>
      <c r="C106" s="813" t="s">
        <v>3636</v>
      </c>
      <c r="D106" s="121"/>
      <c r="J106" s="144" t="s">
        <v>772</v>
      </c>
      <c r="K106" s="1731"/>
      <c r="L106" s="1732"/>
      <c r="M106" s="482" t="str">
        <f>IF(AND($I$86="Local Redevelopment Plan",OR(O106="",K106="")), "X","")</f>
        <v/>
      </c>
      <c r="N106" s="505" t="s">
        <v>3125</v>
      </c>
      <c r="O106" s="1665" t="s">
        <v>4074</v>
      </c>
      <c r="P106" s="324"/>
    </row>
    <row r="107" spans="1:18" ht="10.9" customHeight="1">
      <c r="B107" s="484" t="s">
        <v>3202</v>
      </c>
      <c r="C107" s="485" t="s">
        <v>3223</v>
      </c>
      <c r="D107" s="121"/>
      <c r="K107" s="162" t="s">
        <v>3628</v>
      </c>
      <c r="L107" s="1739"/>
      <c r="M107" s="482" t="str">
        <f t="shared" ref="M107:M112" si="0">IF(AND($I$86="Local Redevelopment Plan",OR(O107="",L107="")), "X","")</f>
        <v/>
      </c>
      <c r="N107" s="484" t="s">
        <v>3202</v>
      </c>
      <c r="O107" s="1740" t="s">
        <v>4074</v>
      </c>
      <c r="P107" s="518"/>
    </row>
    <row r="108" spans="1:18" ht="10.9" customHeight="1">
      <c r="B108" s="484" t="s">
        <v>3203</v>
      </c>
      <c r="C108" s="485" t="s">
        <v>3224</v>
      </c>
      <c r="K108" s="162" t="s">
        <v>3628</v>
      </c>
      <c r="L108" s="1739"/>
      <c r="M108" s="482" t="str">
        <f t="shared" si="0"/>
        <v/>
      </c>
      <c r="N108" s="484" t="s">
        <v>3203</v>
      </c>
      <c r="O108" s="1666" t="s">
        <v>4074</v>
      </c>
      <c r="P108" s="473"/>
    </row>
    <row r="109" spans="1:18" ht="10.9" customHeight="1">
      <c r="B109" s="484" t="s">
        <v>3204</v>
      </c>
      <c r="C109" s="485" t="s">
        <v>3225</v>
      </c>
      <c r="K109" s="162" t="s">
        <v>3628</v>
      </c>
      <c r="L109" s="1739"/>
      <c r="M109" s="482" t="str">
        <f t="shared" si="0"/>
        <v/>
      </c>
      <c r="N109" s="484" t="s">
        <v>3204</v>
      </c>
      <c r="O109" s="1666" t="s">
        <v>4074</v>
      </c>
      <c r="P109" s="473"/>
    </row>
    <row r="110" spans="1:18" ht="10.9" customHeight="1">
      <c r="B110" s="484" t="s">
        <v>3205</v>
      </c>
      <c r="C110" s="68" t="s">
        <v>3226</v>
      </c>
      <c r="K110" s="162" t="s">
        <v>3628</v>
      </c>
      <c r="L110" s="1739"/>
      <c r="M110" s="482" t="str">
        <f t="shared" si="0"/>
        <v/>
      </c>
      <c r="N110" s="484" t="s">
        <v>3205</v>
      </c>
      <c r="O110" s="1666" t="s">
        <v>4074</v>
      </c>
      <c r="P110" s="473"/>
    </row>
    <row r="111" spans="1:18" ht="10.9" customHeight="1">
      <c r="B111" s="484" t="s">
        <v>3221</v>
      </c>
      <c r="C111" s="485" t="s">
        <v>3227</v>
      </c>
      <c r="D111" s="121"/>
      <c r="K111" s="162" t="s">
        <v>3628</v>
      </c>
      <c r="L111" s="1739"/>
      <c r="M111" s="482" t="str">
        <f t="shared" si="0"/>
        <v/>
      </c>
      <c r="N111" s="484" t="s">
        <v>3221</v>
      </c>
      <c r="O111" s="1666" t="s">
        <v>4074</v>
      </c>
      <c r="P111" s="473"/>
    </row>
    <row r="112" spans="1:18" ht="10.9" customHeight="1">
      <c r="B112" s="484" t="s">
        <v>3222</v>
      </c>
      <c r="C112" s="485" t="s">
        <v>3228</v>
      </c>
      <c r="K112" s="162" t="s">
        <v>3628</v>
      </c>
      <c r="L112" s="1739"/>
      <c r="M112" s="482" t="str">
        <f t="shared" si="0"/>
        <v/>
      </c>
      <c r="N112" s="484" t="s">
        <v>3222</v>
      </c>
      <c r="O112" s="1667" t="s">
        <v>4074</v>
      </c>
      <c r="P112" s="325"/>
    </row>
    <row r="113" spans="1:17" ht="11.45" customHeight="1">
      <c r="A113" s="482" t="str">
        <f>IF($I$86="Stable Communities &lt; 20%", "*","")</f>
        <v/>
      </c>
      <c r="C113" s="499" t="s">
        <v>3232</v>
      </c>
      <c r="E113" s="142"/>
      <c r="M113" s="504"/>
      <c r="N113" s="31"/>
      <c r="O113" s="144"/>
      <c r="P113" s="144"/>
    </row>
    <row r="114" spans="1:17" ht="10.9" customHeight="1">
      <c r="B114" s="484" t="s">
        <v>3229</v>
      </c>
      <c r="C114" s="756" t="s">
        <v>3941</v>
      </c>
      <c r="I114" s="484" t="s">
        <v>3229</v>
      </c>
      <c r="J114" s="324"/>
      <c r="K114" s="484" t="s">
        <v>3230</v>
      </c>
      <c r="L114" s="68" t="s">
        <v>3233</v>
      </c>
      <c r="O114" s="484" t="s">
        <v>3230</v>
      </c>
      <c r="P114" s="324"/>
    </row>
    <row r="115" spans="1:17" ht="10.9" customHeight="1">
      <c r="B115" s="484" t="s">
        <v>3231</v>
      </c>
      <c r="C115" s="485" t="s">
        <v>3234</v>
      </c>
      <c r="I115" s="484" t="s">
        <v>3231</v>
      </c>
      <c r="J115" s="325"/>
      <c r="K115" s="484" t="s">
        <v>771</v>
      </c>
      <c r="L115" s="68" t="s">
        <v>3235</v>
      </c>
      <c r="M115" s="502"/>
      <c r="O115" s="484" t="s">
        <v>771</v>
      </c>
      <c r="P115" s="325"/>
    </row>
    <row r="116" spans="1:17" s="50" customFormat="1" ht="13.9" customHeight="1">
      <c r="A116" s="49"/>
      <c r="B116" s="56" t="s">
        <v>281</v>
      </c>
      <c r="C116" s="49"/>
      <c r="D116" s="55"/>
      <c r="E116" s="55"/>
      <c r="F116" s="55"/>
      <c r="G116" s="55"/>
      <c r="H116" s="44"/>
      <c r="I116" s="44"/>
      <c r="J116" s="44"/>
      <c r="K116" s="44"/>
      <c r="M116" s="53"/>
      <c r="N116" s="73"/>
      <c r="O116" s="4"/>
      <c r="P116" s="808"/>
    </row>
    <row r="117" spans="1:17" s="50" customFormat="1" ht="12.75" customHeight="1">
      <c r="A117" s="1717" t="s">
        <v>4199</v>
      </c>
      <c r="B117" s="1718"/>
      <c r="C117" s="1718"/>
      <c r="D117" s="1718"/>
      <c r="E117" s="1718"/>
      <c r="F117" s="1718"/>
      <c r="G117" s="1718"/>
      <c r="H117" s="1718"/>
      <c r="I117" s="1718"/>
      <c r="J117" s="1718"/>
      <c r="K117" s="1718"/>
      <c r="L117" s="1718"/>
      <c r="M117" s="1718"/>
      <c r="N117" s="1718"/>
      <c r="O117" s="1718"/>
      <c r="P117" s="1719"/>
      <c r="Q117" s="614" t="s">
        <v>1677</v>
      </c>
    </row>
    <row r="118" spans="1:17" s="50" customFormat="1" ht="11.25" customHeight="1">
      <c r="A118" s="49"/>
      <c r="B118" s="103" t="s">
        <v>2571</v>
      </c>
      <c r="C118" s="49"/>
      <c r="D118" s="103"/>
      <c r="E118" s="809"/>
      <c r="F118" s="809"/>
      <c r="G118" s="809"/>
      <c r="H118" s="809"/>
      <c r="I118" s="809"/>
      <c r="J118" s="809"/>
      <c r="K118" s="809"/>
      <c r="L118" s="809"/>
      <c r="M118" s="809"/>
      <c r="N118" s="90"/>
      <c r="O118" s="85"/>
      <c r="P118" s="2"/>
      <c r="Q118" s="570"/>
    </row>
    <row r="119" spans="1:17" s="50" customFormat="1" ht="12.75" customHeight="1">
      <c r="A119" s="1122"/>
      <c r="B119" s="1123"/>
      <c r="C119" s="1123"/>
      <c r="D119" s="1123"/>
      <c r="E119" s="1123"/>
      <c r="F119" s="1123"/>
      <c r="G119" s="1123"/>
      <c r="H119" s="1123"/>
      <c r="I119" s="1123"/>
      <c r="J119" s="1123"/>
      <c r="K119" s="1123"/>
      <c r="L119" s="1123"/>
      <c r="M119" s="1123"/>
      <c r="N119" s="1123"/>
      <c r="O119" s="1123"/>
      <c r="P119" s="1124"/>
      <c r="Q119" s="614" t="s">
        <v>1677</v>
      </c>
    </row>
    <row r="120" spans="1:17" ht="3.6" customHeight="1">
      <c r="B120" s="142"/>
      <c r="C120" s="142"/>
      <c r="D120" s="142"/>
      <c r="E120" s="142"/>
    </row>
    <row r="121" spans="1:17" s="50" customFormat="1" ht="12" customHeight="1">
      <c r="A121" s="189" t="s">
        <v>639</v>
      </c>
      <c r="B121" s="126" t="s">
        <v>3236</v>
      </c>
      <c r="D121" s="48"/>
      <c r="E121" s="48"/>
      <c r="F121" s="48"/>
      <c r="H121" s="72"/>
      <c r="J121" s="72" t="s">
        <v>434</v>
      </c>
      <c r="K121" s="55"/>
      <c r="M121" s="2">
        <v>3</v>
      </c>
      <c r="N121" s="7"/>
      <c r="O121" s="92">
        <f>MIN($M121,(O122+O128))</f>
        <v>3</v>
      </c>
      <c r="P121" s="92">
        <f>MIN($M121,(P122+P128))</f>
        <v>0</v>
      </c>
      <c r="Q121" s="130" t="s">
        <v>566</v>
      </c>
    </row>
    <row r="122" spans="1:17" ht="12" customHeight="1">
      <c r="B122" s="802" t="s">
        <v>2694</v>
      </c>
      <c r="C122" s="229" t="s">
        <v>2957</v>
      </c>
      <c r="D122" s="40"/>
      <c r="E122" s="40"/>
      <c r="F122" s="40"/>
      <c r="G122" s="31" t="str">
        <f>IF(AND(O122&lt;0,M129&lt;0),"Select either A or B but not both!&gt;","")</f>
        <v/>
      </c>
      <c r="H122" s="40"/>
      <c r="I122" s="40"/>
      <c r="J122" s="40"/>
      <c r="K122" s="40"/>
      <c r="L122" s="490" t="str">
        <f>IF(OR($O122=$M122,$O122=0,$O122=""),"","* * Check Score! * *")</f>
        <v/>
      </c>
      <c r="M122" s="88">
        <v>3</v>
      </c>
      <c r="N122" s="654" t="s">
        <v>2694</v>
      </c>
      <c r="O122" s="1738">
        <v>0</v>
      </c>
      <c r="P122" s="547"/>
      <c r="Q122" s="507" t="s">
        <v>3631</v>
      </c>
    </row>
    <row r="123" spans="1:17" s="121" customFormat="1" ht="22.9" customHeight="1">
      <c r="B123" s="509" t="s">
        <v>2698</v>
      </c>
      <c r="C123" s="1125" t="s">
        <v>3757</v>
      </c>
      <c r="D123" s="1061"/>
      <c r="E123" s="1061"/>
      <c r="F123" s="1061"/>
      <c r="G123" s="1061"/>
      <c r="H123" s="1061"/>
      <c r="I123" s="1061"/>
      <c r="J123" s="1061"/>
      <c r="K123" s="1061"/>
      <c r="L123" s="1061"/>
      <c r="M123" s="546"/>
      <c r="N123" s="509" t="s">
        <v>2698</v>
      </c>
      <c r="O123" s="1607" t="s">
        <v>1960</v>
      </c>
      <c r="P123" s="210"/>
    </row>
    <row r="124" spans="1:17" s="121" customFormat="1" ht="11.45" customHeight="1">
      <c r="B124" s="225"/>
      <c r="C124" s="143" t="s">
        <v>1360</v>
      </c>
      <c r="H124" s="585" t="s">
        <v>3380</v>
      </c>
      <c r="I124" s="1741"/>
      <c r="J124" s="585" t="s">
        <v>3029</v>
      </c>
      <c r="K124" s="1742"/>
      <c r="L124" s="1743"/>
      <c r="M124" s="1744"/>
    </row>
    <row r="125" spans="1:17" s="121" customFormat="1" ht="11.45" customHeight="1">
      <c r="B125" s="225" t="s">
        <v>2700</v>
      </c>
      <c r="C125" s="143" t="s">
        <v>1361</v>
      </c>
      <c r="M125" s="8"/>
      <c r="N125" s="225" t="s">
        <v>2700</v>
      </c>
      <c r="O125" s="1665" t="s">
        <v>1960</v>
      </c>
      <c r="P125" s="324"/>
    </row>
    <row r="126" spans="1:17" s="121" customFormat="1" ht="11.45" customHeight="1">
      <c r="B126" s="225" t="s">
        <v>3322</v>
      </c>
      <c r="C126" s="143" t="s">
        <v>1362</v>
      </c>
      <c r="M126" s="8"/>
      <c r="N126" s="225" t="s">
        <v>3322</v>
      </c>
      <c r="O126" s="1666" t="s">
        <v>1960</v>
      </c>
      <c r="P126" s="473"/>
    </row>
    <row r="127" spans="1:17" s="121" customFormat="1" ht="11.45" customHeight="1">
      <c r="B127" s="225" t="s">
        <v>1645</v>
      </c>
      <c r="C127" s="143" t="s">
        <v>1363</v>
      </c>
      <c r="M127" s="8"/>
      <c r="N127" s="225" t="s">
        <v>1645</v>
      </c>
      <c r="O127" s="1667" t="s">
        <v>1960</v>
      </c>
      <c r="P127" s="325"/>
    </row>
    <row r="128" spans="1:17" ht="12" customHeight="1">
      <c r="A128" s="229" t="s">
        <v>1788</v>
      </c>
      <c r="B128" s="802" t="s">
        <v>2697</v>
      </c>
      <c r="C128" s="229" t="s">
        <v>2958</v>
      </c>
      <c r="D128" s="142"/>
      <c r="E128" s="552" t="s">
        <v>3962</v>
      </c>
      <c r="M128" s="88">
        <v>3</v>
      </c>
      <c r="N128" s="654" t="s">
        <v>2697</v>
      </c>
      <c r="O128" s="548">
        <f>IF($M129=5,3,IF($M129=4,2,0))</f>
        <v>3</v>
      </c>
      <c r="P128" s="84"/>
    </row>
    <row r="129" spans="1:17" ht="12" customHeight="1">
      <c r="B129" s="580" t="s">
        <v>3696</v>
      </c>
      <c r="D129" s="40"/>
      <c r="E129" s="40"/>
      <c r="F129" s="40"/>
      <c r="G129" s="813"/>
      <c r="H129" s="813"/>
      <c r="I129" s="813"/>
      <c r="J129" s="813"/>
      <c r="M129" s="1745">
        <v>5</v>
      </c>
      <c r="N129" s="166" t="s">
        <v>3694</v>
      </c>
      <c r="O129" s="123"/>
      <c r="P129" s="123"/>
    </row>
    <row r="130" spans="1:17" ht="12" customHeight="1">
      <c r="B130" s="580" t="s">
        <v>3695</v>
      </c>
      <c r="D130" s="40"/>
      <c r="E130" s="40"/>
      <c r="F130" s="40"/>
      <c r="G130" s="813"/>
      <c r="H130" s="813"/>
      <c r="I130" s="813"/>
      <c r="J130" s="813"/>
      <c r="N130" s="166"/>
      <c r="O130" s="123"/>
      <c r="P130" s="123"/>
    </row>
    <row r="131" spans="1:17" s="50" customFormat="1" ht="11.45" customHeight="1">
      <c r="A131" s="49"/>
      <c r="B131" s="56" t="s">
        <v>281</v>
      </c>
      <c r="C131" s="49"/>
      <c r="D131" s="55"/>
      <c r="E131" s="55"/>
      <c r="F131" s="55"/>
      <c r="G131" s="55"/>
      <c r="H131" s="44"/>
      <c r="I131" s="44"/>
      <c r="J131" s="44"/>
      <c r="K131" s="44"/>
      <c r="M131" s="53"/>
      <c r="N131" s="73"/>
      <c r="O131" s="4"/>
      <c r="P131" s="808"/>
    </row>
    <row r="132" spans="1:17" s="50" customFormat="1" ht="11.45" customHeight="1">
      <c r="A132" s="1611"/>
      <c r="B132" s="1612"/>
      <c r="C132" s="1612"/>
      <c r="D132" s="1612"/>
      <c r="E132" s="1612"/>
      <c r="F132" s="1612"/>
      <c r="G132" s="1612"/>
      <c r="H132" s="1612"/>
      <c r="I132" s="1612"/>
      <c r="J132" s="1612"/>
      <c r="K132" s="1612"/>
      <c r="L132" s="1612"/>
      <c r="M132" s="1612"/>
      <c r="N132" s="1612"/>
      <c r="O132" s="1612"/>
      <c r="P132" s="1613"/>
      <c r="Q132" s="614" t="s">
        <v>1677</v>
      </c>
    </row>
    <row r="133" spans="1:17" s="50" customFormat="1" ht="11.45" customHeight="1">
      <c r="B133" s="103" t="s">
        <v>2571</v>
      </c>
      <c r="C133" s="119"/>
      <c r="D133" s="103"/>
      <c r="E133" s="120"/>
      <c r="F133" s="809"/>
      <c r="G133" s="809"/>
      <c r="H133" s="809"/>
      <c r="I133" s="809"/>
      <c r="J133" s="809"/>
      <c r="K133" s="809"/>
      <c r="L133" s="809"/>
      <c r="M133" s="809"/>
      <c r="N133" s="90"/>
      <c r="O133" s="85"/>
      <c r="P133" s="2"/>
      <c r="Q133" s="570"/>
    </row>
    <row r="134" spans="1:17" s="50" customFormat="1" ht="11.45" customHeight="1">
      <c r="A134" s="1048"/>
      <c r="B134" s="1049"/>
      <c r="C134" s="1049"/>
      <c r="D134" s="1049"/>
      <c r="E134" s="1049"/>
      <c r="F134" s="1049"/>
      <c r="G134" s="1049"/>
      <c r="H134" s="1049"/>
      <c r="I134" s="1049"/>
      <c r="J134" s="1049"/>
      <c r="K134" s="1049"/>
      <c r="L134" s="1049"/>
      <c r="M134" s="1049"/>
      <c r="N134" s="1049"/>
      <c r="O134" s="1049"/>
      <c r="P134" s="1050"/>
      <c r="Q134" s="614" t="s">
        <v>1677</v>
      </c>
    </row>
    <row r="135" spans="1:17" ht="3" customHeight="1">
      <c r="B135" s="142"/>
      <c r="C135" s="142"/>
      <c r="D135" s="142"/>
      <c r="E135" s="142"/>
    </row>
    <row r="136" spans="1:17" s="50" customFormat="1" ht="12" customHeight="1">
      <c r="A136" s="189" t="s">
        <v>237</v>
      </c>
      <c r="B136" s="126" t="s">
        <v>3237</v>
      </c>
      <c r="E136" s="48"/>
      <c r="F136" s="48"/>
      <c r="H136" s="72"/>
      <c r="K136" s="55"/>
      <c r="L136" s="490" t="str">
        <f>IF(OR($O136=$M136,$O136=0,$O136=""),"","* * Check Score! * *")</f>
        <v/>
      </c>
      <c r="M136" s="2">
        <v>2</v>
      </c>
      <c r="N136" s="517" t="str">
        <f>IF(OR($O136=$M136,$O136=0,$O136=""),"","***")</f>
        <v/>
      </c>
      <c r="O136" s="1711">
        <v>2</v>
      </c>
      <c r="P136" s="84"/>
      <c r="Q136" s="130" t="s">
        <v>566</v>
      </c>
    </row>
    <row r="137" spans="1:17" ht="11.45" customHeight="1">
      <c r="B137" s="211" t="s">
        <v>2351</v>
      </c>
      <c r="E137" s="142"/>
      <c r="M137" s="504"/>
      <c r="N137" s="31"/>
      <c r="O137" s="31"/>
      <c r="P137" s="144" t="s">
        <v>3296</v>
      </c>
    </row>
    <row r="138" spans="1:17" s="511" customFormat="1" ht="11.45" customHeight="1">
      <c r="A138" s="506" t="s">
        <v>3201</v>
      </c>
      <c r="B138" s="683" t="s">
        <v>3697</v>
      </c>
      <c r="D138" s="597"/>
      <c r="M138" s="598"/>
      <c r="N138" s="506"/>
      <c r="O138" s="506" t="s">
        <v>3201</v>
      </c>
      <c r="P138" s="326"/>
    </row>
    <row r="139" spans="1:17" s="511" customFormat="1">
      <c r="A139" s="506" t="s">
        <v>3202</v>
      </c>
      <c r="B139" s="1117" t="s">
        <v>3458</v>
      </c>
      <c r="C139" s="932"/>
      <c r="D139" s="932"/>
      <c r="E139" s="932"/>
      <c r="F139" s="932"/>
      <c r="G139" s="932"/>
      <c r="H139" s="932"/>
      <c r="I139" s="932"/>
      <c r="J139" s="932"/>
      <c r="K139" s="932"/>
      <c r="L139" s="932"/>
      <c r="M139" s="932"/>
      <c r="N139" s="932"/>
      <c r="O139" s="506" t="s">
        <v>3202</v>
      </c>
      <c r="P139" s="599"/>
    </row>
    <row r="140" spans="1:17" s="511" customFormat="1" ht="24" customHeight="1">
      <c r="A140" s="506" t="s">
        <v>3203</v>
      </c>
      <c r="B140" s="1117" t="s">
        <v>3698</v>
      </c>
      <c r="C140" s="932"/>
      <c r="D140" s="932"/>
      <c r="E140" s="932"/>
      <c r="F140" s="932"/>
      <c r="G140" s="932"/>
      <c r="H140" s="932"/>
      <c r="I140" s="932"/>
      <c r="J140" s="932"/>
      <c r="K140" s="932"/>
      <c r="L140" s="932"/>
      <c r="M140" s="932"/>
      <c r="N140" s="932"/>
      <c r="O140" s="506" t="s">
        <v>3203</v>
      </c>
      <c r="P140" s="599"/>
    </row>
    <row r="141" spans="1:17" s="511" customFormat="1" ht="12.75" customHeight="1">
      <c r="A141" s="506" t="s">
        <v>3204</v>
      </c>
      <c r="B141" s="683" t="s">
        <v>3699</v>
      </c>
      <c r="M141" s="598"/>
      <c r="N141" s="506"/>
      <c r="O141" s="506" t="s">
        <v>3204</v>
      </c>
      <c r="P141" s="599"/>
    </row>
    <row r="142" spans="1:17" s="511" customFormat="1" ht="12.75" customHeight="1">
      <c r="A142" s="506" t="s">
        <v>3205</v>
      </c>
      <c r="B142" s="270" t="s">
        <v>2352</v>
      </c>
      <c r="M142" s="598"/>
      <c r="N142" s="506"/>
      <c r="O142" s="506" t="s">
        <v>3205</v>
      </c>
      <c r="P142" s="327"/>
    </row>
    <row r="143" spans="1:17" s="50" customFormat="1" ht="12.75" customHeight="1">
      <c r="A143" s="49"/>
      <c r="B143" s="56" t="s">
        <v>281</v>
      </c>
      <c r="C143" s="49"/>
      <c r="D143" s="55"/>
      <c r="E143" s="55"/>
      <c r="F143" s="55"/>
      <c r="G143" s="55"/>
      <c r="H143" s="44"/>
      <c r="I143" s="44"/>
      <c r="J143" s="44"/>
      <c r="K143" s="44"/>
      <c r="M143" s="53"/>
      <c r="N143" s="73"/>
      <c r="O143" s="4"/>
      <c r="P143" s="808"/>
    </row>
    <row r="144" spans="1:17" s="50" customFormat="1" ht="24.6" customHeight="1">
      <c r="A144" s="1611"/>
      <c r="B144" s="1612"/>
      <c r="C144" s="1612"/>
      <c r="D144" s="1612"/>
      <c r="E144" s="1612"/>
      <c r="F144" s="1612"/>
      <c r="G144" s="1612"/>
      <c r="H144" s="1612"/>
      <c r="I144" s="1612"/>
      <c r="J144" s="1612"/>
      <c r="K144" s="1612"/>
      <c r="L144" s="1612"/>
      <c r="M144" s="1612"/>
      <c r="N144" s="1612"/>
      <c r="O144" s="1612"/>
      <c r="P144" s="1613"/>
      <c r="Q144" s="614" t="s">
        <v>1677</v>
      </c>
    </row>
    <row r="145" spans="1:18" s="50" customFormat="1" ht="11.25" customHeight="1">
      <c r="A145" s="49"/>
      <c r="B145" s="103" t="s">
        <v>2571</v>
      </c>
      <c r="C145" s="49"/>
      <c r="D145" s="103"/>
      <c r="E145" s="809"/>
      <c r="F145" s="809"/>
      <c r="G145" s="809"/>
      <c r="H145" s="809"/>
      <c r="I145" s="809"/>
      <c r="J145" s="809"/>
      <c r="K145" s="809"/>
      <c r="L145" s="809"/>
      <c r="M145" s="809"/>
      <c r="N145" s="90"/>
      <c r="O145" s="85"/>
      <c r="P145" s="2"/>
      <c r="Q145" s="570"/>
    </row>
    <row r="146" spans="1:18" s="50" customFormat="1" ht="40.5" customHeight="1">
      <c r="A146" s="1048"/>
      <c r="B146" s="1049"/>
      <c r="C146" s="1049"/>
      <c r="D146" s="1049"/>
      <c r="E146" s="1049"/>
      <c r="F146" s="1049"/>
      <c r="G146" s="1049"/>
      <c r="H146" s="1049"/>
      <c r="I146" s="1049"/>
      <c r="J146" s="1049"/>
      <c r="K146" s="1049"/>
      <c r="L146" s="1049"/>
      <c r="M146" s="1049"/>
      <c r="N146" s="1049"/>
      <c r="O146" s="1049"/>
      <c r="P146" s="1050"/>
      <c r="Q146" s="614" t="s">
        <v>1677</v>
      </c>
    </row>
    <row r="147" spans="1:18" ht="3" customHeight="1">
      <c r="B147" s="142"/>
      <c r="C147" s="142"/>
      <c r="D147" s="142"/>
      <c r="E147" s="142"/>
    </row>
    <row r="148" spans="1:18" s="50" customFormat="1" ht="12" customHeight="1">
      <c r="A148" s="189" t="s">
        <v>238</v>
      </c>
      <c r="B148" s="127" t="s">
        <v>2959</v>
      </c>
      <c r="C148" s="63"/>
      <c r="D148" s="141"/>
      <c r="E148" s="141"/>
      <c r="F148" s="48"/>
      <c r="H148" s="47"/>
      <c r="J148" s="72" t="s">
        <v>434</v>
      </c>
      <c r="K148" s="55"/>
      <c r="M148" s="2">
        <v>1</v>
      </c>
      <c r="N148" s="7"/>
      <c r="O148" s="92">
        <f>MIN($M148,SUM(O149:O150))</f>
        <v>1</v>
      </c>
      <c r="P148" s="92">
        <f>MIN($M148,SUM(P149:P150))</f>
        <v>0</v>
      </c>
      <c r="Q148" s="130" t="s">
        <v>566</v>
      </c>
    </row>
    <row r="149" spans="1:18" s="123" customFormat="1" ht="12" customHeight="1">
      <c r="A149" s="171" t="s">
        <v>2694</v>
      </c>
      <c r="B149" s="213" t="s">
        <v>2960</v>
      </c>
      <c r="D149" s="72"/>
      <c r="E149" s="72"/>
      <c r="F149" s="51"/>
      <c r="G149" s="31"/>
      <c r="K149" s="654" t="s">
        <v>3593</v>
      </c>
      <c r="L149" s="1607" t="s">
        <v>4073</v>
      </c>
      <c r="M149" s="8">
        <v>1</v>
      </c>
      <c r="N149" s="654" t="s">
        <v>2694</v>
      </c>
      <c r="O149" s="1711">
        <v>1</v>
      </c>
      <c r="P149" s="84"/>
      <c r="Q149" s="507"/>
      <c r="R149" s="490" t="str">
        <f>IF(OR($O149=$M149,$O149=0,$O149=""),"","* * Check Score! * *")</f>
        <v/>
      </c>
    </row>
    <row r="150" spans="1:18" s="50" customFormat="1" ht="12" customHeight="1">
      <c r="A150" s="171" t="s">
        <v>2697</v>
      </c>
      <c r="B150" s="213" t="s">
        <v>2961</v>
      </c>
      <c r="D150" s="68"/>
      <c r="H150" s="669" t="s">
        <v>3572</v>
      </c>
      <c r="K150" s="61"/>
      <c r="L150" s="1607" t="s">
        <v>4074</v>
      </c>
      <c r="M150" s="8">
        <v>1</v>
      </c>
      <c r="N150" s="654" t="s">
        <v>2697</v>
      </c>
      <c r="O150" s="1711">
        <v>0</v>
      </c>
      <c r="P150" s="84"/>
      <c r="Q150" s="507"/>
      <c r="R150" s="490" t="str">
        <f>IF(OR($O150=$M150,$O150=0,$O150=""),"","* * Check Score! * *")</f>
        <v/>
      </c>
    </row>
    <row r="151" spans="1:18" s="50" customFormat="1" ht="11.25" customHeight="1">
      <c r="A151" s="49"/>
      <c r="B151" s="56" t="s">
        <v>281</v>
      </c>
      <c r="C151" s="49"/>
      <c r="D151" s="55"/>
      <c r="E151" s="55"/>
      <c r="F151" s="55"/>
      <c r="G151" s="55"/>
      <c r="H151" s="44"/>
      <c r="I151" s="44"/>
      <c r="J151" s="44"/>
      <c r="K151" s="44"/>
      <c r="M151" s="53"/>
      <c r="N151" s="73"/>
      <c r="O151" s="4"/>
      <c r="P151" s="808"/>
    </row>
    <row r="152" spans="1:18" s="50" customFormat="1" ht="12.6" customHeight="1">
      <c r="A152" s="1611"/>
      <c r="B152" s="1612"/>
      <c r="C152" s="1612"/>
      <c r="D152" s="1612"/>
      <c r="E152" s="1612"/>
      <c r="F152" s="1612"/>
      <c r="G152" s="1612"/>
      <c r="H152" s="1612"/>
      <c r="I152" s="1612"/>
      <c r="J152" s="1612"/>
      <c r="K152" s="1612"/>
      <c r="L152" s="1612"/>
      <c r="M152" s="1612"/>
      <c r="N152" s="1612"/>
      <c r="O152" s="1612"/>
      <c r="P152" s="1613"/>
      <c r="Q152" s="614" t="s">
        <v>1677</v>
      </c>
    </row>
    <row r="153" spans="1:18" s="50" customFormat="1" ht="11.25" customHeight="1">
      <c r="A153" s="49"/>
      <c r="B153" s="103" t="s">
        <v>2571</v>
      </c>
      <c r="C153" s="119"/>
      <c r="D153" s="103"/>
      <c r="E153" s="120"/>
      <c r="F153" s="809"/>
      <c r="G153" s="809"/>
      <c r="H153" s="809"/>
      <c r="I153" s="809"/>
      <c r="J153" s="809"/>
      <c r="K153" s="809"/>
      <c r="L153" s="809"/>
      <c r="M153" s="809"/>
      <c r="N153" s="90"/>
      <c r="O153" s="85"/>
      <c r="P153" s="2"/>
      <c r="Q153" s="570"/>
    </row>
    <row r="154" spans="1:18" s="50" customFormat="1" ht="12.6" customHeight="1">
      <c r="A154" s="1048"/>
      <c r="B154" s="1049"/>
      <c r="C154" s="1049"/>
      <c r="D154" s="1049"/>
      <c r="E154" s="1049"/>
      <c r="F154" s="1049"/>
      <c r="G154" s="1049"/>
      <c r="H154" s="1049"/>
      <c r="I154" s="1049"/>
      <c r="J154" s="1049"/>
      <c r="K154" s="1049"/>
      <c r="L154" s="1049"/>
      <c r="M154" s="1049"/>
      <c r="N154" s="1049"/>
      <c r="O154" s="1049"/>
      <c r="P154" s="1050"/>
      <c r="Q154" s="614" t="s">
        <v>1677</v>
      </c>
    </row>
    <row r="155" spans="1:18" s="50" customFormat="1" ht="3" customHeight="1">
      <c r="A155" s="49"/>
      <c r="B155" s="49"/>
      <c r="C155" s="809"/>
      <c r="D155" s="809"/>
      <c r="E155" s="809"/>
      <c r="F155" s="809"/>
      <c r="G155" s="809"/>
      <c r="H155" s="809"/>
      <c r="I155" s="809"/>
      <c r="J155" s="809"/>
      <c r="K155" s="809"/>
      <c r="L155" s="809"/>
      <c r="M155" s="809"/>
      <c r="N155" s="90"/>
      <c r="O155" s="85"/>
      <c r="P155" s="674"/>
    </row>
    <row r="156" spans="1:18" s="50" customFormat="1" ht="15">
      <c r="A156" s="190" t="s">
        <v>239</v>
      </c>
      <c r="B156" s="134" t="s">
        <v>3557</v>
      </c>
      <c r="C156" s="105"/>
      <c r="D156" s="69"/>
      <c r="E156" s="61"/>
      <c r="J156" s="72"/>
      <c r="K156" s="611" t="s">
        <v>3577</v>
      </c>
      <c r="L156" s="652" t="str">
        <f>'Part I-Project Information'!$H$81</f>
        <v>Yes</v>
      </c>
      <c r="M156" s="2">
        <v>3</v>
      </c>
      <c r="N156" s="7"/>
      <c r="O156" s="7"/>
      <c r="P156" s="84"/>
      <c r="Q156" s="130" t="s">
        <v>566</v>
      </c>
    </row>
    <row r="157" spans="1:18" s="50" customFormat="1" ht="12" customHeight="1">
      <c r="A157" s="171"/>
      <c r="B157" s="64" t="s">
        <v>3085</v>
      </c>
      <c r="D157" s="40"/>
      <c r="N157" s="654"/>
      <c r="O157" s="1607" t="s">
        <v>4073</v>
      </c>
      <c r="P157" s="210"/>
      <c r="R157" s="490"/>
    </row>
    <row r="158" spans="1:18" s="50" customFormat="1" ht="12" customHeight="1">
      <c r="A158" s="171"/>
      <c r="B158" s="64" t="s">
        <v>3585</v>
      </c>
      <c r="D158" s="40"/>
      <c r="N158" s="654"/>
      <c r="O158" s="1607" t="s">
        <v>4073</v>
      </c>
      <c r="P158" s="210"/>
      <c r="R158" s="490"/>
    </row>
    <row r="159" spans="1:18" s="50" customFormat="1" ht="12" customHeight="1">
      <c r="A159" s="49"/>
      <c r="B159" s="56" t="s">
        <v>281</v>
      </c>
      <c r="C159" s="49"/>
      <c r="D159" s="55"/>
      <c r="E159" s="55"/>
      <c r="F159" s="55"/>
      <c r="G159" s="55"/>
      <c r="H159" s="44"/>
      <c r="I159" s="44"/>
      <c r="J159" s="44"/>
      <c r="K159" s="44"/>
      <c r="M159" s="53"/>
      <c r="N159" s="73"/>
      <c r="O159" s="4"/>
      <c r="P159" s="808"/>
    </row>
    <row r="160" spans="1:18" s="50" customFormat="1" ht="30.75" customHeight="1">
      <c r="A160" s="1611" t="s">
        <v>4200</v>
      </c>
      <c r="B160" s="1612"/>
      <c r="C160" s="1612"/>
      <c r="D160" s="1612"/>
      <c r="E160" s="1612"/>
      <c r="F160" s="1612"/>
      <c r="G160" s="1612"/>
      <c r="H160" s="1612"/>
      <c r="I160" s="1612"/>
      <c r="J160" s="1612"/>
      <c r="K160" s="1612"/>
      <c r="L160" s="1612"/>
      <c r="M160" s="1612"/>
      <c r="N160" s="1612"/>
      <c r="O160" s="1612"/>
      <c r="P160" s="1613"/>
      <c r="Q160" s="614" t="s">
        <v>1677</v>
      </c>
    </row>
    <row r="161" spans="1:18" s="50" customFormat="1" ht="12" customHeight="1">
      <c r="B161" s="103" t="s">
        <v>2571</v>
      </c>
      <c r="C161" s="119"/>
      <c r="D161" s="103"/>
      <c r="E161" s="120"/>
      <c r="F161" s="809"/>
      <c r="G161" s="809"/>
      <c r="H161" s="809"/>
      <c r="I161" s="809"/>
      <c r="J161" s="809"/>
      <c r="K161" s="809"/>
      <c r="L161" s="809"/>
      <c r="M161" s="809"/>
      <c r="N161" s="90"/>
      <c r="O161" s="85"/>
      <c r="P161" s="2"/>
      <c r="Q161" s="570"/>
    </row>
    <row r="162" spans="1:18" s="50" customFormat="1" ht="12.75" customHeight="1">
      <c r="A162" s="1048"/>
      <c r="B162" s="1049"/>
      <c r="C162" s="1049"/>
      <c r="D162" s="1049"/>
      <c r="E162" s="1049"/>
      <c r="F162" s="1049"/>
      <c r="G162" s="1049"/>
      <c r="H162" s="1049"/>
      <c r="I162" s="1049"/>
      <c r="J162" s="1049"/>
      <c r="K162" s="1049"/>
      <c r="L162" s="1049"/>
      <c r="M162" s="1049"/>
      <c r="N162" s="1049"/>
      <c r="O162" s="1049"/>
      <c r="P162" s="1050"/>
      <c r="Q162" s="614" t="s">
        <v>1677</v>
      </c>
    </row>
    <row r="163" spans="1:18" ht="12" customHeight="1"/>
    <row r="164" spans="1:18" s="74" customFormat="1" ht="12.6" customHeight="1">
      <c r="A164" s="190" t="s">
        <v>257</v>
      </c>
      <c r="B164" s="126" t="s">
        <v>872</v>
      </c>
      <c r="D164" s="234" t="s">
        <v>3586</v>
      </c>
      <c r="G164" s="141"/>
      <c r="H164" s="551"/>
      <c r="I164" s="653">
        <f>'Part VI-Revenues &amp; Expenses'!$M$62</f>
        <v>80</v>
      </c>
      <c r="J164" s="772" t="s">
        <v>2489</v>
      </c>
      <c r="K164" s="775">
        <f>'Part VI-Revenues &amp; Expenses'!$M$74/'Part VI-Revenues &amp; Expenses'!$M$62</f>
        <v>1</v>
      </c>
      <c r="L164" s="772" t="s">
        <v>4061</v>
      </c>
      <c r="M164" s="2">
        <v>3</v>
      </c>
      <c r="N164" s="517" t="str">
        <f>IF(OR($O164=$M164,$O164=0,$O164=""),"","***")</f>
        <v/>
      </c>
      <c r="O164" s="1711">
        <v>0</v>
      </c>
      <c r="P164" s="84"/>
      <c r="Q164" s="130" t="s">
        <v>566</v>
      </c>
      <c r="R164" s="31"/>
    </row>
    <row r="165" spans="1:18" s="74" customFormat="1" ht="25.15" customHeight="1">
      <c r="A165" s="189"/>
      <c r="B165" s="1027" t="s">
        <v>3660</v>
      </c>
      <c r="C165" s="1121"/>
      <c r="D165" s="1121"/>
      <c r="E165" s="1121"/>
      <c r="F165" s="1121"/>
      <c r="G165" s="1121"/>
      <c r="H165" s="1121"/>
      <c r="I165" s="1121"/>
      <c r="J165" s="1121"/>
      <c r="K165" s="1121"/>
      <c r="L165" s="1121"/>
      <c r="M165" s="1121"/>
      <c r="N165" s="2"/>
      <c r="O165" s="2"/>
      <c r="P165" s="2"/>
      <c r="Q165" s="130"/>
      <c r="R165" s="490"/>
    </row>
    <row r="166" spans="1:18" s="50" customFormat="1" ht="13.9" customHeight="1">
      <c r="A166" s="49"/>
      <c r="B166" s="56" t="s">
        <v>281</v>
      </c>
      <c r="C166" s="49"/>
      <c r="D166" s="55"/>
      <c r="E166" s="55"/>
      <c r="F166" s="55"/>
      <c r="G166" s="55"/>
      <c r="H166" s="44"/>
      <c r="I166" s="44"/>
      <c r="J166" s="103" t="s">
        <v>2571</v>
      </c>
      <c r="M166" s="53"/>
      <c r="N166" s="73"/>
      <c r="O166" s="4"/>
      <c r="P166" s="808"/>
    </row>
    <row r="167" spans="1:18" s="50" customFormat="1" ht="12" customHeight="1">
      <c r="A167" s="1611"/>
      <c r="B167" s="1612"/>
      <c r="C167" s="1612"/>
      <c r="D167" s="1612"/>
      <c r="E167" s="1612"/>
      <c r="F167" s="1612"/>
      <c r="G167" s="1612"/>
      <c r="H167" s="1612"/>
      <c r="I167" s="1613"/>
      <c r="J167" s="1048"/>
      <c r="K167" s="1049"/>
      <c r="L167" s="1049"/>
      <c r="M167" s="1049"/>
      <c r="N167" s="1049"/>
      <c r="O167" s="1049"/>
      <c r="P167" s="1050"/>
      <c r="Q167" s="614" t="s">
        <v>1677</v>
      </c>
    </row>
    <row r="168" spans="1:18" s="50" customFormat="1" ht="12" customHeight="1">
      <c r="A168" s="49"/>
      <c r="C168" s="809"/>
      <c r="D168" s="809"/>
      <c r="E168" s="809"/>
      <c r="F168" s="809"/>
      <c r="G168" s="809"/>
      <c r="H168" s="809"/>
      <c r="I168" s="809"/>
      <c r="J168" s="809"/>
      <c r="K168" s="809"/>
      <c r="L168" s="809"/>
      <c r="M168" s="809"/>
      <c r="N168" s="90"/>
      <c r="O168" s="85"/>
      <c r="P168" s="674"/>
    </row>
    <row r="169" spans="1:18" s="50" customFormat="1" ht="13.5" customHeight="1">
      <c r="A169" s="189" t="s">
        <v>258</v>
      </c>
      <c r="B169" s="135" t="s">
        <v>2356</v>
      </c>
      <c r="D169" s="106"/>
      <c r="E169" s="106"/>
      <c r="F169" s="61"/>
      <c r="G169" s="61"/>
      <c r="H169" s="61"/>
      <c r="I169" s="61"/>
      <c r="J169" s="63"/>
      <c r="K169" s="71"/>
      <c r="L169" s="490" t="str">
        <f>IF(OR($O169=$M169,$O169=0,$O169=""),"","* * Check Score! * *")</f>
        <v/>
      </c>
      <c r="M169" s="674">
        <v>1</v>
      </c>
      <c r="N169" s="517" t="str">
        <f>IF(OR($O169=$M169,$O169=0,$O169=""),"","***")</f>
        <v/>
      </c>
      <c r="O169" s="1711">
        <v>0</v>
      </c>
      <c r="P169" s="84"/>
      <c r="Q169" s="130" t="s">
        <v>566</v>
      </c>
    </row>
    <row r="170" spans="1:18" s="50" customFormat="1" ht="12.6" customHeight="1">
      <c r="B170" s="136" t="s">
        <v>2546</v>
      </c>
      <c r="D170" s="123"/>
      <c r="E170" s="1746" t="s">
        <v>2479</v>
      </c>
      <c r="F170" s="1747"/>
      <c r="G170" s="1748"/>
      <c r="H170" s="1749"/>
      <c r="I170" s="60" t="s">
        <v>2545</v>
      </c>
      <c r="O170" s="144" t="s">
        <v>3296</v>
      </c>
      <c r="P170" s="144" t="s">
        <v>3296</v>
      </c>
    </row>
    <row r="171" spans="1:18" s="121" customFormat="1" ht="11.45" customHeight="1">
      <c r="A171" s="171" t="s">
        <v>2694</v>
      </c>
      <c r="B171" s="143" t="s">
        <v>2358</v>
      </c>
      <c r="D171" s="143"/>
      <c r="E171" s="143"/>
      <c r="F171" s="143"/>
      <c r="G171" s="1750" t="s">
        <v>3308</v>
      </c>
      <c r="H171" s="1751"/>
      <c r="I171" s="1752"/>
      <c r="J171" s="1750" t="s">
        <v>1607</v>
      </c>
      <c r="K171" s="1751"/>
      <c r="L171" s="1752"/>
      <c r="N171" s="654" t="s">
        <v>2694</v>
      </c>
      <c r="O171" s="1607" t="s">
        <v>1960</v>
      </c>
      <c r="P171" s="210"/>
    </row>
    <row r="172" spans="1:18" s="121" customFormat="1" ht="11.45" customHeight="1">
      <c r="A172" s="171" t="s">
        <v>2697</v>
      </c>
      <c r="B172" s="143" t="s">
        <v>435</v>
      </c>
      <c r="D172" s="143"/>
      <c r="E172" s="143"/>
      <c r="F172" s="143"/>
      <c r="G172" s="143"/>
      <c r="L172" s="143"/>
      <c r="M172" s="143"/>
      <c r="N172" s="654" t="s">
        <v>2697</v>
      </c>
      <c r="O172" s="1607" t="s">
        <v>1960</v>
      </c>
      <c r="P172" s="210"/>
    </row>
    <row r="173" spans="1:18" s="121" customFormat="1" ht="11.45" customHeight="1">
      <c r="A173" s="171" t="s">
        <v>1054</v>
      </c>
      <c r="B173" s="143" t="s">
        <v>2318</v>
      </c>
      <c r="D173" s="143"/>
      <c r="E173" s="143"/>
      <c r="F173" s="143"/>
      <c r="G173" s="143"/>
      <c r="H173" s="143"/>
      <c r="L173" s="143"/>
      <c r="M173" s="143"/>
      <c r="N173" s="654" t="s">
        <v>1054</v>
      </c>
      <c r="O173" s="1607" t="s">
        <v>1960</v>
      </c>
      <c r="P173" s="210"/>
    </row>
    <row r="174" spans="1:18" s="121" customFormat="1" ht="11.45" customHeight="1">
      <c r="A174" s="171" t="s">
        <v>2830</v>
      </c>
      <c r="B174" s="166" t="s">
        <v>3530</v>
      </c>
      <c r="D174" s="143"/>
      <c r="E174" s="143"/>
      <c r="F174" s="143"/>
      <c r="G174" s="143"/>
      <c r="H174" s="143"/>
      <c r="I174" s="143"/>
      <c r="J174" s="143"/>
      <c r="K174" s="143"/>
      <c r="L174" s="143"/>
      <c r="M174" s="143"/>
      <c r="N174" s="654" t="s">
        <v>2830</v>
      </c>
      <c r="O174" s="1607" t="s">
        <v>1960</v>
      </c>
      <c r="P174" s="210"/>
    </row>
    <row r="175" spans="1:18" s="50" customFormat="1" ht="11.25" customHeight="1">
      <c r="A175" s="49"/>
      <c r="B175" s="56" t="s">
        <v>281</v>
      </c>
      <c r="C175" s="49"/>
      <c r="D175" s="55"/>
      <c r="E175" s="55"/>
      <c r="F175" s="55"/>
      <c r="G175" s="55"/>
      <c r="H175" s="44"/>
      <c r="I175" s="44"/>
      <c r="J175" s="44"/>
      <c r="K175" s="44"/>
      <c r="M175" s="53"/>
      <c r="N175" s="73"/>
      <c r="O175" s="4"/>
      <c r="P175" s="808"/>
    </row>
    <row r="176" spans="1:18" s="50" customFormat="1" ht="12.75" customHeight="1">
      <c r="A176" s="1611"/>
      <c r="B176" s="1612"/>
      <c r="C176" s="1612"/>
      <c r="D176" s="1612"/>
      <c r="E176" s="1612"/>
      <c r="F176" s="1612"/>
      <c r="G176" s="1612"/>
      <c r="H176" s="1612"/>
      <c r="I176" s="1612"/>
      <c r="J176" s="1612"/>
      <c r="K176" s="1612"/>
      <c r="L176" s="1612"/>
      <c r="M176" s="1612"/>
      <c r="N176" s="1612"/>
      <c r="O176" s="1612"/>
      <c r="P176" s="1613"/>
      <c r="Q176" s="614" t="s">
        <v>1677</v>
      </c>
    </row>
    <row r="177" spans="1:18" s="50" customFormat="1" ht="11.25" customHeight="1">
      <c r="A177" s="49"/>
      <c r="B177" s="103" t="s">
        <v>2571</v>
      </c>
      <c r="C177" s="119"/>
      <c r="D177" s="103"/>
      <c r="E177" s="120"/>
      <c r="F177" s="809"/>
      <c r="G177" s="809"/>
      <c r="H177" s="809"/>
      <c r="I177" s="809"/>
      <c r="J177" s="809"/>
      <c r="K177" s="809"/>
      <c r="L177" s="809"/>
      <c r="M177" s="809"/>
      <c r="N177" s="90"/>
      <c r="O177" s="85"/>
      <c r="P177" s="2"/>
      <c r="Q177" s="570"/>
    </row>
    <row r="178" spans="1:18" s="50" customFormat="1" ht="12.75" customHeight="1">
      <c r="A178" s="1048"/>
      <c r="B178" s="1049"/>
      <c r="C178" s="1049"/>
      <c r="D178" s="1049"/>
      <c r="E178" s="1049"/>
      <c r="F178" s="1049"/>
      <c r="G178" s="1049"/>
      <c r="H178" s="1049"/>
      <c r="I178" s="1049"/>
      <c r="J178" s="1049"/>
      <c r="K178" s="1049"/>
      <c r="L178" s="1049"/>
      <c r="M178" s="1049"/>
      <c r="N178" s="1049"/>
      <c r="O178" s="1049"/>
      <c r="P178" s="1050"/>
      <c r="Q178" s="614" t="s">
        <v>1677</v>
      </c>
    </row>
    <row r="179" spans="1:18" ht="12" customHeight="1"/>
    <row r="180" spans="1:18" s="50" customFormat="1" ht="15">
      <c r="A180" s="189" t="s">
        <v>1842</v>
      </c>
      <c r="B180" s="135" t="s">
        <v>2547</v>
      </c>
      <c r="D180" s="106"/>
      <c r="E180" s="106"/>
      <c r="F180" s="61"/>
      <c r="G180" s="61"/>
      <c r="H180" s="61"/>
      <c r="I180" s="61"/>
      <c r="J180" s="63"/>
      <c r="K180" s="71"/>
      <c r="L180" s="67" t="str">
        <f>IF(M180&gt;14,"Over limit!","")</f>
        <v/>
      </c>
      <c r="M180" s="4">
        <v>7</v>
      </c>
      <c r="N180" s="7"/>
      <c r="O180" s="76">
        <f ca="1">O188+O208+O211</f>
        <v>5</v>
      </c>
      <c r="P180" s="76">
        <f ca="1">P188+P208+P211</f>
        <v>0</v>
      </c>
      <c r="Q180" s="130" t="s">
        <v>566</v>
      </c>
    </row>
    <row r="181" spans="1:18" s="50" customFormat="1" ht="12.75" customHeight="1">
      <c r="A181" s="49"/>
      <c r="B181" s="136" t="s">
        <v>3545</v>
      </c>
      <c r="E181" s="106"/>
      <c r="F181" s="61"/>
      <c r="G181" s="61"/>
      <c r="H181" s="61"/>
      <c r="I181" s="61"/>
      <c r="J181" s="63"/>
      <c r="K181" s="71"/>
      <c r="L181" s="67"/>
      <c r="O181" s="144" t="s">
        <v>3296</v>
      </c>
      <c r="P181" s="144" t="s">
        <v>3296</v>
      </c>
    </row>
    <row r="182" spans="1:18" s="121" customFormat="1" ht="11.25" customHeight="1">
      <c r="B182" s="596" t="s">
        <v>2698</v>
      </c>
      <c r="C182" s="121" t="s">
        <v>737</v>
      </c>
      <c r="E182" s="106"/>
      <c r="F182" s="61"/>
      <c r="G182" s="61"/>
      <c r="H182" s="61"/>
      <c r="I182" s="61"/>
      <c r="J182" s="63"/>
      <c r="K182" s="71"/>
      <c r="L182" s="67" t="str">
        <f>IF(M182&gt;14,"Over limit!","")</f>
        <v/>
      </c>
      <c r="N182" s="225" t="s">
        <v>2698</v>
      </c>
      <c r="O182" s="1665" t="s">
        <v>4073</v>
      </c>
      <c r="P182" s="324"/>
    </row>
    <row r="183" spans="1:18" s="121" customFormat="1" ht="11.25" customHeight="1">
      <c r="B183" s="596" t="s">
        <v>2700</v>
      </c>
      <c r="C183" s="121" t="s">
        <v>738</v>
      </c>
      <c r="N183" s="225" t="s">
        <v>2700</v>
      </c>
      <c r="O183" s="1666" t="s">
        <v>4073</v>
      </c>
      <c r="P183" s="473"/>
    </row>
    <row r="184" spans="1:18" s="121" customFormat="1" ht="11.25" customHeight="1">
      <c r="B184" s="596" t="s">
        <v>3322</v>
      </c>
      <c r="C184" s="121" t="s">
        <v>739</v>
      </c>
      <c r="N184" s="225" t="s">
        <v>3322</v>
      </c>
      <c r="O184" s="1666" t="s">
        <v>4073</v>
      </c>
      <c r="P184" s="473"/>
    </row>
    <row r="185" spans="1:18" s="121" customFormat="1" ht="11.25" customHeight="1">
      <c r="B185" s="596" t="s">
        <v>1645</v>
      </c>
      <c r="C185" s="121" t="s">
        <v>740</v>
      </c>
      <c r="N185" s="225" t="s">
        <v>1645</v>
      </c>
      <c r="O185" s="1666" t="s">
        <v>4073</v>
      </c>
      <c r="P185" s="473"/>
    </row>
    <row r="186" spans="1:18" s="121" customFormat="1" ht="11.25" customHeight="1">
      <c r="B186" s="596" t="s">
        <v>1646</v>
      </c>
      <c r="C186" s="121" t="s">
        <v>748</v>
      </c>
      <c r="N186" s="225" t="s">
        <v>1646</v>
      </c>
      <c r="O186" s="1667" t="s">
        <v>4073</v>
      </c>
      <c r="P186" s="325"/>
    </row>
    <row r="187" spans="1:18" s="121" customFormat="1" ht="6" customHeight="1">
      <c r="B187" s="596"/>
    </row>
    <row r="188" spans="1:18" s="50" customFormat="1" ht="11.25" customHeight="1">
      <c r="A188" s="171" t="s">
        <v>2694</v>
      </c>
      <c r="B188" s="231" t="s">
        <v>2548</v>
      </c>
      <c r="D188" s="813"/>
      <c r="E188" s="813"/>
      <c r="F188" s="40"/>
      <c r="G188" s="123"/>
      <c r="H188" s="123"/>
      <c r="I188" s="123"/>
      <c r="J188" s="813"/>
      <c r="K188" s="123"/>
      <c r="L188" s="40"/>
      <c r="M188" s="577">
        <v>4</v>
      </c>
      <c r="N188" s="654" t="s">
        <v>2694</v>
      </c>
      <c r="O188" s="186">
        <f ca="1">IF($I207&gt;=0.15, 4,IF($I207&gt;=0.1, 3,IF($I207&gt;=0.05, 2,IF($I207&gt;=0.02, 1,0))))</f>
        <v>4</v>
      </c>
      <c r="P188" s="186">
        <f ca="1">IF($L207&gt;=0.15, 4,IF($L207&gt;=0.1, 3,IF($L207&gt;=0.05, 2,IF($L207&gt;=0.02, 1,0))))</f>
        <v>0</v>
      </c>
    </row>
    <row r="189" spans="1:18" ht="12" customHeight="1">
      <c r="B189" s="483" t="s">
        <v>2698</v>
      </c>
      <c r="C189" s="602" t="s">
        <v>3440</v>
      </c>
      <c r="I189" s="1160" t="s">
        <v>2702</v>
      </c>
      <c r="J189" s="1160"/>
      <c r="L189" s="815" t="s">
        <v>2702</v>
      </c>
      <c r="M189" s="196"/>
      <c r="N189" s="225" t="s">
        <v>2698</v>
      </c>
    </row>
    <row r="190" spans="1:18" s="50" customFormat="1" ht="11.25" customHeight="1">
      <c r="A190" s="226"/>
      <c r="B190" s="132"/>
      <c r="C190" s="484" t="s">
        <v>3201</v>
      </c>
      <c r="D190" s="44" t="s">
        <v>1930</v>
      </c>
      <c r="H190" s="64"/>
      <c r="I190" s="1753"/>
      <c r="J190" s="1754"/>
      <c r="K190" s="228"/>
      <c r="L190" s="586"/>
      <c r="M190" s="88"/>
      <c r="N190" s="484" t="s">
        <v>3201</v>
      </c>
      <c r="O190" s="1665" t="s">
        <v>4074</v>
      </c>
      <c r="P190" s="324"/>
      <c r="R190" s="490"/>
    </row>
    <row r="191" spans="1:18" ht="11.25" customHeight="1">
      <c r="A191" s="227"/>
      <c r="B191" s="97"/>
      <c r="C191" s="506" t="s">
        <v>3202</v>
      </c>
      <c r="D191" s="44" t="s">
        <v>1931</v>
      </c>
      <c r="H191" s="64"/>
      <c r="I191" s="1753"/>
      <c r="J191" s="1754"/>
      <c r="L191" s="586"/>
      <c r="M191" s="88"/>
      <c r="N191" s="506" t="s">
        <v>3202</v>
      </c>
      <c r="O191" s="1666" t="s">
        <v>4074</v>
      </c>
      <c r="P191" s="473"/>
      <c r="R191" s="490"/>
    </row>
    <row r="192" spans="1:18" ht="11.25" customHeight="1">
      <c r="B192" s="596"/>
      <c r="C192" s="484" t="s">
        <v>3203</v>
      </c>
      <c r="D192" s="44" t="s">
        <v>3437</v>
      </c>
      <c r="H192" s="64"/>
      <c r="I192" s="1753"/>
      <c r="J192" s="1754"/>
      <c r="L192" s="586"/>
      <c r="M192" s="88"/>
      <c r="N192" s="484" t="s">
        <v>3203</v>
      </c>
      <c r="O192" s="1666" t="s">
        <v>4074</v>
      </c>
      <c r="P192" s="473"/>
      <c r="R192" s="490"/>
    </row>
    <row r="193" spans="1:18" ht="11.25" customHeight="1">
      <c r="A193" s="227"/>
      <c r="B193" s="596"/>
      <c r="C193" s="484" t="s">
        <v>3204</v>
      </c>
      <c r="D193" s="44" t="s">
        <v>3438</v>
      </c>
      <c r="I193" s="1753"/>
      <c r="J193" s="1754"/>
      <c r="L193" s="586"/>
      <c r="M193" s="88"/>
      <c r="N193" s="484" t="s">
        <v>3204</v>
      </c>
      <c r="O193" s="1666" t="s">
        <v>4074</v>
      </c>
      <c r="P193" s="473"/>
      <c r="R193" s="490"/>
    </row>
    <row r="194" spans="1:18" s="50" customFormat="1" ht="11.25" customHeight="1">
      <c r="A194" s="226"/>
      <c r="B194" s="596"/>
      <c r="C194" s="506" t="s">
        <v>3205</v>
      </c>
      <c r="D194" s="44" t="s">
        <v>1932</v>
      </c>
      <c r="H194" s="64"/>
      <c r="I194" s="1753"/>
      <c r="J194" s="1754"/>
      <c r="K194" s="228"/>
      <c r="L194" s="586"/>
      <c r="M194" s="88"/>
      <c r="N194" s="506" t="s">
        <v>3205</v>
      </c>
      <c r="O194" s="1666" t="s">
        <v>4074</v>
      </c>
      <c r="P194" s="473"/>
      <c r="R194" s="490"/>
    </row>
    <row r="195" spans="1:18" ht="11.25" customHeight="1">
      <c r="B195" s="596"/>
      <c r="C195" s="484" t="s">
        <v>3221</v>
      </c>
      <c r="D195" s="44" t="s">
        <v>1933</v>
      </c>
      <c r="H195" s="64"/>
      <c r="I195" s="1753"/>
      <c r="J195" s="1754"/>
      <c r="L195" s="586"/>
      <c r="M195" s="88"/>
      <c r="N195" s="484" t="s">
        <v>3221</v>
      </c>
      <c r="O195" s="1666" t="s">
        <v>4074</v>
      </c>
      <c r="P195" s="473"/>
      <c r="R195" s="490"/>
    </row>
    <row r="196" spans="1:18" ht="11.25" customHeight="1">
      <c r="A196" s="227"/>
      <c r="B196" s="596"/>
      <c r="C196" s="484" t="s">
        <v>3222</v>
      </c>
      <c r="D196" s="44" t="s">
        <v>1934</v>
      </c>
      <c r="H196" s="64"/>
      <c r="I196" s="1753"/>
      <c r="J196" s="1754"/>
      <c r="L196" s="586"/>
      <c r="M196" s="88"/>
      <c r="N196" s="484" t="s">
        <v>3222</v>
      </c>
      <c r="O196" s="1666" t="s">
        <v>4074</v>
      </c>
      <c r="P196" s="473"/>
      <c r="R196" s="490"/>
    </row>
    <row r="197" spans="1:18" ht="11.25" customHeight="1">
      <c r="B197" s="596"/>
      <c r="C197" s="505" t="s">
        <v>3229</v>
      </c>
      <c r="D197" s="44" t="s">
        <v>3700</v>
      </c>
      <c r="H197" s="64"/>
      <c r="I197" s="1753"/>
      <c r="J197" s="1754"/>
      <c r="L197" s="586"/>
      <c r="M197" s="88"/>
      <c r="N197" s="505" t="s">
        <v>3229</v>
      </c>
      <c r="O197" s="1666" t="s">
        <v>4074</v>
      </c>
      <c r="P197" s="473"/>
      <c r="R197" s="490"/>
    </row>
    <row r="198" spans="1:18" ht="11.25" customHeight="1">
      <c r="A198" s="227"/>
      <c r="B198" s="596"/>
      <c r="C198" s="505" t="s">
        <v>3230</v>
      </c>
      <c r="D198" s="44" t="s">
        <v>3701</v>
      </c>
      <c r="H198" s="64"/>
      <c r="I198" s="1753">
        <v>1625000</v>
      </c>
      <c r="J198" s="1754"/>
      <c r="L198" s="586"/>
      <c r="M198" s="88"/>
      <c r="N198" s="505" t="s">
        <v>3230</v>
      </c>
      <c r="O198" s="1666" t="s">
        <v>4073</v>
      </c>
      <c r="P198" s="473"/>
      <c r="R198" s="490"/>
    </row>
    <row r="199" spans="1:18" ht="11.25" customHeight="1">
      <c r="A199" s="227"/>
      <c r="B199" s="596"/>
      <c r="C199" s="505" t="s">
        <v>3231</v>
      </c>
      <c r="D199" s="44" t="s">
        <v>3702</v>
      </c>
      <c r="H199" s="64"/>
      <c r="I199" s="1753"/>
      <c r="J199" s="1754"/>
      <c r="L199" s="586"/>
      <c r="M199" s="88"/>
      <c r="N199" s="505" t="s">
        <v>3231</v>
      </c>
      <c r="O199" s="1666" t="s">
        <v>4074</v>
      </c>
      <c r="P199" s="473"/>
      <c r="R199" s="490"/>
    </row>
    <row r="200" spans="1:18" ht="11.25" customHeight="1">
      <c r="A200" s="227"/>
      <c r="B200" s="596"/>
      <c r="C200" s="505" t="s">
        <v>771</v>
      </c>
      <c r="D200" s="44" t="s">
        <v>3703</v>
      </c>
      <c r="H200" s="64"/>
      <c r="I200" s="1753"/>
      <c r="J200" s="1754"/>
      <c r="L200" s="586"/>
      <c r="M200" s="88"/>
      <c r="N200" s="505" t="s">
        <v>771</v>
      </c>
      <c r="O200" s="1666" t="s">
        <v>4074</v>
      </c>
      <c r="P200" s="473"/>
      <c r="R200" s="490"/>
    </row>
    <row r="201" spans="1:18" ht="11.25" customHeight="1">
      <c r="A201" s="227"/>
      <c r="B201" s="596"/>
      <c r="C201" s="505" t="s">
        <v>3706</v>
      </c>
      <c r="D201" s="44" t="s">
        <v>3704</v>
      </c>
      <c r="H201" s="64"/>
      <c r="I201" s="1753"/>
      <c r="J201" s="1754"/>
      <c r="L201" s="586"/>
      <c r="M201" s="88"/>
      <c r="N201" s="505" t="s">
        <v>3706</v>
      </c>
      <c r="O201" s="1666" t="s">
        <v>4074</v>
      </c>
      <c r="P201" s="473"/>
      <c r="R201" s="490"/>
    </row>
    <row r="202" spans="1:18" ht="11.25" customHeight="1">
      <c r="A202" s="227"/>
      <c r="B202" s="596"/>
      <c r="C202" s="505" t="s">
        <v>3707</v>
      </c>
      <c r="D202" s="44" t="s">
        <v>3705</v>
      </c>
      <c r="H202" s="64"/>
      <c r="I202" s="1753"/>
      <c r="J202" s="1754"/>
      <c r="L202" s="586"/>
      <c r="M202" s="88"/>
      <c r="N202" s="505" t="s">
        <v>3707</v>
      </c>
      <c r="O202" s="1666" t="s">
        <v>4073</v>
      </c>
      <c r="P202" s="473"/>
      <c r="R202" s="490"/>
    </row>
    <row r="203" spans="1:18" ht="11.25" customHeight="1" thickBot="1">
      <c r="A203" s="227"/>
      <c r="B203" s="596"/>
      <c r="C203" s="505" t="s">
        <v>3708</v>
      </c>
      <c r="D203" s="582" t="s">
        <v>3439</v>
      </c>
      <c r="E203" s="583"/>
      <c r="F203" s="583"/>
      <c r="G203" s="583"/>
      <c r="H203" s="584"/>
      <c r="I203" s="1755"/>
      <c r="J203" s="1756"/>
      <c r="L203" s="590"/>
      <c r="M203" s="88"/>
      <c r="N203" s="505" t="s">
        <v>3708</v>
      </c>
      <c r="O203" s="1667" t="s">
        <v>4074</v>
      </c>
      <c r="P203" s="325"/>
      <c r="R203" s="490"/>
    </row>
    <row r="204" spans="1:18" ht="12" customHeight="1" thickBot="1">
      <c r="A204" s="227"/>
      <c r="B204" s="596"/>
      <c r="D204" s="580" t="s">
        <v>3442</v>
      </c>
      <c r="H204" s="64"/>
      <c r="I204" s="1757">
        <f>SUM(I190:J203)</f>
        <v>1625000</v>
      </c>
      <c r="J204" s="1758"/>
      <c r="L204" s="587">
        <f>SUM($L$190:$L$203)</f>
        <v>0</v>
      </c>
      <c r="M204" s="588"/>
      <c r="N204" s="490"/>
      <c r="O204" s="490"/>
      <c r="P204" s="490"/>
      <c r="R204" s="490"/>
    </row>
    <row r="205" spans="1:18" s="50" customFormat="1" ht="3" customHeight="1">
      <c r="A205" s="49"/>
      <c r="B205" s="132"/>
      <c r="D205" s="47"/>
      <c r="E205" s="44"/>
      <c r="F205" s="674"/>
      <c r="G205" s="674"/>
      <c r="H205" s="674"/>
      <c r="I205" s="674"/>
      <c r="J205" s="38"/>
      <c r="K205" s="38"/>
      <c r="L205" s="38"/>
      <c r="M205" s="669"/>
      <c r="N205" s="674"/>
      <c r="O205" s="808"/>
      <c r="P205" s="4"/>
    </row>
    <row r="206" spans="1:18" ht="12" customHeight="1">
      <c r="B206" s="483" t="s">
        <v>2700</v>
      </c>
      <c r="C206" s="602" t="s">
        <v>3441</v>
      </c>
      <c r="D206" s="580" t="s">
        <v>3443</v>
      </c>
      <c r="I206" s="1148">
        <f ca="1">'Part IV-Uses of Funds'!$G$129</f>
        <v>10471562.619867412</v>
      </c>
      <c r="J206" s="1149"/>
      <c r="M206" s="196"/>
      <c r="N206" s="31"/>
      <c r="O206" s="31"/>
      <c r="P206" s="31"/>
    </row>
    <row r="207" spans="1:18" ht="12" customHeight="1">
      <c r="B207" s="225"/>
      <c r="C207" s="579"/>
      <c r="D207" s="600" t="s">
        <v>3444</v>
      </c>
      <c r="G207" s="589"/>
      <c r="H207" s="589"/>
      <c r="I207" s="1153">
        <f ca="1">IF($I206=0,0,$I204/$I206)</f>
        <v>0.1551821880830786</v>
      </c>
      <c r="J207" s="1154"/>
      <c r="L207" s="581">
        <f ca="1">IF($I206=0,0,$L204/$I206)</f>
        <v>0</v>
      </c>
      <c r="M207" s="196"/>
      <c r="N207" s="31"/>
      <c r="O207" s="31"/>
      <c r="P207" s="31"/>
    </row>
    <row r="208" spans="1:18" s="50" customFormat="1" ht="12.75" customHeight="1">
      <c r="A208" s="171" t="s">
        <v>2697</v>
      </c>
      <c r="B208" s="231" t="s">
        <v>3573</v>
      </c>
      <c r="D208" s="47"/>
      <c r="E208" s="44"/>
      <c r="F208" s="674"/>
      <c r="H208" s="44"/>
      <c r="I208" s="674"/>
      <c r="J208" s="38"/>
      <c r="K208" s="38"/>
      <c r="L208" s="38"/>
      <c r="M208" s="88">
        <v>1</v>
      </c>
      <c r="N208" s="654" t="s">
        <v>2697</v>
      </c>
      <c r="O208" s="1607">
        <v>1</v>
      </c>
      <c r="P208" s="84"/>
      <c r="Q208" s="507" t="s">
        <v>3631</v>
      </c>
    </row>
    <row r="209" spans="1:18" s="50" customFormat="1" ht="11.25" customHeight="1">
      <c r="A209" s="171"/>
      <c r="B209" s="1027" t="s">
        <v>3709</v>
      </c>
      <c r="C209" s="1027"/>
      <c r="D209" s="1027"/>
      <c r="E209" s="1027"/>
      <c r="F209" s="1027"/>
      <c r="G209" s="1027"/>
      <c r="H209" s="1027"/>
      <c r="I209" s="1027"/>
      <c r="J209" s="1027"/>
      <c r="K209" s="1027"/>
      <c r="L209" s="1027"/>
    </row>
    <row r="210" spans="1:18" s="50" customFormat="1" ht="11.25" customHeight="1">
      <c r="A210" s="171"/>
      <c r="B210" s="1027"/>
      <c r="C210" s="1027"/>
      <c r="D210" s="1027"/>
      <c r="E210" s="1027"/>
      <c r="F210" s="1027"/>
      <c r="G210" s="1027"/>
      <c r="H210" s="1027"/>
      <c r="I210" s="1027"/>
      <c r="J210" s="1027"/>
      <c r="K210" s="1027"/>
      <c r="L210" s="1027"/>
      <c r="M210" s="38"/>
      <c r="N210" s="38"/>
      <c r="O210" s="38"/>
      <c r="P210" s="38"/>
    </row>
    <row r="211" spans="1:18" s="50" customFormat="1" ht="12.75" customHeight="1">
      <c r="A211" s="171" t="s">
        <v>1054</v>
      </c>
      <c r="B211" s="231" t="s">
        <v>825</v>
      </c>
      <c r="D211" s="47"/>
      <c r="E211" s="44"/>
      <c r="F211" s="674"/>
      <c r="G211" s="674"/>
      <c r="H211" s="674"/>
      <c r="I211" s="674"/>
      <c r="J211" s="38"/>
      <c r="K211" s="38"/>
      <c r="L211" s="38"/>
      <c r="M211" s="577">
        <v>2</v>
      </c>
      <c r="N211" s="654" t="s">
        <v>1054</v>
      </c>
      <c r="O211" s="186">
        <f>IF($K214&gt;=0.1, 2,IF($K214&gt;=0.05, 1,0))</f>
        <v>0</v>
      </c>
      <c r="P211" s="186">
        <f>IF($M214&gt;=0.1, 2,IF($M214&gt;=0.05, 1,0))</f>
        <v>0</v>
      </c>
      <c r="R211" s="490" t="str">
        <f>IF(OR($O211=$M211,$O211=0,$O211=""),"","* * Check Score! * *")</f>
        <v/>
      </c>
    </row>
    <row r="212" spans="1:18" s="50" customFormat="1" ht="12.6" customHeight="1">
      <c r="A212" s="226"/>
      <c r="B212" s="44" t="s">
        <v>826</v>
      </c>
      <c r="E212" s="1759"/>
      <c r="F212" s="1760"/>
      <c r="G212" s="1760"/>
      <c r="H212" s="1761"/>
      <c r="K212" s="228"/>
      <c r="M212" s="7"/>
      <c r="N212" s="7"/>
      <c r="O212" s="7"/>
      <c r="P212" s="7"/>
    </row>
    <row r="213" spans="1:18" ht="12" customHeight="1">
      <c r="A213" s="227"/>
      <c r="B213" s="510" t="s">
        <v>3109</v>
      </c>
      <c r="D213" s="511"/>
      <c r="E213" s="1762"/>
      <c r="F213" s="1763"/>
      <c r="G213" s="1763"/>
      <c r="H213" s="1763"/>
      <c r="I213" s="1763"/>
      <c r="J213" s="1763"/>
      <c r="K213" s="1763"/>
      <c r="L213" s="1763"/>
      <c r="M213" s="1763"/>
      <c r="N213" s="1763"/>
      <c r="O213" s="1763"/>
      <c r="P213" s="1319"/>
    </row>
    <row r="214" spans="1:18" ht="12.6" customHeight="1">
      <c r="B214" s="44" t="s">
        <v>3546</v>
      </c>
      <c r="E214" s="585"/>
      <c r="I214" s="1764"/>
      <c r="J214" s="1765"/>
      <c r="K214" s="581">
        <f>IF($I214=0,0,$I214/$I206)</f>
        <v>0</v>
      </c>
      <c r="L214" s="586"/>
      <c r="M214" s="1158">
        <f>IF($L214=0,0,$L214/$I206)</f>
        <v>0</v>
      </c>
      <c r="N214" s="1159"/>
      <c r="O214" s="111"/>
      <c r="P214" s="111"/>
    </row>
    <row r="215" spans="1:18" s="50" customFormat="1" ht="11.25" customHeight="1">
      <c r="A215" s="49"/>
      <c r="B215" s="56" t="s">
        <v>281</v>
      </c>
      <c r="C215" s="49"/>
      <c r="D215" s="55"/>
      <c r="E215" s="55"/>
      <c r="F215" s="55"/>
      <c r="G215" s="55"/>
      <c r="H215" s="44"/>
      <c r="I215" s="44"/>
      <c r="J215" s="44"/>
      <c r="K215" s="44"/>
      <c r="M215" s="53"/>
      <c r="N215" s="73"/>
      <c r="O215" s="4"/>
      <c r="P215" s="808"/>
    </row>
    <row r="216" spans="1:18" s="50" customFormat="1" ht="23.25" customHeight="1">
      <c r="A216" s="1611" t="s">
        <v>4180</v>
      </c>
      <c r="B216" s="1612"/>
      <c r="C216" s="1612"/>
      <c r="D216" s="1612"/>
      <c r="E216" s="1612"/>
      <c r="F216" s="1612"/>
      <c r="G216" s="1612"/>
      <c r="H216" s="1612"/>
      <c r="I216" s="1612"/>
      <c r="J216" s="1612"/>
      <c r="K216" s="1612"/>
      <c r="L216" s="1612"/>
      <c r="M216" s="1612"/>
      <c r="N216" s="1612"/>
      <c r="O216" s="1612"/>
      <c r="P216" s="1613"/>
      <c r="Q216" s="614" t="s">
        <v>1677</v>
      </c>
    </row>
    <row r="217" spans="1:18" s="123" customFormat="1" ht="10.9" customHeight="1">
      <c r="A217" s="49"/>
      <c r="B217" s="118" t="s">
        <v>2571</v>
      </c>
      <c r="C217" s="119"/>
      <c r="D217" s="118"/>
      <c r="E217" s="233"/>
      <c r="F217" s="807"/>
      <c r="G217" s="807"/>
      <c r="H217" s="807"/>
      <c r="I217" s="807"/>
      <c r="J217" s="807"/>
      <c r="K217" s="807"/>
      <c r="L217" s="807"/>
      <c r="M217" s="807"/>
      <c r="N217" s="113"/>
      <c r="O217" s="232"/>
      <c r="P217" s="2"/>
      <c r="Q217" s="570"/>
    </row>
    <row r="218" spans="1:18" s="50" customFormat="1" ht="12" customHeight="1">
      <c r="A218" s="1048"/>
      <c r="B218" s="1049"/>
      <c r="C218" s="1049"/>
      <c r="D218" s="1049"/>
      <c r="E218" s="1049"/>
      <c r="F218" s="1049"/>
      <c r="G218" s="1049"/>
      <c r="H218" s="1049"/>
      <c r="I218" s="1049"/>
      <c r="J218" s="1049"/>
      <c r="K218" s="1049"/>
      <c r="L218" s="1049"/>
      <c r="M218" s="1049"/>
      <c r="N218" s="1049"/>
      <c r="O218" s="1049"/>
      <c r="P218" s="1050"/>
      <c r="Q218" s="614" t="s">
        <v>1677</v>
      </c>
    </row>
    <row r="219" spans="1:18" ht="3" customHeight="1"/>
    <row r="220" spans="1:18" s="50" customFormat="1" ht="15">
      <c r="A220" s="189" t="s">
        <v>2355</v>
      </c>
      <c r="B220" s="126" t="s">
        <v>2361</v>
      </c>
      <c r="C220" s="78"/>
      <c r="E220" s="48"/>
      <c r="G220" s="44"/>
      <c r="H220" s="44"/>
      <c r="I220" s="47"/>
      <c r="J220" s="55"/>
      <c r="K220" s="55"/>
      <c r="L220" s="490" t="str">
        <f>IF(OR($O220=$M220,$O220=0,$O220=""),"","* * Check Score! * *")</f>
        <v/>
      </c>
      <c r="M220" s="2">
        <v>6</v>
      </c>
      <c r="N220" s="123"/>
      <c r="O220" s="53"/>
      <c r="P220" s="84"/>
      <c r="Q220" s="130" t="s">
        <v>566</v>
      </c>
      <c r="R220" s="490"/>
    </row>
    <row r="221" spans="1:18" s="50" customFormat="1" ht="12" customHeight="1">
      <c r="A221" s="171" t="s">
        <v>2694</v>
      </c>
      <c r="B221" s="213" t="s">
        <v>3711</v>
      </c>
      <c r="D221" s="40"/>
      <c r="H221" s="64" t="s">
        <v>3085</v>
      </c>
      <c r="M221" s="88">
        <v>6</v>
      </c>
      <c r="N221" s="654" t="s">
        <v>2694</v>
      </c>
      <c r="O221" s="1665" t="s">
        <v>4074</v>
      </c>
      <c r="P221" s="324"/>
      <c r="R221" s="490"/>
    </row>
    <row r="222" spans="1:18" s="50" customFormat="1" ht="23.25" customHeight="1">
      <c r="A222" s="49"/>
      <c r="B222" s="1155" t="s">
        <v>3749</v>
      </c>
      <c r="C222" s="1156"/>
      <c r="D222" s="1156"/>
      <c r="E222" s="1156"/>
      <c r="F222" s="1156"/>
      <c r="G222" s="1156"/>
      <c r="H222" s="1156"/>
      <c r="I222" s="1156"/>
      <c r="J222" s="1156"/>
      <c r="K222" s="1156"/>
      <c r="L222" s="1156"/>
      <c r="M222" s="53"/>
      <c r="N222" s="73"/>
      <c r="O222" s="1667" t="s">
        <v>4074</v>
      </c>
      <c r="P222" s="325"/>
    </row>
    <row r="223" spans="1:18" s="50" customFormat="1" ht="12" customHeight="1">
      <c r="A223" s="171" t="s">
        <v>2697</v>
      </c>
      <c r="B223" s="213" t="s">
        <v>3710</v>
      </c>
      <c r="D223" s="40"/>
      <c r="E223" s="40"/>
      <c r="F223" s="40"/>
      <c r="R223" s="490"/>
    </row>
    <row r="224" spans="1:18" s="50" customFormat="1" ht="12" customHeight="1">
      <c r="A224" s="171"/>
      <c r="B224" s="64" t="s">
        <v>3085</v>
      </c>
      <c r="D224" s="40"/>
      <c r="M224" s="132">
        <v>3</v>
      </c>
      <c r="N224" s="654" t="s">
        <v>2697</v>
      </c>
      <c r="O224" s="1665" t="s">
        <v>4074</v>
      </c>
      <c r="P224" s="324"/>
      <c r="R224" s="490"/>
    </row>
    <row r="225" spans="1:18" s="50" customFormat="1" ht="12" customHeight="1">
      <c r="A225" s="171"/>
      <c r="B225" s="64" t="s">
        <v>3767</v>
      </c>
      <c r="D225" s="40"/>
      <c r="N225" s="654"/>
      <c r="O225" s="1667" t="s">
        <v>4074</v>
      </c>
      <c r="P225" s="325"/>
      <c r="R225" s="490"/>
    </row>
    <row r="226" spans="1:18" s="50" customFormat="1" ht="10.5" customHeight="1">
      <c r="A226" s="49"/>
      <c r="B226" s="56" t="s">
        <v>281</v>
      </c>
      <c r="C226" s="49"/>
      <c r="D226" s="55"/>
      <c r="E226" s="55"/>
      <c r="F226" s="55"/>
      <c r="G226" s="55"/>
      <c r="H226" s="44"/>
      <c r="I226" s="44"/>
      <c r="J226" s="44"/>
      <c r="K226" s="44"/>
      <c r="M226" s="53"/>
      <c r="N226" s="73"/>
      <c r="O226" s="4"/>
      <c r="P226" s="808"/>
    </row>
    <row r="227" spans="1:18" s="50" customFormat="1" ht="12.75" customHeight="1">
      <c r="A227" s="1611"/>
      <c r="B227" s="1612"/>
      <c r="C227" s="1612"/>
      <c r="D227" s="1612"/>
      <c r="E227" s="1612"/>
      <c r="F227" s="1612"/>
      <c r="G227" s="1612"/>
      <c r="H227" s="1612"/>
      <c r="I227" s="1612"/>
      <c r="J227" s="1612"/>
      <c r="K227" s="1612"/>
      <c r="L227" s="1612"/>
      <c r="M227" s="1612"/>
      <c r="N227" s="1612"/>
      <c r="O227" s="1612"/>
      <c r="P227" s="1613"/>
      <c r="Q227" s="614" t="s">
        <v>1677</v>
      </c>
    </row>
    <row r="228" spans="1:18" s="123" customFormat="1" ht="10.5" customHeight="1">
      <c r="A228" s="49"/>
      <c r="B228" s="118" t="s">
        <v>2571</v>
      </c>
      <c r="C228" s="119"/>
      <c r="D228" s="118"/>
      <c r="E228" s="233"/>
      <c r="F228" s="807"/>
      <c r="G228" s="807"/>
      <c r="H228" s="807"/>
      <c r="I228" s="807"/>
      <c r="J228" s="807"/>
      <c r="K228" s="807"/>
      <c r="L228" s="807"/>
      <c r="M228" s="807"/>
      <c r="N228" s="113"/>
      <c r="O228" s="232"/>
      <c r="P228" s="2"/>
      <c r="Q228" s="570"/>
    </row>
    <row r="229" spans="1:18" s="50" customFormat="1" ht="12" customHeight="1">
      <c r="A229" s="1048"/>
      <c r="B229" s="1049"/>
      <c r="C229" s="1049"/>
      <c r="D229" s="1049"/>
      <c r="E229" s="1049"/>
      <c r="F229" s="1049"/>
      <c r="G229" s="1049"/>
      <c r="H229" s="1049"/>
      <c r="I229" s="1049"/>
      <c r="J229" s="1049"/>
      <c r="K229" s="1049"/>
      <c r="L229" s="1049"/>
      <c r="M229" s="1049"/>
      <c r="N229" s="1049"/>
      <c r="O229" s="1049"/>
      <c r="P229" s="1050"/>
      <c r="Q229" s="614" t="s">
        <v>1677</v>
      </c>
    </row>
    <row r="230" spans="1:18" s="50" customFormat="1" ht="2.25" customHeight="1">
      <c r="A230" s="49"/>
      <c r="B230" s="49"/>
      <c r="C230" s="809"/>
      <c r="D230" s="809"/>
      <c r="E230" s="809"/>
      <c r="F230" s="809"/>
      <c r="G230" s="809"/>
      <c r="H230" s="809"/>
      <c r="I230" s="809"/>
      <c r="J230" s="809"/>
      <c r="K230" s="809"/>
      <c r="L230" s="809"/>
      <c r="M230" s="809"/>
      <c r="N230" s="90"/>
      <c r="O230" s="85"/>
      <c r="P230" s="674"/>
    </row>
    <row r="231" spans="1:18" s="50" customFormat="1" ht="15">
      <c r="A231" s="189" t="s">
        <v>2357</v>
      </c>
      <c r="B231" s="134" t="s">
        <v>3661</v>
      </c>
      <c r="C231" s="105"/>
      <c r="D231" s="69"/>
      <c r="E231" s="61"/>
      <c r="J231" s="72"/>
      <c r="M231" s="2">
        <v>6</v>
      </c>
      <c r="N231" s="7"/>
      <c r="O231" s="92">
        <f>MIN($M231,O232+O234)</f>
        <v>6</v>
      </c>
      <c r="P231" s="92">
        <f>MIN($M231,P232+P234)</f>
        <v>0</v>
      </c>
      <c r="Q231" s="130" t="s">
        <v>566</v>
      </c>
    </row>
    <row r="232" spans="1:18" s="50" customFormat="1" ht="12" customHeight="1">
      <c r="A232" s="171" t="s">
        <v>2694</v>
      </c>
      <c r="B232" s="213" t="s">
        <v>3662</v>
      </c>
      <c r="D232" s="40"/>
      <c r="E232" s="40"/>
      <c r="F232" s="40"/>
      <c r="L232" s="685" t="str">
        <f>IF(OR($O232=$M232,$O232=0,$O232=""),"","* * Check Score! * *")</f>
        <v/>
      </c>
      <c r="M232" s="7">
        <v>3</v>
      </c>
      <c r="N232" s="654" t="s">
        <v>2694</v>
      </c>
      <c r="O232" s="1766">
        <v>3</v>
      </c>
      <c r="P232" s="621"/>
      <c r="Q232" s="507" t="s">
        <v>3631</v>
      </c>
      <c r="R232" s="130"/>
    </row>
    <row r="233" spans="1:18" s="50" customFormat="1" ht="33" customHeight="1">
      <c r="A233" s="171"/>
      <c r="B233" s="1120" t="s">
        <v>3712</v>
      </c>
      <c r="C233" s="1120"/>
      <c r="D233" s="1120"/>
      <c r="E233" s="1120"/>
      <c r="F233" s="1120"/>
      <c r="G233" s="1120"/>
      <c r="H233" s="1120"/>
      <c r="I233" s="1120"/>
      <c r="J233" s="1120"/>
      <c r="K233" s="1120"/>
      <c r="L233" s="1120"/>
      <c r="M233" s="490"/>
      <c r="N233" s="490"/>
      <c r="O233" s="1767" t="s">
        <v>4087</v>
      </c>
      <c r="P233" s="622"/>
      <c r="Q233" s="130"/>
      <c r="R233" s="490"/>
    </row>
    <row r="234" spans="1:18" s="50" customFormat="1" ht="12" customHeight="1">
      <c r="A234" s="171" t="s">
        <v>2697</v>
      </c>
      <c r="B234" s="213" t="s">
        <v>3663</v>
      </c>
      <c r="D234" s="813"/>
      <c r="F234" s="38"/>
      <c r="G234" s="123"/>
      <c r="H234" s="72"/>
      <c r="K234" s="123"/>
      <c r="L234" s="685" t="str">
        <f>IF(OR($O234=$M234,$O234=0,$O234=""),"","* * Check Score! * *")</f>
        <v/>
      </c>
      <c r="M234" s="7">
        <v>3</v>
      </c>
      <c r="N234" s="654" t="s">
        <v>2697</v>
      </c>
      <c r="O234" s="1737">
        <v>3</v>
      </c>
      <c r="P234" s="671"/>
      <c r="Q234" s="507" t="s">
        <v>3631</v>
      </c>
      <c r="R234" s="490"/>
    </row>
    <row r="235" spans="1:18" s="50" customFormat="1" ht="12" customHeight="1">
      <c r="A235" s="49"/>
      <c r="B235" s="56" t="s">
        <v>281</v>
      </c>
      <c r="C235" s="49"/>
      <c r="D235" s="55"/>
      <c r="E235" s="55"/>
      <c r="F235" s="55"/>
      <c r="G235" s="55"/>
      <c r="H235" s="44"/>
      <c r="I235" s="44"/>
      <c r="J235" s="44"/>
      <c r="K235" s="44"/>
      <c r="M235" s="53"/>
      <c r="N235" s="73"/>
      <c r="O235" s="4"/>
      <c r="P235" s="808"/>
    </row>
    <row r="236" spans="1:18" s="50" customFormat="1" ht="12" customHeight="1">
      <c r="A236" s="1611" t="s">
        <v>4201</v>
      </c>
      <c r="B236" s="1612"/>
      <c r="C236" s="1612"/>
      <c r="D236" s="1612"/>
      <c r="E236" s="1612"/>
      <c r="F236" s="1612"/>
      <c r="G236" s="1612"/>
      <c r="H236" s="1612"/>
      <c r="I236" s="1612"/>
      <c r="J236" s="1612"/>
      <c r="K236" s="1612"/>
      <c r="L236" s="1612"/>
      <c r="M236" s="1612"/>
      <c r="N236" s="1612"/>
      <c r="O236" s="1612"/>
      <c r="P236" s="1613"/>
      <c r="Q236" s="614" t="s">
        <v>1677</v>
      </c>
    </row>
    <row r="237" spans="1:18" s="50" customFormat="1" ht="12" customHeight="1">
      <c r="B237" s="103" t="s">
        <v>2571</v>
      </c>
      <c r="C237" s="119"/>
      <c r="D237" s="103"/>
      <c r="E237" s="120"/>
      <c r="F237" s="809"/>
      <c r="G237" s="809"/>
      <c r="H237" s="809"/>
      <c r="I237" s="809"/>
      <c r="J237" s="809"/>
      <c r="K237" s="809"/>
      <c r="L237" s="809"/>
      <c r="M237" s="809"/>
      <c r="N237" s="90"/>
      <c r="O237" s="85"/>
      <c r="P237" s="2"/>
      <c r="Q237" s="570"/>
    </row>
    <row r="238" spans="1:18" s="50" customFormat="1" ht="12" customHeight="1">
      <c r="A238" s="1048"/>
      <c r="B238" s="1049"/>
      <c r="C238" s="1049"/>
      <c r="D238" s="1049"/>
      <c r="E238" s="1049"/>
      <c r="F238" s="1049"/>
      <c r="G238" s="1049"/>
      <c r="H238" s="1049"/>
      <c r="I238" s="1049"/>
      <c r="J238" s="1049"/>
      <c r="K238" s="1049"/>
      <c r="L238" s="1049"/>
      <c r="M238" s="1049"/>
      <c r="N238" s="1049"/>
      <c r="O238" s="1049"/>
      <c r="P238" s="1050"/>
      <c r="Q238" s="614" t="s">
        <v>1677</v>
      </c>
    </row>
    <row r="239" spans="1:18" s="50" customFormat="1" ht="3" customHeight="1">
      <c r="A239" s="49"/>
      <c r="B239" s="49"/>
      <c r="C239" s="809"/>
      <c r="D239" s="809"/>
      <c r="E239" s="809"/>
      <c r="F239" s="809"/>
      <c r="G239" s="809"/>
      <c r="H239" s="809"/>
      <c r="I239" s="809"/>
      <c r="J239" s="809"/>
      <c r="K239" s="809"/>
      <c r="L239" s="809"/>
      <c r="M239" s="809"/>
      <c r="N239" s="90"/>
      <c r="O239" s="85"/>
      <c r="P239" s="674"/>
    </row>
    <row r="240" spans="1:18" s="50" customFormat="1" ht="12" customHeight="1">
      <c r="A240" s="190" t="s">
        <v>2359</v>
      </c>
      <c r="B240" s="126" t="s">
        <v>3664</v>
      </c>
      <c r="D240" s="813"/>
      <c r="F240" s="38"/>
      <c r="G240" s="123"/>
      <c r="H240" s="72" t="s">
        <v>434</v>
      </c>
      <c r="K240" s="123"/>
      <c r="L240" s="44"/>
      <c r="M240" s="2">
        <v>3</v>
      </c>
      <c r="N240" s="654"/>
      <c r="O240" s="591">
        <f>MIN($M240,O241+O242)</f>
        <v>0</v>
      </c>
      <c r="P240" s="591">
        <f>MIN($M240,P241+P242)</f>
        <v>0</v>
      </c>
      <c r="Q240" s="130" t="s">
        <v>566</v>
      </c>
      <c r="R240" s="490" t="str">
        <f>IF(OR($O241=$M240,$O241=0,$O241=""),"","* * Check Score! * *")</f>
        <v/>
      </c>
    </row>
    <row r="241" spans="1:17" s="544" customFormat="1" ht="33" customHeight="1">
      <c r="A241" s="543"/>
      <c r="B241" s="603" t="s">
        <v>2694</v>
      </c>
      <c r="C241" s="1042" t="s">
        <v>3713</v>
      </c>
      <c r="D241" s="1042"/>
      <c r="E241" s="1042"/>
      <c r="F241" s="1042"/>
      <c r="G241" s="1042"/>
      <c r="H241" s="1042"/>
      <c r="I241" s="1042"/>
      <c r="J241" s="1042"/>
      <c r="K241" s="1042"/>
      <c r="L241" s="1042"/>
      <c r="M241" s="545">
        <v>3</v>
      </c>
      <c r="N241" s="199" t="s">
        <v>2694</v>
      </c>
      <c r="O241" s="1766">
        <v>0</v>
      </c>
      <c r="P241" s="621"/>
      <c r="Q241" s="221" t="s">
        <v>3631</v>
      </c>
    </row>
    <row r="242" spans="1:17" s="544" customFormat="1" ht="22.5" customHeight="1">
      <c r="A242" s="592" t="s">
        <v>1788</v>
      </c>
      <c r="B242" s="603" t="s">
        <v>2697</v>
      </c>
      <c r="C242" s="1042" t="s">
        <v>3759</v>
      </c>
      <c r="D242" s="1042"/>
      <c r="E242" s="1042"/>
      <c r="F242" s="1042"/>
      <c r="G242" s="1042"/>
      <c r="H242" s="1042"/>
      <c r="I242" s="1042"/>
      <c r="J242" s="1042"/>
      <c r="K242" s="1042"/>
      <c r="L242" s="1042"/>
      <c r="M242" s="545">
        <v>1</v>
      </c>
      <c r="N242" s="199" t="s">
        <v>2697</v>
      </c>
      <c r="O242" s="1767">
        <v>0</v>
      </c>
      <c r="P242" s="622"/>
      <c r="Q242" s="221" t="s">
        <v>3631</v>
      </c>
    </row>
    <row r="243" spans="1:17" s="50" customFormat="1" ht="12" customHeight="1">
      <c r="A243" s="49"/>
      <c r="B243" s="56" t="s">
        <v>281</v>
      </c>
      <c r="C243" s="49"/>
      <c r="D243" s="55"/>
      <c r="E243" s="55"/>
      <c r="F243" s="55"/>
      <c r="G243" s="55"/>
      <c r="H243" s="44"/>
      <c r="I243" s="44"/>
      <c r="J243" s="44"/>
      <c r="K243" s="44"/>
      <c r="M243" s="53"/>
      <c r="N243" s="73"/>
      <c r="O243" s="4"/>
      <c r="P243" s="808"/>
    </row>
    <row r="244" spans="1:17" s="50" customFormat="1" ht="12" customHeight="1">
      <c r="A244" s="1611"/>
      <c r="B244" s="1612"/>
      <c r="C244" s="1612"/>
      <c r="D244" s="1612"/>
      <c r="E244" s="1612"/>
      <c r="F244" s="1612"/>
      <c r="G244" s="1612"/>
      <c r="H244" s="1612"/>
      <c r="I244" s="1612"/>
      <c r="J244" s="1612"/>
      <c r="K244" s="1612"/>
      <c r="L244" s="1612"/>
      <c r="M244" s="1612"/>
      <c r="N244" s="1612"/>
      <c r="O244" s="1612"/>
      <c r="P244" s="1613"/>
      <c r="Q244" s="614" t="s">
        <v>1677</v>
      </c>
    </row>
    <row r="245" spans="1:17" s="50" customFormat="1" ht="12" customHeight="1">
      <c r="B245" s="103" t="s">
        <v>2571</v>
      </c>
      <c r="C245" s="119"/>
      <c r="D245" s="103"/>
      <c r="E245" s="120"/>
      <c r="F245" s="809"/>
      <c r="G245" s="809"/>
      <c r="H245" s="809"/>
      <c r="I245" s="809"/>
      <c r="J245" s="809"/>
      <c r="K245" s="809"/>
      <c r="L245" s="809"/>
      <c r="M245" s="809"/>
      <c r="N245" s="90"/>
      <c r="O245" s="85"/>
      <c r="P245" s="2"/>
      <c r="Q245" s="570"/>
    </row>
    <row r="246" spans="1:17" s="50" customFormat="1" ht="12" customHeight="1">
      <c r="A246" s="1048"/>
      <c r="B246" s="1049"/>
      <c r="C246" s="1049"/>
      <c r="D246" s="1049"/>
      <c r="E246" s="1049"/>
      <c r="F246" s="1049"/>
      <c r="G246" s="1049"/>
      <c r="H246" s="1049"/>
      <c r="I246" s="1049"/>
      <c r="J246" s="1049"/>
      <c r="K246" s="1049"/>
      <c r="L246" s="1049"/>
      <c r="M246" s="1049"/>
      <c r="N246" s="1049"/>
      <c r="O246" s="1049"/>
      <c r="P246" s="1050"/>
      <c r="Q246" s="614" t="s">
        <v>1677</v>
      </c>
    </row>
    <row r="247" spans="1:17" s="50" customFormat="1" ht="3" customHeight="1">
      <c r="A247" s="49"/>
      <c r="B247" s="49"/>
      <c r="C247" s="809"/>
      <c r="D247" s="809"/>
      <c r="E247" s="809"/>
      <c r="F247" s="809"/>
      <c r="G247" s="809"/>
      <c r="H247" s="809"/>
      <c r="I247" s="809"/>
      <c r="J247" s="809"/>
      <c r="K247" s="809"/>
      <c r="L247" s="809"/>
      <c r="M247" s="809"/>
      <c r="N247" s="90"/>
      <c r="O247" s="85"/>
      <c r="P247" s="674"/>
    </row>
    <row r="248" spans="1:17" s="50" customFormat="1" ht="12" customHeight="1">
      <c r="A248" s="189" t="s">
        <v>2360</v>
      </c>
      <c r="B248" s="127" t="s">
        <v>3445</v>
      </c>
      <c r="C248" s="63"/>
      <c r="D248" s="141"/>
      <c r="E248" s="141"/>
      <c r="F248" s="48"/>
      <c r="H248" s="47"/>
      <c r="K248" s="55"/>
      <c r="M248" s="2">
        <v>20</v>
      </c>
      <c r="N248" s="7"/>
      <c r="O248" s="92">
        <f>MIN($M248,(O249+O259))</f>
        <v>0</v>
      </c>
      <c r="P248" s="92">
        <f>MIN($M248,(P249+P259))</f>
        <v>0</v>
      </c>
      <c r="Q248" s="130" t="s">
        <v>566</v>
      </c>
    </row>
    <row r="249" spans="1:17" s="50" customFormat="1" ht="13.5" customHeight="1">
      <c r="A249" s="171" t="s">
        <v>2694</v>
      </c>
      <c r="B249" s="213" t="s">
        <v>3446</v>
      </c>
      <c r="D249" s="1157" t="s">
        <v>3740</v>
      </c>
      <c r="E249" s="1157"/>
      <c r="F249" s="1157"/>
      <c r="G249" s="1157"/>
      <c r="H249" s="1157"/>
      <c r="I249" s="1157"/>
      <c r="J249" s="1157"/>
      <c r="K249" s="1157"/>
      <c r="L249" s="1157"/>
      <c r="M249" s="88">
        <v>6</v>
      </c>
      <c r="N249" s="78" t="s">
        <v>2694</v>
      </c>
      <c r="O249" s="114">
        <f>IF(O250=$M250,$M250, IF(O252=$M252,$M252, IF(O254=$M254,$M254,0)))</f>
        <v>0</v>
      </c>
      <c r="P249" s="114">
        <f>IF(P250=$M250,$M250, IF(P252=$M252,$M252, IF(P254=$M254,$M254,0)))</f>
        <v>0</v>
      </c>
      <c r="Q249" s="130"/>
    </row>
    <row r="250" spans="1:17" s="544" customFormat="1" ht="12" customHeight="1">
      <c r="A250" s="543" t="str">
        <f>IF($I$86="HOPE VI Initiative", "X","")</f>
        <v/>
      </c>
      <c r="B250" s="603" t="s">
        <v>2698</v>
      </c>
      <c r="C250" s="161" t="s">
        <v>3447</v>
      </c>
      <c r="D250" s="510"/>
      <c r="E250" s="510"/>
      <c r="M250" s="595">
        <v>6</v>
      </c>
      <c r="N250" s="225" t="s">
        <v>2698</v>
      </c>
      <c r="O250" s="114">
        <f>IF(AND('Part I-Project Information'!$M81="Yes",'Part I-Project Information'!$H119="Yes",'Part VIII-Threshold Criteria'!S337="Yes",O251="Yes"),$M250,0)</f>
        <v>0</v>
      </c>
      <c r="P250" s="114">
        <f>IF(AND('Part I-Project Information'!$M81="Yes",'Part I-Project Information'!$H119="Yes",'Part VIII-Threshold Criteria'!S337="Yes",P251="Yes"),$M250,0)</f>
        <v>0</v>
      </c>
    </row>
    <row r="251" spans="1:17" s="544" customFormat="1" ht="12" customHeight="1">
      <c r="A251" s="543"/>
      <c r="B251" s="603"/>
      <c r="C251" s="510" t="s">
        <v>3587</v>
      </c>
      <c r="D251" s="510"/>
      <c r="E251" s="510"/>
      <c r="F251" s="510"/>
      <c r="G251" s="510"/>
      <c r="H251" s="510"/>
      <c r="I251" s="510"/>
      <c r="J251" s="810"/>
      <c r="K251" s="810"/>
      <c r="L251" s="810"/>
      <c r="M251" s="595"/>
      <c r="O251" s="1711" t="s">
        <v>4074</v>
      </c>
      <c r="P251" s="84"/>
    </row>
    <row r="252" spans="1:17" s="544" customFormat="1" ht="12" customHeight="1">
      <c r="A252" s="594" t="s">
        <v>1788</v>
      </c>
      <c r="B252" s="603" t="s">
        <v>2700</v>
      </c>
      <c r="C252" s="161" t="s">
        <v>2354</v>
      </c>
      <c r="D252" s="510"/>
      <c r="E252" s="510"/>
      <c r="M252" s="595">
        <v>4</v>
      </c>
      <c r="N252" s="225" t="s">
        <v>2700</v>
      </c>
      <c r="O252" s="114">
        <f>IF(AND('Part I-Project Information'!$M81="Yes",'Part I-Project Information'!$H119="Yes",'Part VIII-Threshold Criteria'!S337="Yes",O253="Yes"),$M252,0)</f>
        <v>0</v>
      </c>
      <c r="P252" s="114">
        <f>IF(AND('Part I-Project Information'!$M81="Yes",'Part I-Project Information'!$H119="Yes",'Part VIII-Threshold Criteria'!S337="Yes",P253="Yes"),$M252,0)</f>
        <v>0</v>
      </c>
    </row>
    <row r="253" spans="1:17" s="544" customFormat="1" ht="33" customHeight="1">
      <c r="A253" s="594"/>
      <c r="B253" s="603"/>
      <c r="C253" s="1042" t="s">
        <v>3714</v>
      </c>
      <c r="D253" s="1042"/>
      <c r="E253" s="1042"/>
      <c r="F253" s="1042"/>
      <c r="G253" s="1042"/>
      <c r="H253" s="1042"/>
      <c r="I253" s="1042"/>
      <c r="J253" s="1042"/>
      <c r="K253" s="1042"/>
      <c r="L253" s="1042"/>
      <c r="M253" s="595"/>
      <c r="N253" s="545"/>
      <c r="O253" s="1768" t="s">
        <v>4074</v>
      </c>
      <c r="P253" s="593"/>
    </row>
    <row r="254" spans="1:17" s="544" customFormat="1" ht="12" customHeight="1">
      <c r="A254" s="594" t="s">
        <v>1788</v>
      </c>
      <c r="B254" s="603" t="s">
        <v>3322</v>
      </c>
      <c r="C254" s="161" t="s">
        <v>2353</v>
      </c>
      <c r="D254" s="510"/>
      <c r="E254" s="510"/>
      <c r="F254" s="686"/>
      <c r="G254" s="686"/>
      <c r="H254" s="686"/>
      <c r="I254" s="686"/>
      <c r="J254" s="686"/>
      <c r="K254" s="686"/>
      <c r="L254" s="686"/>
      <c r="M254" s="595">
        <v>3</v>
      </c>
      <c r="N254" s="225" t="s">
        <v>3322</v>
      </c>
      <c r="O254" s="114">
        <f>IF(AND('Part I-Project Information'!$M81="Yes",'Part I-Project Information'!$H119="Yes",'Part VIII-Threshold Criteria'!S337="Yes",OR(O255="Yes",O256="Yes",O257="Yes",O258="Yes")),$M254,0)</f>
        <v>0</v>
      </c>
      <c r="P254" s="114">
        <f>IF(AND('Part I-Project Information'!$M81="Yes",'Part I-Project Information'!$H119="Yes",'Part VIII-Threshold Criteria'!S337="Yes",OR(P255="Yes",P256="Yes",P257="Yes",P258="Yes")),$M254,0)</f>
        <v>0</v>
      </c>
    </row>
    <row r="255" spans="1:17" s="544" customFormat="1" ht="21.75" customHeight="1">
      <c r="A255" s="543"/>
      <c r="B255" s="506" t="s">
        <v>3201</v>
      </c>
      <c r="C255" s="1056" t="s">
        <v>3588</v>
      </c>
      <c r="D255" s="1056"/>
      <c r="E255" s="1056"/>
      <c r="F255" s="1056"/>
      <c r="G255" s="1056"/>
      <c r="H255" s="1056"/>
      <c r="I255" s="1056"/>
      <c r="J255" s="1056"/>
      <c r="K255" s="1056"/>
      <c r="L255" s="1056"/>
      <c r="M255" s="545"/>
      <c r="N255" s="506" t="s">
        <v>3201</v>
      </c>
      <c r="O255" s="1769" t="s">
        <v>4073</v>
      </c>
      <c r="P255" s="618"/>
    </row>
    <row r="256" spans="1:17" s="544" customFormat="1" ht="21.75" customHeight="1">
      <c r="A256" s="543"/>
      <c r="B256" s="506" t="s">
        <v>3202</v>
      </c>
      <c r="C256" s="1042" t="s">
        <v>3715</v>
      </c>
      <c r="D256" s="1042"/>
      <c r="E256" s="1042"/>
      <c r="F256" s="1042"/>
      <c r="G256" s="1042"/>
      <c r="H256" s="1042"/>
      <c r="I256" s="1042"/>
      <c r="J256" s="1042"/>
      <c r="K256" s="1042"/>
      <c r="L256" s="1042"/>
      <c r="M256" s="545"/>
      <c r="N256" s="506" t="s">
        <v>3202</v>
      </c>
      <c r="O256" s="1770" t="s">
        <v>4074</v>
      </c>
      <c r="P256" s="619"/>
    </row>
    <row r="257" spans="1:18" s="544" customFormat="1" ht="21.75" customHeight="1">
      <c r="A257" s="543"/>
      <c r="B257" s="506" t="s">
        <v>3203</v>
      </c>
      <c r="C257" s="1042" t="s">
        <v>3462</v>
      </c>
      <c r="D257" s="1042"/>
      <c r="E257" s="1042"/>
      <c r="F257" s="1042"/>
      <c r="G257" s="1042"/>
      <c r="H257" s="1042"/>
      <c r="I257" s="1042"/>
      <c r="J257" s="1042"/>
      <c r="K257" s="1042"/>
      <c r="L257" s="1042"/>
      <c r="M257" s="545"/>
      <c r="N257" s="506" t="s">
        <v>3203</v>
      </c>
      <c r="O257" s="1770" t="s">
        <v>4074</v>
      </c>
      <c r="P257" s="619"/>
    </row>
    <row r="258" spans="1:18" s="544" customFormat="1" ht="21.75" customHeight="1">
      <c r="A258" s="543"/>
      <c r="B258" s="680" t="s">
        <v>3204</v>
      </c>
      <c r="C258" s="1042" t="s">
        <v>3448</v>
      </c>
      <c r="D258" s="1042"/>
      <c r="E258" s="1042"/>
      <c r="F258" s="1042"/>
      <c r="G258" s="1042"/>
      <c r="H258" s="1042"/>
      <c r="I258" s="1042"/>
      <c r="J258" s="1042"/>
      <c r="K258" s="1042"/>
      <c r="L258" s="1042"/>
      <c r="M258" s="545"/>
      <c r="N258" s="680" t="s">
        <v>3204</v>
      </c>
      <c r="O258" s="1771" t="s">
        <v>4074</v>
      </c>
      <c r="P258" s="620"/>
    </row>
    <row r="259" spans="1:18" ht="13.5" customHeight="1">
      <c r="A259" s="171" t="s">
        <v>2697</v>
      </c>
      <c r="B259" s="213" t="s">
        <v>3449</v>
      </c>
      <c r="D259" s="692"/>
      <c r="E259" s="50"/>
      <c r="F259" s="40"/>
      <c r="G259" s="140"/>
      <c r="H259" s="40"/>
      <c r="I259" s="40"/>
      <c r="J259" s="40"/>
      <c r="K259" s="40"/>
      <c r="L259" s="40"/>
      <c r="M259" s="674">
        <v>14</v>
      </c>
      <c r="N259" s="654" t="s">
        <v>2697</v>
      </c>
      <c r="O259" s="114">
        <f>MIN($M259,O260+O263+O264+O267+O270+O271)</f>
        <v>0</v>
      </c>
      <c r="P259" s="114">
        <f>MIN($M259,P260+P263+P264+P267+P270+P271)</f>
        <v>0</v>
      </c>
      <c r="R259" s="544"/>
    </row>
    <row r="260" spans="1:18" s="121" customFormat="1" ht="12.75" customHeight="1">
      <c r="B260" s="483" t="s">
        <v>2698</v>
      </c>
      <c r="C260" s="604" t="s">
        <v>3716</v>
      </c>
      <c r="L260" s="490"/>
      <c r="M260" s="8">
        <v>4</v>
      </c>
      <c r="N260" s="225" t="s">
        <v>2698</v>
      </c>
      <c r="O260" s="114">
        <f>IF(AND('Part I-Project Information'!$M81="Yes",'Part I-Project Information'!$H119="Yes",'Part VIII-Threshold Criteria'!S337="Yes"),MIN(O261+O262,$M260),0)</f>
        <v>0</v>
      </c>
      <c r="P260" s="114">
        <f>IF(AND('Part I-Project Information'!$M81="Yes",'Part I-Project Information'!$H119="Yes",'Part VIII-Threshold Criteria'!S337="Yes"),MIN(P261+P262,$M260),0)</f>
        <v>0</v>
      </c>
    </row>
    <row r="261" spans="1:18" s="544" customFormat="1" ht="34.5" customHeight="1">
      <c r="A261" s="543"/>
      <c r="B261" s="506" t="s">
        <v>3201</v>
      </c>
      <c r="C261" s="1042" t="s">
        <v>3451</v>
      </c>
      <c r="D261" s="1042"/>
      <c r="E261" s="1042"/>
      <c r="F261" s="1042"/>
      <c r="G261" s="1042"/>
      <c r="H261" s="1042"/>
      <c r="I261" s="1042"/>
      <c r="J261" s="1042"/>
      <c r="K261" s="1042"/>
      <c r="L261" s="1042"/>
      <c r="M261" s="545">
        <v>4</v>
      </c>
      <c r="N261" s="506" t="s">
        <v>3201</v>
      </c>
      <c r="O261" s="1769">
        <v>0</v>
      </c>
      <c r="P261" s="618"/>
      <c r="Q261" s="221" t="s">
        <v>3631</v>
      </c>
    </row>
    <row r="262" spans="1:18" s="544" customFormat="1" ht="34.5" customHeight="1">
      <c r="A262" s="199" t="s">
        <v>3463</v>
      </c>
      <c r="B262" s="506" t="s">
        <v>3202</v>
      </c>
      <c r="C262" s="1042" t="s">
        <v>3717</v>
      </c>
      <c r="D262" s="1042"/>
      <c r="E262" s="1042"/>
      <c r="F262" s="1042"/>
      <c r="G262" s="1042"/>
      <c r="H262" s="1042"/>
      <c r="I262" s="1042"/>
      <c r="J262" s="1042"/>
      <c r="K262" s="1042"/>
      <c r="L262" s="1042"/>
      <c r="M262" s="545">
        <v>2</v>
      </c>
      <c r="N262" s="506" t="s">
        <v>3202</v>
      </c>
      <c r="O262" s="1771">
        <v>0</v>
      </c>
      <c r="P262" s="620"/>
      <c r="Q262" s="221" t="s">
        <v>3631</v>
      </c>
    </row>
    <row r="263" spans="1:18" s="121" customFormat="1" ht="12" customHeight="1">
      <c r="B263" s="483" t="s">
        <v>2700</v>
      </c>
      <c r="C263" s="604" t="s">
        <v>3450</v>
      </c>
      <c r="L263" s="490" t="str">
        <f>IF(OR($O263=$M263,$O263=0,$O263=""),"","* * Check Score! * *")</f>
        <v/>
      </c>
      <c r="M263" s="8">
        <v>1</v>
      </c>
      <c r="N263" s="225" t="s">
        <v>2700</v>
      </c>
      <c r="O263" s="1737">
        <v>0</v>
      </c>
      <c r="P263" s="671"/>
      <c r="Q263" s="221" t="s">
        <v>3631</v>
      </c>
    </row>
    <row r="264" spans="1:18" s="121" customFormat="1" ht="12" customHeight="1">
      <c r="B264" s="483" t="s">
        <v>3322</v>
      </c>
      <c r="C264" s="604" t="s">
        <v>3452</v>
      </c>
      <c r="L264" s="490" t="str">
        <f>IF(OR($O264&lt;=$M264,$O264=0,$O264=""),"","* * Check Score! * *")</f>
        <v/>
      </c>
      <c r="M264" s="8">
        <v>2</v>
      </c>
      <c r="N264" s="225" t="s">
        <v>3322</v>
      </c>
      <c r="O264" s="114">
        <f>IF(AND('Part I-Project Information'!$M81="Yes",'Part I-Project Information'!$H119="Yes",'Part VIII-Threshold Criteria'!S337="Yes"),MIN(O265+O266,$M264),0)</f>
        <v>0</v>
      </c>
      <c r="P264" s="114">
        <f>IF(AND('Part I-Project Information'!$M81="Yes",'Part I-Project Information'!$H119="Yes",'Part VIII-Threshold Criteria'!S337="Yes"),MIN(P265+P266,$M264),0)</f>
        <v>0</v>
      </c>
    </row>
    <row r="265" spans="1:18" s="544" customFormat="1" ht="12" customHeight="1">
      <c r="A265" s="543"/>
      <c r="B265" s="506" t="s">
        <v>3201</v>
      </c>
      <c r="C265" s="1042" t="s">
        <v>3454</v>
      </c>
      <c r="D265" s="1042"/>
      <c r="E265" s="1042"/>
      <c r="F265" s="1042"/>
      <c r="G265" s="1042"/>
      <c r="H265" s="1042"/>
      <c r="I265" s="1042"/>
      <c r="J265" s="1042"/>
      <c r="K265" s="1042"/>
      <c r="L265" s="1042"/>
      <c r="M265" s="545">
        <v>2</v>
      </c>
      <c r="N265" s="506" t="s">
        <v>3201</v>
      </c>
      <c r="O265" s="1766">
        <v>0</v>
      </c>
      <c r="P265" s="621"/>
      <c r="Q265" s="221" t="s">
        <v>3631</v>
      </c>
    </row>
    <row r="266" spans="1:18" s="544" customFormat="1" ht="12" customHeight="1">
      <c r="A266" s="199" t="s">
        <v>3463</v>
      </c>
      <c r="B266" s="506" t="s">
        <v>3202</v>
      </c>
      <c r="C266" s="1042" t="s">
        <v>3453</v>
      </c>
      <c r="D266" s="1042"/>
      <c r="E266" s="1042"/>
      <c r="F266" s="1042"/>
      <c r="G266" s="1042"/>
      <c r="H266" s="1042"/>
      <c r="I266" s="1042"/>
      <c r="J266" s="1042"/>
      <c r="K266" s="1042"/>
      <c r="L266" s="1042"/>
      <c r="M266" s="545">
        <v>1</v>
      </c>
      <c r="N266" s="506" t="s">
        <v>3202</v>
      </c>
      <c r="O266" s="1767">
        <v>0</v>
      </c>
      <c r="P266" s="622"/>
      <c r="Q266" s="221" t="s">
        <v>3631</v>
      </c>
    </row>
    <row r="267" spans="1:18" s="121" customFormat="1" ht="12" customHeight="1">
      <c r="B267" s="483" t="s">
        <v>1645</v>
      </c>
      <c r="C267" s="604" t="s">
        <v>3455</v>
      </c>
      <c r="F267" s="578"/>
      <c r="L267" s="490"/>
      <c r="M267" s="8">
        <v>3</v>
      </c>
      <c r="N267" s="225" t="s">
        <v>1645</v>
      </c>
      <c r="O267" s="114">
        <f>IF(AND('Part I-Project Information'!$M81="Yes",'Part I-Project Information'!$H119="Yes",'Part VIII-Threshold Criteria'!S337="Yes"),MIN(O268+O269,$M267),0)</f>
        <v>0</v>
      </c>
      <c r="P267" s="114">
        <f>IF(AND('Part I-Project Information'!$M81="Yes",'Part I-Project Information'!$H119="Yes",'Part VIII-Threshold Criteria'!S337="Yes"),MIN(P268+P269,$M267),0)</f>
        <v>0</v>
      </c>
    </row>
    <row r="268" spans="1:18" s="544" customFormat="1" ht="12" customHeight="1">
      <c r="A268" s="543"/>
      <c r="B268" s="506" t="s">
        <v>3201</v>
      </c>
      <c r="C268" s="1042" t="s">
        <v>3718</v>
      </c>
      <c r="D268" s="1042"/>
      <c r="E268" s="1042"/>
      <c r="F268" s="1042"/>
      <c r="G268" s="1042"/>
      <c r="H268" s="1042"/>
      <c r="I268" s="1042"/>
      <c r="J268" s="1042"/>
      <c r="K268" s="1042"/>
      <c r="L268" s="1042"/>
      <c r="M268" s="545">
        <v>3</v>
      </c>
      <c r="N268" s="506" t="s">
        <v>3201</v>
      </c>
      <c r="O268" s="1766">
        <v>0</v>
      </c>
      <c r="P268" s="621"/>
      <c r="Q268" s="221" t="s">
        <v>3631</v>
      </c>
    </row>
    <row r="269" spans="1:18" s="544" customFormat="1" ht="12" customHeight="1">
      <c r="A269" s="199" t="s">
        <v>3463</v>
      </c>
      <c r="B269" s="506" t="s">
        <v>3202</v>
      </c>
      <c r="C269" s="1042" t="s">
        <v>3719</v>
      </c>
      <c r="D269" s="1042"/>
      <c r="E269" s="1042"/>
      <c r="F269" s="1042"/>
      <c r="G269" s="1042"/>
      <c r="H269" s="1042"/>
      <c r="I269" s="1042"/>
      <c r="J269" s="1042"/>
      <c r="K269" s="1042"/>
      <c r="L269" s="1042"/>
      <c r="M269" s="545">
        <v>2</v>
      </c>
      <c r="N269" s="506" t="s">
        <v>3202</v>
      </c>
      <c r="O269" s="1767">
        <v>0</v>
      </c>
      <c r="P269" s="622"/>
      <c r="Q269" s="221" t="s">
        <v>3631</v>
      </c>
    </row>
    <row r="270" spans="1:18" s="121" customFormat="1" ht="12" customHeight="1">
      <c r="B270" s="483" t="s">
        <v>1646</v>
      </c>
      <c r="C270" s="604" t="s">
        <v>3456</v>
      </c>
      <c r="F270" s="578" t="s">
        <v>3457</v>
      </c>
      <c r="J270" s="1118">
        <f ca="1">'Part IV-Uses of Funds'!$B$43/'Part IV-Uses of Funds'!$G$129</f>
        <v>0.67930272283374526</v>
      </c>
      <c r="K270" s="1119"/>
      <c r="L270" s="490"/>
      <c r="M270" s="8">
        <v>2</v>
      </c>
      <c r="N270" s="225" t="s">
        <v>1646</v>
      </c>
      <c r="O270" s="1711">
        <v>0</v>
      </c>
      <c r="P270" s="84"/>
      <c r="Q270" s="221" t="s">
        <v>3631</v>
      </c>
    </row>
    <row r="271" spans="1:18" s="121" customFormat="1" ht="12" customHeight="1">
      <c r="B271" s="483" t="s">
        <v>2589</v>
      </c>
      <c r="C271" s="604" t="s">
        <v>3720</v>
      </c>
      <c r="F271" s="578"/>
      <c r="L271" s="490"/>
      <c r="M271" s="8">
        <v>3</v>
      </c>
      <c r="N271" s="225" t="s">
        <v>2589</v>
      </c>
      <c r="O271" s="1711">
        <v>0</v>
      </c>
      <c r="P271" s="84"/>
      <c r="Q271" s="221" t="s">
        <v>3631</v>
      </c>
    </row>
    <row r="272" spans="1:18" s="50" customFormat="1" ht="12" customHeight="1">
      <c r="A272" s="171"/>
      <c r="B272" s="506"/>
      <c r="C272" s="1152" t="s">
        <v>3721</v>
      </c>
      <c r="D272" s="1152"/>
      <c r="E272" s="1152"/>
      <c r="F272" s="1152"/>
      <c r="G272" s="1152"/>
      <c r="H272" s="1152"/>
      <c r="I272" s="1152"/>
      <c r="J272" s="1152"/>
      <c r="K272" s="1152"/>
      <c r="L272" s="1152"/>
      <c r="R272" s="490"/>
    </row>
    <row r="273" spans="1:18" s="50" customFormat="1" ht="12" customHeight="1">
      <c r="A273" s="171"/>
      <c r="B273" s="506"/>
      <c r="C273" s="1152"/>
      <c r="D273" s="1152"/>
      <c r="E273" s="1152"/>
      <c r="F273" s="1152"/>
      <c r="G273" s="1152"/>
      <c r="H273" s="1152"/>
      <c r="I273" s="1152"/>
      <c r="J273" s="1152"/>
      <c r="K273" s="1152"/>
      <c r="L273" s="1152"/>
      <c r="R273" s="490"/>
    </row>
    <row r="274" spans="1:18" s="50" customFormat="1" ht="12" customHeight="1">
      <c r="A274" s="49"/>
      <c r="B274" s="56" t="s">
        <v>281</v>
      </c>
      <c r="C274" s="49"/>
      <c r="D274" s="55"/>
      <c r="E274" s="55"/>
      <c r="F274" s="55"/>
      <c r="G274" s="55"/>
      <c r="H274" s="44"/>
      <c r="I274" s="44"/>
      <c r="J274" s="44"/>
      <c r="K274" s="44"/>
      <c r="M274" s="53"/>
      <c r="N274" s="73"/>
      <c r="O274" s="4"/>
      <c r="P274" s="808"/>
    </row>
    <row r="275" spans="1:18" s="50" customFormat="1" ht="12.75" customHeight="1">
      <c r="A275" s="1611"/>
      <c r="B275" s="1612"/>
      <c r="C275" s="1612"/>
      <c r="D275" s="1612"/>
      <c r="E275" s="1612"/>
      <c r="F275" s="1612"/>
      <c r="G275" s="1612"/>
      <c r="H275" s="1612"/>
      <c r="I275" s="1612"/>
      <c r="J275" s="1612"/>
      <c r="K275" s="1612"/>
      <c r="L275" s="1612"/>
      <c r="M275" s="1612"/>
      <c r="N275" s="1612"/>
      <c r="O275" s="1612"/>
      <c r="P275" s="1613"/>
      <c r="Q275" s="614" t="s">
        <v>1677</v>
      </c>
    </row>
    <row r="276" spans="1:18" s="50" customFormat="1" ht="11.25" customHeight="1">
      <c r="A276" s="49"/>
      <c r="B276" s="103" t="s">
        <v>2571</v>
      </c>
      <c r="C276" s="119"/>
      <c r="D276" s="103"/>
      <c r="E276" s="120"/>
      <c r="F276" s="809"/>
      <c r="G276" s="809"/>
      <c r="H276" s="809"/>
      <c r="I276" s="809"/>
      <c r="J276" s="809"/>
      <c r="K276" s="809"/>
      <c r="L276" s="809"/>
      <c r="M276" s="809"/>
      <c r="N276" s="90"/>
      <c r="O276" s="85"/>
      <c r="P276" s="2"/>
      <c r="Q276" s="570"/>
    </row>
    <row r="277" spans="1:18" s="50" customFormat="1" ht="12.75" customHeight="1">
      <c r="A277" s="1048"/>
      <c r="B277" s="1049"/>
      <c r="C277" s="1049"/>
      <c r="D277" s="1049"/>
      <c r="E277" s="1049"/>
      <c r="F277" s="1049"/>
      <c r="G277" s="1049"/>
      <c r="H277" s="1049"/>
      <c r="I277" s="1049"/>
      <c r="J277" s="1049"/>
      <c r="K277" s="1049"/>
      <c r="L277" s="1049"/>
      <c r="M277" s="1049"/>
      <c r="N277" s="1049"/>
      <c r="O277" s="1049"/>
      <c r="P277" s="1050"/>
      <c r="Q277" s="614" t="s">
        <v>1677</v>
      </c>
    </row>
    <row r="278" spans="1:18" s="50" customFormat="1" ht="3.75" customHeight="1">
      <c r="A278" s="49"/>
      <c r="C278" s="809"/>
      <c r="D278" s="809"/>
      <c r="E278" s="809"/>
      <c r="F278" s="809"/>
      <c r="G278" s="809"/>
      <c r="H278" s="809"/>
      <c r="I278" s="809"/>
      <c r="J278" s="809"/>
      <c r="K278" s="809"/>
      <c r="L278" s="809"/>
      <c r="M278" s="809"/>
      <c r="N278" s="90"/>
      <c r="O278" s="85"/>
      <c r="P278" s="674"/>
    </row>
    <row r="279" spans="1:18" s="123" customFormat="1" ht="11.25" customHeight="1">
      <c r="A279" s="190" t="s">
        <v>2362</v>
      </c>
      <c r="B279" s="126" t="s">
        <v>2363</v>
      </c>
      <c r="D279" s="52"/>
      <c r="E279" s="52"/>
      <c r="F279" s="47"/>
      <c r="G279" s="44"/>
      <c r="I279" s="44"/>
      <c r="J279" s="44"/>
      <c r="K279" s="44"/>
      <c r="L279" s="490" t="str">
        <f>IF(OR($O279=$M279,$O279&lt;=0,$O279=""),"","* * Check Score! * *")</f>
        <v/>
      </c>
      <c r="M279" s="2">
        <v>10</v>
      </c>
      <c r="N279" s="7"/>
      <c r="O279" s="76">
        <f>O281</f>
        <v>10</v>
      </c>
      <c r="P279" s="76">
        <f>P281</f>
        <v>0</v>
      </c>
      <c r="Q279" s="130" t="s">
        <v>566</v>
      </c>
    </row>
    <row r="280" spans="1:18" s="43" customFormat="1" ht="11.45" customHeight="1">
      <c r="B280" s="177" t="s">
        <v>3335</v>
      </c>
      <c r="M280" s="49"/>
      <c r="N280" s="49"/>
      <c r="O280" s="1607" t="s">
        <v>4073</v>
      </c>
      <c r="P280" s="210"/>
    </row>
    <row r="281" spans="1:18" ht="12.6" customHeight="1">
      <c r="A281" s="171" t="s">
        <v>2694</v>
      </c>
      <c r="B281" s="229" t="s">
        <v>1881</v>
      </c>
      <c r="D281" s="40"/>
      <c r="E281" s="40"/>
      <c r="F281" s="40"/>
      <c r="G281" s="40"/>
      <c r="H281" s="40"/>
      <c r="I281" s="40"/>
      <c r="J281" s="40"/>
      <c r="K281" s="40"/>
      <c r="L281" s="40"/>
      <c r="M281" s="139"/>
      <c r="N281" s="654" t="s">
        <v>2694</v>
      </c>
      <c r="O281" s="1772">
        <v>10</v>
      </c>
      <c r="P281" s="508"/>
      <c r="Q281" s="221" t="s">
        <v>3631</v>
      </c>
    </row>
    <row r="282" spans="1:18" ht="12.6" customHeight="1">
      <c r="A282" s="171" t="s">
        <v>2697</v>
      </c>
      <c r="B282" s="229" t="s">
        <v>291</v>
      </c>
      <c r="D282" s="40"/>
      <c r="E282" s="40"/>
      <c r="F282" s="40"/>
      <c r="G282" s="813"/>
      <c r="H282" s="813"/>
      <c r="I282" s="813"/>
      <c r="J282" s="813"/>
      <c r="K282" s="813"/>
      <c r="M282" s="123"/>
      <c r="N282" s="654" t="s">
        <v>2697</v>
      </c>
      <c r="O282" s="1607" t="s">
        <v>4129</v>
      </c>
      <c r="P282" s="210"/>
    </row>
    <row r="283" spans="1:18" s="50" customFormat="1" ht="11.25" customHeight="1">
      <c r="A283" s="49"/>
      <c r="B283" s="56" t="s">
        <v>281</v>
      </c>
      <c r="C283" s="49"/>
      <c r="D283" s="55"/>
      <c r="E283" s="55"/>
      <c r="F283" s="55"/>
      <c r="G283" s="55"/>
      <c r="H283" s="44"/>
      <c r="I283" s="44"/>
      <c r="J283" s="44"/>
      <c r="K283" s="44"/>
      <c r="M283" s="53"/>
      <c r="N283" s="73"/>
      <c r="O283" s="4"/>
      <c r="P283" s="808"/>
    </row>
    <row r="284" spans="1:18" s="50" customFormat="1" ht="48.75" customHeight="1">
      <c r="A284" s="1611" t="s">
        <v>4202</v>
      </c>
      <c r="B284" s="1612"/>
      <c r="C284" s="1612"/>
      <c r="D284" s="1612"/>
      <c r="E284" s="1612"/>
      <c r="F284" s="1612"/>
      <c r="G284" s="1612"/>
      <c r="H284" s="1612"/>
      <c r="I284" s="1612"/>
      <c r="J284" s="1612"/>
      <c r="K284" s="1612"/>
      <c r="L284" s="1612"/>
      <c r="M284" s="1612"/>
      <c r="N284" s="1612"/>
      <c r="O284" s="1612"/>
      <c r="P284" s="1613"/>
      <c r="Q284" s="614" t="s">
        <v>1677</v>
      </c>
      <c r="R284" s="615"/>
    </row>
    <row r="285" spans="1:18" s="123" customFormat="1" ht="11.25" customHeight="1">
      <c r="A285" s="79"/>
      <c r="B285" s="79" t="s">
        <v>2571</v>
      </c>
      <c r="C285" s="57"/>
      <c r="D285" s="79"/>
      <c r="E285" s="807"/>
      <c r="F285" s="807"/>
      <c r="G285" s="807"/>
      <c r="H285" s="807"/>
      <c r="I285" s="807"/>
      <c r="J285" s="807"/>
      <c r="K285" s="807"/>
      <c r="L285" s="807"/>
      <c r="M285" s="807"/>
      <c r="N285" s="113"/>
      <c r="O285" s="232"/>
      <c r="P285" s="2"/>
    </row>
    <row r="286" spans="1:18" s="50" customFormat="1" ht="12.75" customHeight="1">
      <c r="A286" s="1048"/>
      <c r="B286" s="1049"/>
      <c r="C286" s="1049"/>
      <c r="D286" s="1049"/>
      <c r="E286" s="1049"/>
      <c r="F286" s="1049"/>
      <c r="G286" s="1049"/>
      <c r="H286" s="1049"/>
      <c r="I286" s="1049"/>
      <c r="J286" s="1049"/>
      <c r="K286" s="1049"/>
      <c r="L286" s="1049"/>
      <c r="M286" s="1049"/>
      <c r="N286" s="1049"/>
      <c r="O286" s="1049"/>
      <c r="P286" s="1050"/>
      <c r="Q286" s="614" t="s">
        <v>1677</v>
      </c>
      <c r="R286" s="615"/>
    </row>
    <row r="287" spans="1:18" s="50" customFormat="1" ht="3" customHeight="1" thickBot="1">
      <c r="A287" s="49"/>
      <c r="B287" s="49"/>
      <c r="C287" s="809"/>
      <c r="D287" s="809"/>
      <c r="E287" s="809"/>
      <c r="F287" s="809"/>
      <c r="G287" s="809"/>
      <c r="H287" s="809"/>
      <c r="I287" s="809"/>
      <c r="J287" s="809"/>
      <c r="K287" s="809"/>
      <c r="L287" s="809"/>
      <c r="M287" s="809"/>
      <c r="N287" s="90"/>
      <c r="O287" s="85"/>
      <c r="P287" s="674"/>
    </row>
    <row r="288" spans="1:18" s="49" customFormat="1" ht="15" customHeight="1" thickBot="1">
      <c r="A288" s="617" t="s">
        <v>3544</v>
      </c>
      <c r="B288" s="80"/>
      <c r="C288" s="57"/>
      <c r="D288" s="43"/>
      <c r="E288" s="43"/>
      <c r="F288" s="63"/>
      <c r="G288" s="50"/>
      <c r="H288" s="191" t="s">
        <v>464</v>
      </c>
      <c r="I288" s="192"/>
      <c r="J288" s="192"/>
      <c r="K288" s="192"/>
      <c r="L288" s="123"/>
      <c r="M288" s="606">
        <f>M8+M30+M38+M47+M56+M63+M86+M121+M136+M148+M156+M164+M169+M180+M220+M231+M240+M248+M279</f>
        <v>103</v>
      </c>
      <c r="N288" s="193"/>
      <c r="O288" s="194">
        <f ca="1">O8+O30+O38+O47+O56+O63+O86+O121+O136+O148+O156+O164+O169+O180+O220+O231+O240+O248+O279</f>
        <v>58</v>
      </c>
      <c r="P288" s="194">
        <f ca="1">P8+P30+P38+P47+P56+P63+P86+P121+P136+P148+P156+P164+P169+P180+P220+P231+P240+P248+P279</f>
        <v>14</v>
      </c>
    </row>
    <row r="289" spans="1:19" s="49" customFormat="1" ht="13.5" customHeight="1">
      <c r="A289" s="63"/>
      <c r="B289" s="80"/>
      <c r="C289" s="63"/>
      <c r="D289" s="43"/>
      <c r="E289" s="43"/>
      <c r="F289" s="82"/>
      <c r="G289" s="82"/>
      <c r="H289" s="213" t="s">
        <v>3574</v>
      </c>
      <c r="I289" s="81"/>
      <c r="J289" s="81"/>
      <c r="K289" s="81"/>
      <c r="L289" s="50"/>
      <c r="M289" s="43"/>
      <c r="N289" s="2"/>
      <c r="O289" s="651">
        <f ca="1">O288-O248</f>
        <v>58</v>
      </c>
      <c r="P289" s="651">
        <f ca="1">P288-P248</f>
        <v>14</v>
      </c>
    </row>
    <row r="290" spans="1:19" s="49" customFormat="1" ht="24.6" customHeight="1">
      <c r="A290" s="63"/>
      <c r="B290" s="80"/>
      <c r="C290" s="63"/>
      <c r="D290" s="43"/>
      <c r="E290" s="43"/>
      <c r="F290" s="82"/>
      <c r="G290" s="82"/>
      <c r="H290" s="83"/>
      <c r="I290" s="81"/>
      <c r="J290" s="81"/>
      <c r="K290" s="81"/>
      <c r="L290" s="50"/>
      <c r="M290" s="43"/>
      <c r="N290" s="2"/>
      <c r="O290" s="2"/>
      <c r="P290" s="87"/>
    </row>
    <row r="291" spans="1:19" s="50" customFormat="1" ht="7.15" customHeight="1">
      <c r="A291" s="49"/>
      <c r="B291" s="49"/>
      <c r="C291" s="809"/>
      <c r="D291" s="809"/>
      <c r="E291" s="809"/>
      <c r="F291" s="809"/>
      <c r="G291" s="809"/>
      <c r="H291" s="809"/>
      <c r="I291" s="809"/>
      <c r="J291" s="809"/>
      <c r="K291" s="809"/>
      <c r="L291" s="809"/>
      <c r="M291" s="809"/>
      <c r="N291" s="90"/>
      <c r="O291" s="85"/>
      <c r="P291" s="674"/>
    </row>
    <row r="292" spans="1:19" s="50" customFormat="1" ht="9" customHeight="1">
      <c r="A292" s="49"/>
      <c r="D292" s="47"/>
      <c r="E292" s="44"/>
      <c r="F292" s="674"/>
      <c r="G292" s="674"/>
      <c r="H292" s="674"/>
      <c r="I292" s="674"/>
      <c r="J292" s="38"/>
      <c r="K292" s="38"/>
      <c r="L292" s="38"/>
      <c r="M292" s="71"/>
      <c r="N292" s="674"/>
      <c r="O292" s="808"/>
      <c r="P292" s="4"/>
    </row>
    <row r="293" spans="1:19" ht="15.75">
      <c r="A293" s="63"/>
      <c r="B293" s="80"/>
      <c r="C293" s="63"/>
      <c r="D293" s="181"/>
      <c r="E293" s="181"/>
      <c r="F293" s="813"/>
      <c r="G293" s="813"/>
      <c r="H293" s="82"/>
      <c r="I293" s="82"/>
      <c r="J293" s="684"/>
      <c r="K293" s="684"/>
      <c r="L293" s="50"/>
      <c r="M293" s="181"/>
      <c r="N293" s="2"/>
      <c r="O293" s="2"/>
      <c r="P293" s="4"/>
      <c r="Q293" s="138"/>
      <c r="R293" s="138"/>
      <c r="S293" s="138"/>
    </row>
    <row r="294" spans="1:19">
      <c r="A294" s="196"/>
      <c r="B294" s="196"/>
      <c r="C294" s="196"/>
      <c r="D294" s="196"/>
      <c r="E294" s="196"/>
      <c r="F294" s="196"/>
      <c r="G294" s="196"/>
      <c r="H294" s="196"/>
      <c r="I294" s="196"/>
      <c r="J294" s="196"/>
      <c r="K294" s="196"/>
      <c r="L294" s="196"/>
      <c r="M294" s="196"/>
      <c r="N294" s="148"/>
      <c r="Q294" s="138"/>
      <c r="R294" s="138"/>
      <c r="S294" s="138"/>
    </row>
    <row r="295" spans="1:19">
      <c r="A295" s="196"/>
      <c r="B295" s="196"/>
      <c r="C295" s="624" t="s">
        <v>2328</v>
      </c>
      <c r="D295" s="624"/>
      <c r="E295" s="624"/>
      <c r="F295" s="624"/>
      <c r="G295" s="624"/>
      <c r="H295" s="624"/>
      <c r="I295" s="624"/>
      <c r="J295" s="624" t="s">
        <v>1414</v>
      </c>
      <c r="K295" s="624"/>
      <c r="L295" s="695"/>
      <c r="M295" s="196"/>
      <c r="N295" s="148"/>
      <c r="Q295" s="138"/>
      <c r="R295" s="138"/>
      <c r="S295" s="138"/>
    </row>
    <row r="296" spans="1:19">
      <c r="A296" s="196"/>
      <c r="B296" s="196"/>
      <c r="C296" s="695" t="s">
        <v>2804</v>
      </c>
      <c r="D296" s="695"/>
      <c r="E296" s="695"/>
      <c r="F296" s="695"/>
      <c r="G296" s="695"/>
      <c r="H296" s="695"/>
      <c r="I296" s="695"/>
      <c r="J296" s="695" t="s">
        <v>2466</v>
      </c>
      <c r="K296" s="695"/>
      <c r="L296" s="695"/>
      <c r="M296" s="196"/>
      <c r="N296" s="148"/>
      <c r="Q296" s="138"/>
      <c r="R296" s="138"/>
      <c r="S296" s="138"/>
    </row>
    <row r="297" spans="1:19" ht="15">
      <c r="A297" s="196"/>
      <c r="B297" s="196"/>
      <c r="C297" s="624" t="s">
        <v>3341</v>
      </c>
      <c r="D297" s="624"/>
      <c r="E297" s="624"/>
      <c r="F297" s="624"/>
      <c r="G297" s="624"/>
      <c r="H297" s="624"/>
      <c r="I297" s="624"/>
      <c r="J297" s="696" t="s">
        <v>251</v>
      </c>
      <c r="K297" s="624"/>
      <c r="L297" s="695"/>
      <c r="M297" s="196"/>
      <c r="N297" s="148"/>
      <c r="Q297" s="138"/>
      <c r="R297" s="138"/>
      <c r="S297" s="138"/>
    </row>
    <row r="298" spans="1:19" ht="15">
      <c r="A298" s="196"/>
      <c r="B298" s="196"/>
      <c r="C298" s="624" t="s">
        <v>2805</v>
      </c>
      <c r="D298" s="624"/>
      <c r="E298" s="624"/>
      <c r="F298" s="624"/>
      <c r="G298" s="624"/>
      <c r="H298" s="624"/>
      <c r="I298" s="624"/>
      <c r="J298" s="696" t="s">
        <v>2330</v>
      </c>
      <c r="K298" s="624"/>
      <c r="L298" s="695"/>
      <c r="M298" s="196"/>
      <c r="N298" s="148"/>
      <c r="Q298" s="138"/>
      <c r="R298" s="138"/>
      <c r="S298" s="138"/>
    </row>
    <row r="299" spans="1:19" ht="15">
      <c r="A299" s="196"/>
      <c r="B299" s="196"/>
      <c r="C299" s="624" t="s">
        <v>2806</v>
      </c>
      <c r="D299" s="624"/>
      <c r="E299" s="624"/>
      <c r="F299" s="624"/>
      <c r="G299" s="624"/>
      <c r="H299" s="624"/>
      <c r="I299" s="624"/>
      <c r="J299" s="696" t="s">
        <v>2331</v>
      </c>
      <c r="K299" s="624"/>
      <c r="L299" s="695"/>
      <c r="M299" s="196"/>
      <c r="N299" s="148"/>
      <c r="Q299" s="138"/>
      <c r="R299" s="138"/>
      <c r="S299" s="138"/>
    </row>
    <row r="300" spans="1:19" ht="15">
      <c r="A300" s="196"/>
      <c r="B300" s="196"/>
      <c r="C300" s="697" t="s">
        <v>2807</v>
      </c>
      <c r="D300" s="624"/>
      <c r="E300" s="624"/>
      <c r="F300" s="624"/>
      <c r="G300" s="624"/>
      <c r="H300" s="624"/>
      <c r="I300" s="624"/>
      <c r="J300" s="696" t="s">
        <v>3286</v>
      </c>
      <c r="K300" s="624"/>
      <c r="L300" s="695"/>
      <c r="M300" s="196"/>
      <c r="N300" s="148"/>
      <c r="Q300" s="138"/>
      <c r="R300" s="138"/>
      <c r="S300" s="138"/>
    </row>
    <row r="301" spans="1:19" ht="15">
      <c r="A301" s="196"/>
      <c r="B301" s="196"/>
      <c r="C301" s="697" t="s">
        <v>2808</v>
      </c>
      <c r="D301" s="624"/>
      <c r="E301" s="624"/>
      <c r="F301" s="624"/>
      <c r="G301" s="624"/>
      <c r="H301" s="624"/>
      <c r="I301" s="624"/>
      <c r="J301" s="696" t="s">
        <v>2332</v>
      </c>
      <c r="K301" s="624"/>
      <c r="L301" s="695"/>
      <c r="M301" s="196"/>
      <c r="N301" s="148"/>
      <c r="Q301" s="138"/>
      <c r="R301" s="138"/>
      <c r="S301" s="138"/>
    </row>
    <row r="302" spans="1:19" ht="15">
      <c r="A302" s="196"/>
      <c r="B302" s="196"/>
      <c r="C302" s="697"/>
      <c r="D302" s="624"/>
      <c r="E302" s="624"/>
      <c r="F302" s="624"/>
      <c r="G302" s="624"/>
      <c r="H302" s="624"/>
      <c r="I302" s="624"/>
      <c r="J302" s="696" t="s">
        <v>2333</v>
      </c>
      <c r="K302" s="624"/>
      <c r="L302" s="695"/>
      <c r="M302" s="196"/>
      <c r="N302" s="148"/>
      <c r="Q302" s="138"/>
      <c r="R302" s="138"/>
      <c r="S302" s="138"/>
    </row>
    <row r="303" spans="1:19" ht="15">
      <c r="A303" s="196"/>
      <c r="B303" s="196"/>
      <c r="C303" s="695" t="s">
        <v>2466</v>
      </c>
      <c r="D303" s="624"/>
      <c r="E303" s="624"/>
      <c r="F303" s="624"/>
      <c r="G303" s="624"/>
      <c r="H303" s="624"/>
      <c r="I303" s="624"/>
      <c r="J303" s="696" t="s">
        <v>2334</v>
      </c>
      <c r="K303" s="624"/>
      <c r="L303" s="695"/>
      <c r="M303" s="196"/>
      <c r="N303" s="148"/>
      <c r="Q303" s="138"/>
      <c r="R303" s="138"/>
      <c r="S303" s="138"/>
    </row>
    <row r="304" spans="1:19" ht="15">
      <c r="A304" s="196"/>
      <c r="B304" s="196"/>
      <c r="C304" s="698" t="s">
        <v>1828</v>
      </c>
      <c r="D304" s="624"/>
      <c r="E304" s="624"/>
      <c r="F304" s="624"/>
      <c r="G304" s="624"/>
      <c r="H304" s="624"/>
      <c r="I304" s="624"/>
      <c r="J304" s="696" t="s">
        <v>2335</v>
      </c>
      <c r="K304" s="624"/>
      <c r="L304" s="695"/>
      <c r="M304" s="196"/>
      <c r="N304" s="148"/>
      <c r="Q304" s="138"/>
      <c r="R304" s="138"/>
      <c r="S304" s="138"/>
    </row>
    <row r="305" spans="1:19" ht="15">
      <c r="A305" s="196"/>
      <c r="B305" s="196"/>
      <c r="C305" s="698" t="s">
        <v>1829</v>
      </c>
      <c r="D305" s="624"/>
      <c r="E305" s="624"/>
      <c r="F305" s="624"/>
      <c r="G305" s="624"/>
      <c r="H305" s="624"/>
      <c r="I305" s="624"/>
      <c r="J305" s="696" t="s">
        <v>2336</v>
      </c>
      <c r="K305" s="624"/>
      <c r="L305" s="695"/>
      <c r="M305" s="196"/>
      <c r="N305" s="148"/>
      <c r="Q305" s="138"/>
      <c r="R305" s="138"/>
      <c r="S305" s="138"/>
    </row>
    <row r="306" spans="1:19" ht="15">
      <c r="A306" s="196"/>
      <c r="B306" s="196"/>
      <c r="C306" s="699" t="s">
        <v>2848</v>
      </c>
      <c r="D306" s="624"/>
      <c r="E306" s="624"/>
      <c r="F306" s="624"/>
      <c r="G306" s="624"/>
      <c r="H306" s="624"/>
      <c r="I306" s="624"/>
      <c r="J306" s="696" t="s">
        <v>2337</v>
      </c>
      <c r="K306" s="624"/>
      <c r="L306" s="695"/>
      <c r="M306" s="196"/>
      <c r="N306" s="148"/>
      <c r="Q306" s="138"/>
      <c r="R306" s="138"/>
      <c r="S306" s="138"/>
    </row>
    <row r="307" spans="1:19" ht="15">
      <c r="A307" s="196"/>
      <c r="B307" s="196"/>
      <c r="C307" s="699" t="s">
        <v>1825</v>
      </c>
      <c r="D307" s="624"/>
      <c r="E307" s="624"/>
      <c r="F307" s="624"/>
      <c r="G307" s="624"/>
      <c r="H307" s="624"/>
      <c r="I307" s="624"/>
      <c r="J307" s="696" t="s">
        <v>765</v>
      </c>
      <c r="K307" s="624"/>
      <c r="L307" s="695"/>
      <c r="M307" s="196"/>
      <c r="N307" s="148"/>
      <c r="Q307" s="138"/>
      <c r="R307" s="138"/>
      <c r="S307" s="138"/>
    </row>
    <row r="308" spans="1:19" ht="15">
      <c r="A308" s="196"/>
      <c r="B308" s="196"/>
      <c r="C308" s="699" t="s">
        <v>1826</v>
      </c>
      <c r="D308" s="624"/>
      <c r="E308" s="624"/>
      <c r="F308" s="624"/>
      <c r="G308" s="624"/>
      <c r="H308" s="624"/>
      <c r="I308" s="624"/>
      <c r="J308" s="696" t="s">
        <v>2338</v>
      </c>
      <c r="K308" s="624"/>
      <c r="L308" s="695"/>
      <c r="M308" s="196"/>
      <c r="N308" s="148"/>
      <c r="Q308" s="138"/>
      <c r="R308" s="138"/>
      <c r="S308" s="138"/>
    </row>
    <row r="309" spans="1:19" ht="15">
      <c r="A309" s="196"/>
      <c r="B309" s="196"/>
      <c r="C309" s="698" t="s">
        <v>2843</v>
      </c>
      <c r="D309" s="624"/>
      <c r="E309" s="624"/>
      <c r="F309" s="624"/>
      <c r="G309" s="624"/>
      <c r="H309" s="624"/>
      <c r="I309" s="624"/>
      <c r="J309" s="696" t="s">
        <v>2339</v>
      </c>
      <c r="K309" s="624"/>
      <c r="L309" s="695"/>
      <c r="M309" s="196"/>
      <c r="N309" s="148"/>
      <c r="Q309" s="138"/>
      <c r="R309" s="138"/>
      <c r="S309" s="138"/>
    </row>
    <row r="310" spans="1:19" ht="15">
      <c r="A310" s="196"/>
      <c r="B310" s="196"/>
      <c r="C310" s="698" t="s">
        <v>2844</v>
      </c>
      <c r="D310" s="624"/>
      <c r="E310" s="624"/>
      <c r="F310" s="624"/>
      <c r="G310" s="624"/>
      <c r="H310" s="624"/>
      <c r="I310" s="624"/>
      <c r="J310" s="696" t="s">
        <v>2340</v>
      </c>
      <c r="K310" s="695"/>
      <c r="L310" s="695"/>
      <c r="M310" s="196"/>
      <c r="N310" s="148"/>
      <c r="Q310" s="138"/>
      <c r="R310" s="138"/>
      <c r="S310" s="138"/>
    </row>
    <row r="311" spans="1:19" ht="15">
      <c r="A311" s="196"/>
      <c r="B311" s="196"/>
      <c r="C311" s="698" t="s">
        <v>2845</v>
      </c>
      <c r="D311" s="695"/>
      <c r="E311" s="695"/>
      <c r="F311" s="695"/>
      <c r="G311" s="695"/>
      <c r="H311" s="695"/>
      <c r="I311" s="695"/>
      <c r="J311" s="696" t="s">
        <v>38</v>
      </c>
      <c r="K311" s="695"/>
      <c r="L311" s="695"/>
      <c r="M311" s="196"/>
      <c r="N311" s="148"/>
      <c r="Q311" s="138"/>
      <c r="R311" s="138"/>
      <c r="S311" s="138"/>
    </row>
    <row r="312" spans="1:19" ht="15">
      <c r="A312" s="196"/>
      <c r="B312" s="196"/>
      <c r="C312" s="698" t="s">
        <v>2846</v>
      </c>
      <c r="D312" s="695"/>
      <c r="E312" s="695"/>
      <c r="F312" s="695"/>
      <c r="G312" s="695"/>
      <c r="H312" s="695"/>
      <c r="I312" s="695"/>
      <c r="J312" s="700"/>
      <c r="K312" s="695"/>
      <c r="L312" s="695"/>
      <c r="M312" s="196"/>
      <c r="N312" s="148"/>
      <c r="Q312" s="138"/>
      <c r="R312" s="138"/>
      <c r="S312" s="138"/>
    </row>
    <row r="313" spans="1:19">
      <c r="A313" s="196"/>
      <c r="B313" s="196"/>
      <c r="C313" s="698" t="s">
        <v>2847</v>
      </c>
      <c r="D313" s="695"/>
      <c r="E313" s="695"/>
      <c r="F313" s="695"/>
      <c r="G313" s="695"/>
      <c r="H313" s="695"/>
      <c r="I313" s="695"/>
      <c r="J313" s="695"/>
      <c r="K313" s="695"/>
      <c r="L313" s="695"/>
      <c r="M313" s="196"/>
      <c r="N313" s="148"/>
      <c r="Q313" s="138"/>
      <c r="R313" s="138"/>
      <c r="S313" s="138"/>
    </row>
    <row r="314" spans="1:19">
      <c r="A314" s="196"/>
      <c r="B314" s="196"/>
      <c r="C314" s="698" t="s">
        <v>1827</v>
      </c>
      <c r="D314" s="695"/>
      <c r="E314" s="695"/>
      <c r="F314" s="695"/>
      <c r="G314" s="695"/>
      <c r="H314" s="695"/>
      <c r="I314" s="695"/>
      <c r="J314" s="695"/>
      <c r="K314" s="695"/>
      <c r="L314" s="695"/>
      <c r="M314" s="196"/>
      <c r="N314" s="148"/>
      <c r="Q314" s="138"/>
      <c r="R314" s="138"/>
      <c r="S314" s="138"/>
    </row>
    <row r="315" spans="1:19">
      <c r="A315" s="196"/>
      <c r="B315" s="196"/>
      <c r="C315" s="698" t="s">
        <v>3009</v>
      </c>
      <c r="D315" s="695"/>
      <c r="E315" s="695"/>
      <c r="F315" s="695"/>
      <c r="G315" s="695"/>
      <c r="H315" s="695"/>
      <c r="I315" s="695"/>
      <c r="J315" s="695"/>
      <c r="K315" s="695"/>
      <c r="L315" s="695"/>
      <c r="M315" s="196"/>
      <c r="N315" s="148"/>
      <c r="Q315" s="138"/>
      <c r="R315" s="138"/>
      <c r="S315" s="138"/>
    </row>
    <row r="316" spans="1:19">
      <c r="A316" s="196"/>
      <c r="B316" s="196"/>
      <c r="C316" s="695"/>
      <c r="D316" s="695"/>
      <c r="E316" s="695"/>
      <c r="F316" s="695"/>
      <c r="G316" s="695"/>
      <c r="H316" s="695"/>
      <c r="I316" s="695"/>
      <c r="J316" s="695"/>
      <c r="K316" s="695"/>
      <c r="L316" s="695"/>
      <c r="M316" s="196"/>
      <c r="N316" s="148"/>
      <c r="Q316" s="138"/>
      <c r="R316" s="138"/>
      <c r="S316" s="138"/>
    </row>
    <row r="317" spans="1:19">
      <c r="A317" s="196"/>
      <c r="B317" s="196"/>
      <c r="C317" s="695"/>
      <c r="D317" s="695"/>
      <c r="E317" s="695"/>
      <c r="F317" s="695"/>
      <c r="G317" s="695"/>
      <c r="H317" s="695"/>
      <c r="I317" s="695"/>
      <c r="J317" s="695"/>
      <c r="K317" s="695"/>
      <c r="L317" s="695"/>
      <c r="M317" s="196"/>
      <c r="N317" s="148"/>
      <c r="Q317" s="138"/>
      <c r="R317" s="138"/>
      <c r="S317" s="138"/>
    </row>
    <row r="318" spans="1:19" ht="25.5">
      <c r="A318" s="196"/>
      <c r="B318" s="196"/>
      <c r="C318" s="701" t="s">
        <v>3165</v>
      </c>
      <c r="D318" s="695"/>
      <c r="E318" s="695"/>
      <c r="F318" s="695"/>
      <c r="G318" s="702" t="s">
        <v>1955</v>
      </c>
      <c r="H318" s="702" t="s">
        <v>1956</v>
      </c>
      <c r="I318" s="702" t="s">
        <v>1957</v>
      </c>
      <c r="J318" s="695"/>
      <c r="K318" s="695"/>
      <c r="L318" s="695"/>
      <c r="M318" s="196"/>
      <c r="N318" s="148"/>
    </row>
    <row r="319" spans="1:19" ht="38.25">
      <c r="A319" s="196"/>
      <c r="B319" s="196"/>
      <c r="C319" s="703" t="s">
        <v>3722</v>
      </c>
      <c r="D319" s="695"/>
      <c r="E319" s="695"/>
      <c r="F319" s="695"/>
      <c r="G319" s="704" t="s">
        <v>3308</v>
      </c>
      <c r="H319" s="704" t="s">
        <v>3309</v>
      </c>
      <c r="I319" s="704" t="s">
        <v>1607</v>
      </c>
      <c r="J319" s="695"/>
      <c r="K319" s="695"/>
      <c r="L319" s="695"/>
      <c r="M319" s="196"/>
      <c r="N319" s="148"/>
    </row>
    <row r="320" spans="1:19" ht="25.5">
      <c r="A320" s="196"/>
      <c r="B320" s="196"/>
      <c r="C320" s="703" t="s">
        <v>3727</v>
      </c>
      <c r="D320" s="695"/>
      <c r="E320" s="695"/>
      <c r="F320" s="695"/>
      <c r="G320" s="704" t="s">
        <v>2239</v>
      </c>
      <c r="H320" s="705" t="s">
        <v>1407</v>
      </c>
      <c r="I320" s="705" t="s">
        <v>1751</v>
      </c>
      <c r="J320" s="695"/>
      <c r="K320" s="695"/>
      <c r="L320" s="695"/>
      <c r="M320" s="196"/>
      <c r="N320" s="148"/>
    </row>
    <row r="321" spans="1:14">
      <c r="A321" s="196"/>
      <c r="B321" s="196"/>
      <c r="C321" s="703" t="s">
        <v>3724</v>
      </c>
      <c r="D321" s="695"/>
      <c r="E321" s="695"/>
      <c r="F321" s="695"/>
      <c r="G321" s="704" t="s">
        <v>2786</v>
      </c>
      <c r="H321" s="705" t="s">
        <v>1766</v>
      </c>
      <c r="I321" s="705" t="s">
        <v>1763</v>
      </c>
      <c r="J321" s="695"/>
      <c r="K321" s="695"/>
      <c r="L321" s="695"/>
      <c r="M321" s="196"/>
      <c r="N321" s="148"/>
    </row>
    <row r="322" spans="1:14">
      <c r="A322" s="196"/>
      <c r="B322" s="196"/>
      <c r="C322" s="703" t="s">
        <v>3728</v>
      </c>
      <c r="D322" s="695"/>
      <c r="E322" s="695"/>
      <c r="F322" s="695"/>
      <c r="G322" s="704" t="s">
        <v>2240</v>
      </c>
      <c r="H322" s="705" t="s">
        <v>3328</v>
      </c>
      <c r="I322" s="705" t="s">
        <v>1766</v>
      </c>
      <c r="J322" s="695"/>
      <c r="K322" s="695"/>
      <c r="L322" s="695"/>
      <c r="M322" s="196"/>
      <c r="N322" s="148"/>
    </row>
    <row r="323" spans="1:14" ht="25.5">
      <c r="A323" s="196"/>
      <c r="B323" s="196"/>
      <c r="C323" s="703" t="s">
        <v>3729</v>
      </c>
      <c r="D323" s="695"/>
      <c r="E323" s="695"/>
      <c r="F323" s="695"/>
      <c r="G323" s="704" t="s">
        <v>12</v>
      </c>
      <c r="H323" s="705" t="s">
        <v>3329</v>
      </c>
      <c r="I323" s="705" t="s">
        <v>3262</v>
      </c>
      <c r="J323" s="695"/>
      <c r="K323" s="695"/>
      <c r="L323" s="695"/>
      <c r="M323" s="196"/>
      <c r="N323" s="148"/>
    </row>
    <row r="324" spans="1:14">
      <c r="A324" s="196"/>
      <c r="B324" s="196"/>
      <c r="C324" s="703" t="s">
        <v>3725</v>
      </c>
      <c r="D324" s="695"/>
      <c r="E324" s="695"/>
      <c r="F324" s="695"/>
      <c r="G324" s="704" t="s">
        <v>1766</v>
      </c>
      <c r="H324" s="705" t="s">
        <v>2638</v>
      </c>
      <c r="I324" s="705" t="s">
        <v>3268</v>
      </c>
      <c r="J324" s="695"/>
      <c r="K324" s="695"/>
      <c r="L324" s="695"/>
      <c r="M324" s="196"/>
      <c r="N324" s="148"/>
    </row>
    <row r="325" spans="1:14">
      <c r="A325" s="196"/>
      <c r="B325" s="196"/>
      <c r="C325" s="703" t="s">
        <v>3630</v>
      </c>
      <c r="D325" s="695"/>
      <c r="E325" s="695"/>
      <c r="F325" s="695"/>
      <c r="G325" s="704" t="s">
        <v>1958</v>
      </c>
      <c r="H325" s="705" t="s">
        <v>3006</v>
      </c>
      <c r="I325" s="705" t="s">
        <v>3270</v>
      </c>
      <c r="J325" s="695"/>
      <c r="K325" s="695"/>
      <c r="L325" s="695"/>
      <c r="M325" s="196"/>
      <c r="N325" s="148"/>
    </row>
    <row r="326" spans="1:14">
      <c r="A326" s="196"/>
      <c r="B326" s="196"/>
      <c r="C326" s="703" t="s">
        <v>3726</v>
      </c>
      <c r="D326" s="695"/>
      <c r="E326" s="695"/>
      <c r="F326" s="695"/>
      <c r="G326" s="704" t="s">
        <v>1425</v>
      </c>
      <c r="H326" s="705" t="s">
        <v>3330</v>
      </c>
      <c r="I326" s="705" t="s">
        <v>3317</v>
      </c>
      <c r="J326" s="695"/>
      <c r="K326" s="695"/>
      <c r="L326" s="695"/>
      <c r="M326" s="196"/>
      <c r="N326" s="148"/>
    </row>
    <row r="327" spans="1:14">
      <c r="A327" s="196"/>
      <c r="B327" s="196"/>
      <c r="C327" s="695"/>
      <c r="D327" s="695"/>
      <c r="E327" s="695"/>
      <c r="F327" s="695"/>
      <c r="G327" s="704" t="s">
        <v>3270</v>
      </c>
      <c r="H327" s="705" t="s">
        <v>845</v>
      </c>
      <c r="I327" s="705" t="s">
        <v>214</v>
      </c>
      <c r="J327" s="695"/>
      <c r="K327" s="695"/>
      <c r="L327" s="695"/>
      <c r="M327" s="196"/>
      <c r="N327" s="148"/>
    </row>
    <row r="328" spans="1:14">
      <c r="A328" s="196"/>
      <c r="B328" s="196"/>
      <c r="C328" s="695"/>
      <c r="D328" s="695"/>
      <c r="E328" s="695"/>
      <c r="F328" s="695"/>
      <c r="G328" s="704" t="s">
        <v>2773</v>
      </c>
      <c r="H328" s="705" t="s">
        <v>2327</v>
      </c>
      <c r="I328" s="705" t="s">
        <v>1350</v>
      </c>
      <c r="J328" s="695"/>
      <c r="K328" s="695"/>
      <c r="L328" s="695"/>
      <c r="M328" s="196"/>
      <c r="N328" s="148"/>
    </row>
    <row r="329" spans="1:14" ht="25.5">
      <c r="A329" s="196"/>
      <c r="B329" s="196"/>
      <c r="C329" s="695"/>
      <c r="D329" s="695"/>
      <c r="E329" s="695"/>
      <c r="F329" s="695"/>
      <c r="G329" s="704" t="s">
        <v>781</v>
      </c>
      <c r="H329" s="705" t="s">
        <v>3331</v>
      </c>
      <c r="I329" s="705" t="s">
        <v>1352</v>
      </c>
      <c r="J329" s="695"/>
      <c r="K329" s="695"/>
      <c r="L329" s="695"/>
      <c r="M329" s="196"/>
      <c r="N329" s="148"/>
    </row>
    <row r="330" spans="1:14" ht="25.5">
      <c r="A330" s="196"/>
      <c r="B330" s="196"/>
      <c r="C330" s="695"/>
      <c r="D330" s="695"/>
      <c r="E330" s="695"/>
      <c r="F330" s="695"/>
      <c r="G330" s="704" t="s">
        <v>2241</v>
      </c>
      <c r="H330" s="705" t="s">
        <v>1959</v>
      </c>
      <c r="I330" s="705" t="s">
        <v>1269</v>
      </c>
      <c r="J330" s="695"/>
      <c r="K330" s="695"/>
      <c r="L330" s="695"/>
      <c r="M330" s="196"/>
      <c r="N330" s="148"/>
    </row>
    <row r="331" spans="1:14">
      <c r="A331" s="196"/>
      <c r="B331" s="196"/>
      <c r="C331" s="695"/>
      <c r="D331" s="695"/>
      <c r="E331" s="695"/>
      <c r="F331" s="695"/>
      <c r="G331" s="704" t="s">
        <v>1268</v>
      </c>
      <c r="H331" s="705" t="s">
        <v>2995</v>
      </c>
      <c r="I331" s="705" t="s">
        <v>1273</v>
      </c>
      <c r="J331" s="695"/>
      <c r="K331" s="695"/>
      <c r="L331" s="695"/>
      <c r="M331" s="196"/>
      <c r="N331" s="148"/>
    </row>
    <row r="332" spans="1:14">
      <c r="A332" s="196"/>
      <c r="B332" s="196"/>
      <c r="C332" s="695"/>
      <c r="D332" s="695"/>
      <c r="E332" s="695"/>
      <c r="F332" s="695"/>
      <c r="G332" s="704" t="s">
        <v>582</v>
      </c>
      <c r="H332" s="705" t="s">
        <v>2598</v>
      </c>
      <c r="I332" s="705" t="s">
        <v>850</v>
      </c>
      <c r="J332" s="695"/>
      <c r="K332" s="695"/>
      <c r="L332" s="695"/>
      <c r="M332" s="196"/>
      <c r="N332" s="148"/>
    </row>
    <row r="333" spans="1:14" ht="51">
      <c r="A333" s="196"/>
      <c r="B333" s="196"/>
      <c r="C333" s="695"/>
      <c r="D333" s="695"/>
      <c r="E333" s="695"/>
      <c r="F333" s="695"/>
      <c r="G333" s="704" t="s">
        <v>255</v>
      </c>
      <c r="H333" s="705" t="s">
        <v>3334</v>
      </c>
      <c r="I333" s="705" t="s">
        <v>855</v>
      </c>
      <c r="J333" s="695"/>
      <c r="K333" s="695"/>
      <c r="L333" s="695"/>
      <c r="M333" s="196"/>
      <c r="N333" s="148"/>
    </row>
    <row r="334" spans="1:14">
      <c r="A334" s="196"/>
      <c r="B334" s="196"/>
      <c r="C334" s="695"/>
      <c r="D334" s="695"/>
      <c r="E334" s="695"/>
      <c r="F334" s="695"/>
      <c r="G334" s="704" t="s">
        <v>1642</v>
      </c>
      <c r="H334" s="705" t="s">
        <v>3327</v>
      </c>
      <c r="I334" s="705" t="s">
        <v>344</v>
      </c>
      <c r="J334" s="695"/>
      <c r="K334" s="695"/>
      <c r="L334" s="695"/>
      <c r="M334" s="196"/>
      <c r="N334" s="148"/>
    </row>
    <row r="335" spans="1:14" ht="25.5">
      <c r="A335" s="196"/>
      <c r="B335" s="196"/>
      <c r="C335" s="695"/>
      <c r="D335" s="695"/>
      <c r="E335" s="695"/>
      <c r="F335" s="695"/>
      <c r="G335" s="704" t="s">
        <v>1644</v>
      </c>
      <c r="H335" s="705" t="s">
        <v>3332</v>
      </c>
      <c r="I335" s="705" t="s">
        <v>353</v>
      </c>
      <c r="J335" s="695"/>
      <c r="K335" s="695"/>
      <c r="L335" s="695"/>
      <c r="M335" s="196"/>
      <c r="N335" s="148"/>
    </row>
    <row r="336" spans="1:14" ht="25.5">
      <c r="A336" s="196"/>
      <c r="B336" s="196"/>
      <c r="C336" s="695"/>
      <c r="D336" s="695"/>
      <c r="E336" s="695"/>
      <c r="F336" s="695"/>
      <c r="G336" s="704" t="s">
        <v>2242</v>
      </c>
      <c r="H336" s="705" t="s">
        <v>3333</v>
      </c>
      <c r="I336" s="705" t="s">
        <v>360</v>
      </c>
      <c r="J336" s="695"/>
      <c r="K336" s="695"/>
      <c r="L336" s="695"/>
      <c r="M336" s="196"/>
      <c r="N336" s="148"/>
    </row>
    <row r="337" spans="1:14">
      <c r="A337" s="196"/>
      <c r="B337" s="196"/>
      <c r="C337" s="695"/>
      <c r="D337" s="695"/>
      <c r="E337" s="695"/>
      <c r="F337" s="695"/>
      <c r="G337" s="704" t="s">
        <v>1385</v>
      </c>
      <c r="H337" s="705" t="s">
        <v>1960</v>
      </c>
      <c r="I337" s="705" t="s">
        <v>362</v>
      </c>
      <c r="J337" s="695"/>
      <c r="K337" s="695"/>
      <c r="L337" s="695"/>
      <c r="M337" s="196"/>
      <c r="N337" s="148"/>
    </row>
    <row r="338" spans="1:14">
      <c r="A338" s="196"/>
      <c r="B338" s="196"/>
      <c r="C338" s="695"/>
      <c r="D338" s="695"/>
      <c r="E338" s="695"/>
      <c r="F338" s="695"/>
      <c r="G338" s="704" t="s">
        <v>746</v>
      </c>
      <c r="H338" s="705"/>
      <c r="I338" s="705" t="s">
        <v>1901</v>
      </c>
      <c r="J338" s="695"/>
      <c r="K338" s="695"/>
      <c r="L338" s="695"/>
      <c r="M338" s="196"/>
      <c r="N338" s="148"/>
    </row>
    <row r="339" spans="1:14">
      <c r="A339" s="196"/>
      <c r="B339" s="196"/>
      <c r="C339" s="695"/>
      <c r="D339" s="695"/>
      <c r="E339" s="695"/>
      <c r="F339" s="695"/>
      <c r="G339" s="704" t="s">
        <v>2243</v>
      </c>
      <c r="H339" s="705"/>
      <c r="I339" s="705" t="s">
        <v>1903</v>
      </c>
      <c r="J339" s="695"/>
      <c r="K339" s="695"/>
      <c r="L339" s="695"/>
      <c r="M339" s="196"/>
      <c r="N339" s="148"/>
    </row>
    <row r="340" spans="1:14">
      <c r="A340" s="196"/>
      <c r="B340" s="196"/>
      <c r="C340" s="695"/>
      <c r="D340" s="695"/>
      <c r="E340" s="695"/>
      <c r="F340" s="695"/>
      <c r="G340" s="704" t="s">
        <v>2369</v>
      </c>
      <c r="H340" s="705"/>
      <c r="I340" s="705" t="s">
        <v>1754</v>
      </c>
      <c r="J340" s="695"/>
      <c r="K340" s="695"/>
      <c r="L340" s="695"/>
      <c r="M340" s="196"/>
      <c r="N340" s="148"/>
    </row>
    <row r="341" spans="1:14">
      <c r="A341" s="196"/>
      <c r="B341" s="196"/>
      <c r="C341" s="695"/>
      <c r="D341" s="695"/>
      <c r="E341" s="695"/>
      <c r="F341" s="695"/>
      <c r="G341" s="704" t="s">
        <v>2434</v>
      </c>
      <c r="H341" s="705"/>
      <c r="I341" s="705" t="s">
        <v>390</v>
      </c>
      <c r="J341" s="695"/>
      <c r="K341" s="695"/>
      <c r="L341" s="695"/>
      <c r="M341" s="196"/>
      <c r="N341" s="148"/>
    </row>
    <row r="342" spans="1:14">
      <c r="A342" s="196"/>
      <c r="B342" s="196"/>
      <c r="C342" s="695"/>
      <c r="D342" s="695"/>
      <c r="E342" s="695"/>
      <c r="F342" s="695"/>
      <c r="G342" s="704" t="s">
        <v>1214</v>
      </c>
      <c r="H342" s="705"/>
      <c r="I342" s="705" t="s">
        <v>2584</v>
      </c>
      <c r="J342" s="695"/>
      <c r="K342" s="695"/>
      <c r="L342" s="695"/>
      <c r="M342" s="196"/>
      <c r="N342" s="148"/>
    </row>
    <row r="343" spans="1:14">
      <c r="A343" s="196"/>
      <c r="B343" s="196"/>
      <c r="C343" s="695"/>
      <c r="D343" s="695"/>
      <c r="E343" s="695"/>
      <c r="F343" s="695"/>
      <c r="G343" s="704" t="s">
        <v>688</v>
      </c>
      <c r="H343" s="705"/>
      <c r="I343" s="705" t="s">
        <v>2586</v>
      </c>
      <c r="J343" s="695"/>
      <c r="K343" s="695"/>
      <c r="L343" s="695"/>
      <c r="M343" s="196"/>
      <c r="N343" s="148"/>
    </row>
    <row r="344" spans="1:14">
      <c r="A344" s="196"/>
      <c r="B344" s="196"/>
      <c r="C344" s="695"/>
      <c r="D344" s="695"/>
      <c r="E344" s="695"/>
      <c r="F344" s="695"/>
      <c r="G344" s="704" t="s">
        <v>696</v>
      </c>
      <c r="H344" s="705"/>
      <c r="I344" s="705" t="s">
        <v>2234</v>
      </c>
      <c r="J344" s="695"/>
      <c r="K344" s="695"/>
      <c r="L344" s="695"/>
      <c r="M344" s="196"/>
      <c r="N344" s="148"/>
    </row>
    <row r="345" spans="1:14">
      <c r="A345" s="196"/>
      <c r="B345" s="196"/>
      <c r="C345" s="695"/>
      <c r="D345" s="695"/>
      <c r="E345" s="695"/>
      <c r="F345" s="695"/>
      <c r="G345" s="704" t="s">
        <v>2810</v>
      </c>
      <c r="H345" s="705"/>
      <c r="I345" s="705" t="s">
        <v>2236</v>
      </c>
      <c r="J345" s="695"/>
      <c r="K345" s="695"/>
      <c r="L345" s="695"/>
      <c r="M345" s="196"/>
      <c r="N345" s="148"/>
    </row>
    <row r="346" spans="1:14">
      <c r="A346" s="196"/>
      <c r="B346" s="196"/>
      <c r="C346" s="695"/>
      <c r="D346" s="695"/>
      <c r="E346" s="695"/>
      <c r="F346" s="695"/>
      <c r="G346" s="704" t="s">
        <v>432</v>
      </c>
      <c r="H346" s="705"/>
      <c r="I346" s="705" t="s">
        <v>1515</v>
      </c>
      <c r="J346" s="695"/>
      <c r="K346" s="695"/>
      <c r="L346" s="695"/>
      <c r="M346" s="196"/>
      <c r="N346" s="148"/>
    </row>
    <row r="347" spans="1:14">
      <c r="A347" s="196"/>
      <c r="B347" s="196"/>
      <c r="C347" s="695"/>
      <c r="D347" s="695"/>
      <c r="E347" s="695"/>
      <c r="F347" s="695"/>
      <c r="G347" s="704" t="s">
        <v>2837</v>
      </c>
      <c r="H347" s="705"/>
      <c r="I347" s="705" t="s">
        <v>1519</v>
      </c>
      <c r="J347" s="695"/>
      <c r="K347" s="695"/>
      <c r="L347" s="695"/>
      <c r="M347" s="196"/>
      <c r="N347" s="148"/>
    </row>
    <row r="348" spans="1:14">
      <c r="A348" s="196"/>
      <c r="B348" s="196"/>
      <c r="C348" s="695"/>
      <c r="D348" s="695"/>
      <c r="E348" s="695"/>
      <c r="F348" s="695"/>
      <c r="G348" s="704" t="s">
        <v>2881</v>
      </c>
      <c r="H348" s="705"/>
      <c r="I348" s="705" t="s">
        <v>2888</v>
      </c>
      <c r="J348" s="695"/>
      <c r="K348" s="695"/>
      <c r="L348" s="695"/>
      <c r="M348" s="196"/>
      <c r="N348" s="148"/>
    </row>
    <row r="349" spans="1:14">
      <c r="A349" s="196"/>
      <c r="B349" s="196"/>
      <c r="C349" s="695"/>
      <c r="D349" s="695"/>
      <c r="E349" s="695"/>
      <c r="F349" s="695"/>
      <c r="G349" s="704" t="s">
        <v>2995</v>
      </c>
      <c r="H349" s="705"/>
      <c r="I349" s="705" t="s">
        <v>2893</v>
      </c>
      <c r="J349" s="695"/>
      <c r="K349" s="695"/>
      <c r="L349" s="695"/>
      <c r="M349" s="196"/>
      <c r="N349" s="148"/>
    </row>
    <row r="350" spans="1:14" ht="51">
      <c r="A350" s="196"/>
      <c r="B350" s="196"/>
      <c r="C350" s="706"/>
      <c r="D350" s="695"/>
      <c r="E350" s="695"/>
      <c r="F350" s="695"/>
      <c r="G350" s="704" t="s">
        <v>2244</v>
      </c>
      <c r="H350" s="705"/>
      <c r="I350" s="705" t="s">
        <v>2895</v>
      </c>
      <c r="J350" s="695"/>
      <c r="K350" s="695"/>
      <c r="L350" s="695"/>
      <c r="M350" s="196"/>
      <c r="N350" s="148"/>
    </row>
    <row r="351" spans="1:14" ht="13.5">
      <c r="A351" s="196"/>
      <c r="B351" s="196"/>
      <c r="C351" s="706"/>
      <c r="D351" s="706"/>
      <c r="E351" s="695"/>
      <c r="F351" s="695"/>
      <c r="G351" s="704" t="s">
        <v>2985</v>
      </c>
      <c r="H351" s="626"/>
      <c r="I351" s="705" t="s">
        <v>2899</v>
      </c>
      <c r="J351" s="695"/>
      <c r="K351" s="695"/>
      <c r="L351" s="695"/>
      <c r="M351" s="196"/>
      <c r="N351" s="148"/>
    </row>
    <row r="352" spans="1:14" ht="13.5">
      <c r="A352" s="196"/>
      <c r="B352" s="196"/>
      <c r="C352" s="706"/>
      <c r="D352" s="706"/>
      <c r="E352" s="695"/>
      <c r="F352" s="695"/>
      <c r="G352" s="704" t="s">
        <v>2987</v>
      </c>
      <c r="H352" s="626"/>
      <c r="I352" s="705" t="s">
        <v>2903</v>
      </c>
      <c r="J352" s="695"/>
      <c r="K352" s="695"/>
      <c r="L352" s="695"/>
      <c r="M352" s="196"/>
      <c r="N352" s="148"/>
    </row>
    <row r="353" spans="1:14" ht="13.5">
      <c r="A353" s="196"/>
      <c r="B353" s="196"/>
      <c r="C353" s="706"/>
      <c r="D353" s="707"/>
      <c r="E353" s="695"/>
      <c r="F353" s="695"/>
      <c r="G353" s="704" t="s">
        <v>2842</v>
      </c>
      <c r="H353" s="626"/>
      <c r="I353" s="705" t="s">
        <v>2346</v>
      </c>
      <c r="J353" s="695"/>
      <c r="K353" s="695"/>
      <c r="L353" s="695"/>
      <c r="M353" s="196"/>
      <c r="N353" s="148"/>
    </row>
    <row r="354" spans="1:14" ht="25.5">
      <c r="A354" s="196"/>
      <c r="B354" s="196"/>
      <c r="C354" s="706"/>
      <c r="D354" s="707"/>
      <c r="E354" s="707"/>
      <c r="F354" s="695"/>
      <c r="G354" s="704" t="s">
        <v>2245</v>
      </c>
      <c r="H354" s="695"/>
      <c r="I354" s="705" t="s">
        <v>2347</v>
      </c>
      <c r="J354" s="695"/>
      <c r="K354" s="695"/>
      <c r="L354" s="695"/>
      <c r="M354" s="196"/>
      <c r="N354" s="148"/>
    </row>
    <row r="355" spans="1:14">
      <c r="A355" s="196"/>
      <c r="B355" s="196"/>
      <c r="C355" s="706"/>
      <c r="D355" s="695"/>
      <c r="E355" s="695"/>
      <c r="F355" s="695"/>
      <c r="G355" s="704" t="s">
        <v>3065</v>
      </c>
      <c r="H355" s="695"/>
      <c r="I355" s="705" t="s">
        <v>2628</v>
      </c>
      <c r="J355" s="695"/>
      <c r="K355" s="695"/>
      <c r="L355" s="695"/>
      <c r="M355" s="196"/>
      <c r="N355" s="148"/>
    </row>
    <row r="356" spans="1:14">
      <c r="A356" s="196"/>
      <c r="B356" s="196"/>
      <c r="C356" s="706"/>
      <c r="D356" s="695"/>
      <c r="E356" s="695"/>
      <c r="F356" s="695"/>
      <c r="G356" s="704" t="s">
        <v>2988</v>
      </c>
      <c r="H356" s="695"/>
      <c r="I356" s="708" t="s">
        <v>110</v>
      </c>
      <c r="J356" s="695"/>
      <c r="K356" s="695"/>
      <c r="L356" s="695"/>
      <c r="M356" s="196"/>
      <c r="N356" s="148"/>
    </row>
    <row r="357" spans="1:14" ht="13.5">
      <c r="A357" s="196"/>
      <c r="B357" s="196"/>
      <c r="C357" s="707"/>
      <c r="D357" s="695"/>
      <c r="E357" s="695"/>
      <c r="F357" s="695"/>
      <c r="G357" s="704" t="s">
        <v>2386</v>
      </c>
      <c r="H357" s="695"/>
      <c r="I357" s="626" t="s">
        <v>116</v>
      </c>
      <c r="J357" s="695"/>
      <c r="K357" s="695"/>
      <c r="L357" s="695"/>
      <c r="M357" s="196"/>
      <c r="N357" s="148"/>
    </row>
    <row r="358" spans="1:14" ht="13.5">
      <c r="A358" s="196"/>
      <c r="B358" s="196"/>
      <c r="C358" s="707"/>
      <c r="D358" s="695"/>
      <c r="E358" s="695"/>
      <c r="F358" s="695"/>
      <c r="G358" s="627" t="s">
        <v>2391</v>
      </c>
      <c r="H358" s="695"/>
      <c r="I358" s="626" t="s">
        <v>3156</v>
      </c>
      <c r="J358" s="695"/>
      <c r="K358" s="695"/>
      <c r="L358" s="695"/>
      <c r="M358" s="196"/>
      <c r="N358" s="148"/>
    </row>
    <row r="359" spans="1:14" ht="13.5">
      <c r="A359" s="196"/>
      <c r="B359" s="196"/>
      <c r="C359" s="695"/>
      <c r="D359" s="695"/>
      <c r="E359" s="695"/>
      <c r="F359" s="695"/>
      <c r="G359" s="627" t="s">
        <v>2394</v>
      </c>
      <c r="H359" s="695"/>
      <c r="I359" s="626" t="s">
        <v>3158</v>
      </c>
      <c r="J359" s="695"/>
      <c r="K359" s="695"/>
      <c r="L359" s="695"/>
      <c r="M359" s="196"/>
      <c r="N359" s="148"/>
    </row>
    <row r="360" spans="1:14" ht="13.5">
      <c r="A360" s="196"/>
      <c r="B360" s="196"/>
      <c r="C360" s="695"/>
      <c r="D360" s="695"/>
      <c r="E360" s="695"/>
      <c r="F360" s="695"/>
      <c r="G360" s="627" t="s">
        <v>2399</v>
      </c>
      <c r="H360" s="695"/>
      <c r="I360" s="626" t="s">
        <v>3160</v>
      </c>
      <c r="J360" s="695"/>
      <c r="K360" s="695"/>
      <c r="L360" s="695"/>
      <c r="M360" s="196"/>
      <c r="N360" s="148"/>
    </row>
    <row r="361" spans="1:14" ht="13.5">
      <c r="A361" s="196"/>
      <c r="B361" s="196"/>
      <c r="C361" s="695"/>
      <c r="D361" s="695"/>
      <c r="E361" s="695"/>
      <c r="F361" s="695"/>
      <c r="G361" s="627" t="s">
        <v>112</v>
      </c>
      <c r="H361" s="695"/>
      <c r="I361" s="695"/>
      <c r="J361" s="695"/>
      <c r="K361" s="695"/>
      <c r="L361" s="695"/>
      <c r="M361" s="196"/>
      <c r="N361" s="148"/>
    </row>
    <row r="362" spans="1:14" ht="13.5">
      <c r="A362" s="196"/>
      <c r="B362" s="196"/>
      <c r="C362" s="695"/>
      <c r="D362" s="695"/>
      <c r="E362" s="695"/>
      <c r="F362" s="695"/>
      <c r="G362" s="627" t="s">
        <v>326</v>
      </c>
      <c r="H362" s="695"/>
      <c r="I362" s="695"/>
      <c r="J362" s="695"/>
      <c r="K362" s="695"/>
      <c r="L362" s="695"/>
      <c r="M362" s="196"/>
      <c r="N362" s="148"/>
    </row>
    <row r="363" spans="1:14" ht="13.5">
      <c r="A363" s="196"/>
      <c r="B363" s="196"/>
      <c r="C363" s="695"/>
      <c r="D363" s="695"/>
      <c r="E363" s="695"/>
      <c r="F363" s="695"/>
      <c r="G363" s="627" t="s">
        <v>327</v>
      </c>
      <c r="H363" s="695"/>
      <c r="I363" s="695"/>
      <c r="J363" s="695"/>
      <c r="K363" s="695"/>
      <c r="L363" s="695"/>
      <c r="M363" s="196"/>
      <c r="N363" s="148"/>
    </row>
    <row r="364" spans="1:14" ht="13.5">
      <c r="A364" s="196"/>
      <c r="B364" s="196"/>
      <c r="C364" s="695"/>
      <c r="D364" s="695"/>
      <c r="E364" s="695"/>
      <c r="F364" s="695"/>
      <c r="G364" s="627" t="s">
        <v>2003</v>
      </c>
      <c r="H364" s="695"/>
      <c r="I364" s="695"/>
      <c r="J364" s="695"/>
      <c r="K364" s="695"/>
      <c r="L364" s="695"/>
      <c r="M364" s="196"/>
      <c r="N364" s="148"/>
    </row>
    <row r="365" spans="1:14">
      <c r="A365" s="196"/>
      <c r="B365" s="196"/>
      <c r="C365" s="695"/>
      <c r="D365" s="695"/>
      <c r="E365" s="695"/>
      <c r="F365" s="695"/>
      <c r="G365" s="695"/>
      <c r="H365" s="695"/>
      <c r="I365" s="695"/>
      <c r="J365" s="695"/>
      <c r="K365" s="695"/>
      <c r="L365" s="695"/>
      <c r="M365" s="196"/>
      <c r="N365" s="148"/>
    </row>
    <row r="366" spans="1:14">
      <c r="A366" s="196"/>
      <c r="B366" s="196"/>
      <c r="C366" s="695"/>
      <c r="D366" s="695"/>
      <c r="E366" s="695"/>
      <c r="F366" s="695"/>
      <c r="G366" s="695"/>
      <c r="H366" s="695"/>
      <c r="I366" s="695"/>
      <c r="J366" s="695"/>
      <c r="K366" s="695"/>
      <c r="L366" s="695"/>
      <c r="M366" s="196"/>
      <c r="N366" s="148"/>
    </row>
    <row r="367" spans="1:14">
      <c r="A367" s="196"/>
      <c r="B367" s="196"/>
      <c r="C367" s="196"/>
      <c r="D367" s="196"/>
      <c r="E367" s="196"/>
      <c r="F367" s="196"/>
      <c r="G367" s="196"/>
      <c r="H367" s="196"/>
      <c r="I367" s="196"/>
      <c r="J367" s="196"/>
      <c r="K367" s="196"/>
      <c r="L367" s="196"/>
      <c r="M367" s="196"/>
      <c r="N367" s="148"/>
    </row>
    <row r="368" spans="1:14">
      <c r="A368" s="196"/>
      <c r="B368" s="196"/>
      <c r="D368" s="196"/>
      <c r="E368" s="196"/>
      <c r="F368" s="196"/>
      <c r="G368" s="196"/>
      <c r="H368" s="196"/>
      <c r="I368" s="196"/>
      <c r="J368" s="196"/>
      <c r="K368" s="196"/>
      <c r="L368" s="196"/>
      <c r="M368" s="196"/>
      <c r="N368" s="148"/>
    </row>
    <row r="369" spans="7:9">
      <c r="G369" s="196"/>
      <c r="I369" s="149"/>
    </row>
    <row r="370" spans="7:9">
      <c r="G370" s="196"/>
      <c r="I370" s="149"/>
    </row>
    <row r="371" spans="7:9">
      <c r="G371" s="196"/>
    </row>
    <row r="372" spans="7:9">
      <c r="G372" s="196"/>
    </row>
    <row r="373" spans="7:9">
      <c r="G373" s="149"/>
    </row>
    <row r="374" spans="7:9">
      <c r="G374" s="149"/>
    </row>
  </sheetData>
  <sheetProtection password="BD88" sheet="1" objects="1" scenarios="1" formatColumns="0" formatRows="0"/>
  <mergeCells count="145">
    <mergeCell ref="H102:I102"/>
    <mergeCell ref="H93:J93"/>
    <mergeCell ref="I103:L103"/>
    <mergeCell ref="C257:L257"/>
    <mergeCell ref="C268:L268"/>
    <mergeCell ref="C269:L269"/>
    <mergeCell ref="C272:L273"/>
    <mergeCell ref="A236:P236"/>
    <mergeCell ref="A238:P238"/>
    <mergeCell ref="C241:L241"/>
    <mergeCell ref="I207:J207"/>
    <mergeCell ref="C242:L242"/>
    <mergeCell ref="A229:P229"/>
    <mergeCell ref="A227:P227"/>
    <mergeCell ref="A216:P216"/>
    <mergeCell ref="A244:P244"/>
    <mergeCell ref="A246:P246"/>
    <mergeCell ref="B222:L222"/>
    <mergeCell ref="A218:P218"/>
    <mergeCell ref="D249:L249"/>
    <mergeCell ref="I190:J190"/>
    <mergeCell ref="M214:N214"/>
    <mergeCell ref="I189:J189"/>
    <mergeCell ref="I197:J197"/>
    <mergeCell ref="I198:J198"/>
    <mergeCell ref="I199:J199"/>
    <mergeCell ref="I201:J201"/>
    <mergeCell ref="I200:J200"/>
    <mergeCell ref="I202:J202"/>
    <mergeCell ref="B209:L210"/>
    <mergeCell ref="I206:J206"/>
    <mergeCell ref="E212:H212"/>
    <mergeCell ref="I214:J214"/>
    <mergeCell ref="E213:P213"/>
    <mergeCell ref="I203:J203"/>
    <mergeCell ref="I204:J204"/>
    <mergeCell ref="A23:E23"/>
    <mergeCell ref="L23:O23"/>
    <mergeCell ref="A24:E24"/>
    <mergeCell ref="L17:O17"/>
    <mergeCell ref="L18:O18"/>
    <mergeCell ref="C72:L72"/>
    <mergeCell ref="A45:P45"/>
    <mergeCell ref="L28:O28"/>
    <mergeCell ref="G28:J28"/>
    <mergeCell ref="A43:P43"/>
    <mergeCell ref="A52:P52"/>
    <mergeCell ref="A25:E25"/>
    <mergeCell ref="A36:P36"/>
    <mergeCell ref="A28:E28"/>
    <mergeCell ref="A34:P34"/>
    <mergeCell ref="A26:E26"/>
    <mergeCell ref="G26:J26"/>
    <mergeCell ref="L26:O26"/>
    <mergeCell ref="L24:O24"/>
    <mergeCell ref="G23:J23"/>
    <mergeCell ref="H38:K40"/>
    <mergeCell ref="G171:I171"/>
    <mergeCell ref="I105:L105"/>
    <mergeCell ref="K106:L106"/>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G22:J22"/>
    <mergeCell ref="L19:O19"/>
    <mergeCell ref="G20:J20"/>
    <mergeCell ref="G21:J21"/>
    <mergeCell ref="A22:E22"/>
    <mergeCell ref="A87:P87"/>
    <mergeCell ref="G25:J25"/>
    <mergeCell ref="L25:O25"/>
    <mergeCell ref="A54:P54"/>
    <mergeCell ref="A84:P84"/>
    <mergeCell ref="A82:P82"/>
    <mergeCell ref="I57:L57"/>
    <mergeCell ref="A59:P59"/>
    <mergeCell ref="O31:O32"/>
    <mergeCell ref="C67:L67"/>
    <mergeCell ref="G27:J27"/>
    <mergeCell ref="J63:L63"/>
    <mergeCell ref="I86:L86"/>
    <mergeCell ref="A27:E27"/>
    <mergeCell ref="L27:O27"/>
    <mergeCell ref="A61:P61"/>
    <mergeCell ref="J171:L171"/>
    <mergeCell ref="K102:L102"/>
    <mergeCell ref="K100:L100"/>
    <mergeCell ref="K99:L99"/>
    <mergeCell ref="A146:P146"/>
    <mergeCell ref="A284:P284"/>
    <mergeCell ref="I96:L96"/>
    <mergeCell ref="I97:J97"/>
    <mergeCell ref="I98:J98"/>
    <mergeCell ref="A117:P117"/>
    <mergeCell ref="A154:P154"/>
    <mergeCell ref="A152:P152"/>
    <mergeCell ref="B165:M165"/>
    <mergeCell ref="I193:J193"/>
    <mergeCell ref="I194:J194"/>
    <mergeCell ref="I195:J195"/>
    <mergeCell ref="A119:P119"/>
    <mergeCell ref="K124:M124"/>
    <mergeCell ref="C123:L123"/>
    <mergeCell ref="A144:P144"/>
    <mergeCell ref="A167:I167"/>
    <mergeCell ref="A178:P178"/>
    <mergeCell ref="J167:P167"/>
    <mergeCell ref="A176:P176"/>
    <mergeCell ref="K93:P93"/>
    <mergeCell ref="A286:P286"/>
    <mergeCell ref="A132:P132"/>
    <mergeCell ref="A134:P134"/>
    <mergeCell ref="B139:N139"/>
    <mergeCell ref="A275:P275"/>
    <mergeCell ref="A277:P277"/>
    <mergeCell ref="J270:K270"/>
    <mergeCell ref="C253:L253"/>
    <mergeCell ref="C255:L255"/>
    <mergeCell ref="C256:L256"/>
    <mergeCell ref="C258:L258"/>
    <mergeCell ref="C261:L261"/>
    <mergeCell ref="C262:L262"/>
    <mergeCell ref="C265:L265"/>
    <mergeCell ref="C266:L266"/>
    <mergeCell ref="B233:L233"/>
    <mergeCell ref="I196:J196"/>
    <mergeCell ref="I191:J191"/>
    <mergeCell ref="I192:J192"/>
    <mergeCell ref="A162:P162"/>
    <mergeCell ref="E170:H170"/>
    <mergeCell ref="A160:P160"/>
    <mergeCell ref="B140:N140"/>
  </mergeCells>
  <phoneticPr fontId="7" type="noConversion"/>
  <conditionalFormatting sqref="L279 L260 L263:L264 R272:R273 L270:L271 R240 L267 M272:P272 M233:N234 L232 L234 R233:R234 R220:R221 L220 R223:R225 K214:M214 R211 I207 L207 M204:P204 L169 R165 L30 N164 N169 R149:R150 R157:R158 R190:R204 L136 L122 N136 L190:L203 R48:R50 N56 N63 L48:L50 R40:R41 R30 N242">
    <cfRule type="cellIs" dxfId="3" priority="21" stopIfTrue="1" operator="equal">
      <formula>"* * Check Score! * *"</formula>
    </cfRule>
  </conditionalFormatting>
  <conditionalFormatting sqref="O270">
    <cfRule type="cellIs" dxfId="2" priority="7" operator="greaterThan">
      <formula>M270</formula>
    </cfRule>
  </conditionalFormatting>
  <conditionalFormatting sqref="O271">
    <cfRule type="cellIs" dxfId="1" priority="3" operator="greaterThan">
      <formula>M271</formula>
    </cfRule>
  </conditionalFormatting>
  <conditionalFormatting sqref="H93:J93">
    <cfRule type="expression" dxfId="0" priority="2">
      <formula>AND($O$86&gt;0,$O$86&lt;4,OR($I$86="Statutory Redevelopment Plan",$I$86="Redevelopment Zone",$I$86="Local Redevelopment Plan"))</formula>
    </cfRule>
  </conditionalFormatting>
  <dataValidations count="17">
    <dataValidation type="list" allowBlank="1" showInputMessage="1" showErrorMessage="1" sqref="O171:P174 O221:P222 O224:P225 O182:P186 O190:P203 O125:P127 O123:P123 P138:P142 O157:P158 O65:P65 J70 C70 O72:P73 G70 O67:P69 H73:H74 O96:P100 O89:P89 O77:P80 P114:P115 J114:J115 O106:P112">
      <formula1>"Yes, No, N/a"</formula1>
    </dataValidation>
    <dataValidation type="list" allowBlank="1" showInputMessage="1" showErrorMessage="1" sqref="P278 O280:P280 P247 P287 P291 P239 P230 P168 P155 L149:L150">
      <formula1>"Yes, No"</formula1>
    </dataValidation>
    <dataValidation type="list" allowBlank="1" showInputMessage="1" showErrorMessage="1" sqref="O282:P282">
      <formula1>"Pass, Fail"</formula1>
    </dataValidation>
    <dataValidation type="list" allowBlank="1" showInputMessage="1" showErrorMessage="1" sqref="O251:P251 O253:P253 O255:P258">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09:C314 C304:C305"/>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0 F234">
      <formula1>$E$931:$E$951</formula1>
    </dataValidation>
    <dataValidation type="list" allowBlank="1" showInputMessage="1" showErrorMessage="1" sqref="O233:P233">
      <formula1>"Agree, Disagree"</formula1>
    </dataValidation>
    <dataValidation type="list" allowBlank="1" showInputMessage="1" showErrorMessage="1" sqref="E170:H170">
      <formula1>"&lt;&lt;Select a DCA Community Initiative&gt;&gt;, Georgia Institute for Community Housing Community, DCA Community of Opportunity"</formula1>
    </dataValidation>
    <dataValidation type="list" allowBlank="1" showInputMessage="1" showErrorMessage="1" sqref="J171:L171">
      <formula1>$I$319:$I$360</formula1>
    </dataValidation>
    <dataValidation type="list" allowBlank="1" showInputMessage="1" showErrorMessage="1" sqref="M129">
      <formula1>"&lt;Select&gt;,5,4"</formula1>
    </dataValidation>
    <dataValidation type="list" allowBlank="1" showInputMessage="1" showErrorMessage="1" sqref="G171:I171">
      <formula1>$G$319:$G$364</formula1>
    </dataValidation>
    <dataValidation type="list" allowBlank="1" showInputMessage="1" showErrorMessage="1" sqref="L91">
      <formula1>"Upper, Middle"</formula1>
    </dataValidation>
    <dataValidation type="list" allowBlank="1" showInputMessage="1" showErrorMessage="1" sqref="I97:J97">
      <formula1>"&lt;&lt;Select statute&gt;&gt;, 36-44 et seq, 36-61 et seq, 8-4-1 et seq"</formula1>
    </dataValidation>
    <dataValidation type="list" allowBlank="1" showInputMessage="1" showErrorMessage="1" sqref="I86:L86">
      <formula1>$C$319:$C$326</formula1>
    </dataValidation>
    <dataValidation type="list" allowBlank="1" showInputMessage="1" showErrorMessage="1" sqref="D90">
      <formula1>"&lt; Select &gt;,5%, 10%, 15%, 20%"</formula1>
    </dataValidation>
    <dataValidation type="list" allowBlank="1" showInputMessage="1" showErrorMessage="1" sqref="J63:L63">
      <formula1>"&lt;Select a Sustainable Development Certification&gt;,Earth Craft Communities,Earth Craft House Multifamily,Earth Craft House Single Family,Earth Craft House Renovation,LEED-ND,LEED for Homes,EF Green Communities"</formula1>
    </dataValidation>
    <dataValidation type="list" allowBlank="1" showInputMessage="1" showErrorMessage="1" sqref="H102:I102">
      <formula1>"&lt;&lt;Select&gt;&gt;, QCT &amp; Revitalization Plan, SEZ"</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6" manualBreakCount="6">
    <brk id="37" max="16383" man="1"/>
    <brk id="74" max="16383" man="1"/>
    <brk id="120" max="16383" man="1"/>
    <brk id="155" max="16383" man="1"/>
    <brk id="187" max="16383" man="1"/>
    <brk id="258" max="16383" man="1"/>
  </rowBreaks>
  <legacyDrawingHF r:id="rId2"/>
</worksheet>
</file>

<file path=xl/worksheets/sheet14.xml><?xml version="1.0" encoding="utf-8"?>
<worksheet xmlns="http://schemas.openxmlformats.org/spreadsheetml/2006/main" xmlns:r="http://schemas.openxmlformats.org/officeDocument/2006/relationships">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282" t="s">
        <v>3748</v>
      </c>
    </row>
    <row r="2" spans="1:6" ht="16.5">
      <c r="A2" s="1283" t="str">
        <f>'Part I-Project Information'!F23</f>
        <v>Mountain View Senior Residences</v>
      </c>
    </row>
    <row r="3" spans="1:6" ht="16.5">
      <c r="A3" s="1283" t="str">
        <f>CONCATENATE('Part I-Project Information'!F26,", ", 'Part I-Project Information'!J27," County")</f>
        <v>Stone Mountain, DeKalb County</v>
      </c>
    </row>
    <row r="4" spans="1:6" ht="16.5">
      <c r="A4" s="1773" t="str">
        <f>IF('Part IX A-Scoring Criteria'!$O$221="Yes",'Part IX A-Scoring Criteria'!B221,IF('Part IX A-Scoring Criteria'!O223="Yes",'Part IX A-Scoring Criteria'!B223,""))</f>
        <v/>
      </c>
    </row>
    <row r="5" spans="1:6" ht="6.75" customHeight="1"/>
    <row r="6" spans="1:6" ht="113.25" customHeight="1">
      <c r="A6" s="1284" t="s">
        <v>3591</v>
      </c>
      <c r="B6" s="1161" t="s">
        <v>3592</v>
      </c>
      <c r="C6" s="817"/>
      <c r="D6" s="817"/>
      <c r="E6" s="817"/>
      <c r="F6" s="817"/>
    </row>
    <row r="7" spans="1:6" ht="6.6" customHeight="1">
      <c r="A7" s="1284"/>
      <c r="B7" s="1161"/>
      <c r="C7" s="817"/>
      <c r="D7" s="817"/>
      <c r="E7" s="817"/>
      <c r="F7" s="817"/>
    </row>
    <row r="8" spans="1:6" ht="134.25" customHeight="1">
      <c r="A8" s="1284"/>
      <c r="C8" s="1774"/>
    </row>
    <row r="9" spans="1:6" ht="6.6" customHeight="1">
      <c r="A9" s="1284"/>
    </row>
    <row r="10" spans="1:6" ht="111" customHeight="1">
      <c r="A10" s="1284"/>
    </row>
    <row r="11" spans="1:6" ht="6.6" customHeight="1">
      <c r="A11" s="1284"/>
    </row>
    <row r="12" spans="1:6" ht="111" customHeight="1">
      <c r="A12" s="1284"/>
    </row>
    <row r="13" spans="1:6" ht="6.6" customHeight="1">
      <c r="A13" s="1284"/>
    </row>
    <row r="14" spans="1:6" ht="111" customHeight="1">
      <c r="A14" s="1284"/>
    </row>
    <row r="15" spans="1:6" ht="6.6" customHeight="1">
      <c r="A15" s="1284"/>
    </row>
    <row r="16" spans="1:6" ht="111" customHeight="1">
      <c r="A16" s="1284"/>
    </row>
    <row r="17" spans="1:1" ht="6.6" customHeight="1">
      <c r="A17" s="1284"/>
    </row>
    <row r="18" spans="1:1" ht="111" customHeight="1">
      <c r="A18" s="1284"/>
    </row>
    <row r="19" spans="1:1" ht="6.6" customHeight="1">
      <c r="A19" s="1284"/>
    </row>
    <row r="20" spans="1:1" ht="105.75" customHeight="1">
      <c r="A20" s="1284"/>
    </row>
    <row r="21" spans="1:1" ht="6.6" customHeight="1">
      <c r="A21" s="1284"/>
    </row>
    <row r="22" spans="1:1" ht="105.75" customHeight="1">
      <c r="A22" s="1284"/>
    </row>
    <row r="23" spans="1:1" ht="6.6" customHeight="1">
      <c r="A23" s="1284"/>
    </row>
    <row r="24" spans="1:1" ht="105.75" customHeight="1">
      <c r="A24" s="1284"/>
    </row>
    <row r="25" spans="1:1" ht="6.6" customHeight="1">
      <c r="A25" s="1775"/>
    </row>
  </sheetData>
  <sheetProtection password="BD88"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dimension ref="A1:Z58"/>
  <sheetViews>
    <sheetView showGridLines="0" workbookViewId="0">
      <selection activeCell="A27" sqref="A1:XFD1048576"/>
    </sheetView>
  </sheetViews>
  <sheetFormatPr defaultColWidth="8.85546875" defaultRowHeight="15.75"/>
  <cols>
    <col min="1" max="1" width="2.28515625" style="1776" customWidth="1"/>
    <col min="2" max="12" width="7.28515625" style="1776" customWidth="1"/>
    <col min="13" max="13" width="8.7109375" style="1776" customWidth="1"/>
    <col min="14" max="15" width="5.85546875" style="1776" customWidth="1"/>
    <col min="16" max="16384" width="8.85546875" style="1776"/>
  </cols>
  <sheetData>
    <row r="1" spans="1:26" ht="19.5">
      <c r="N1" s="1777" t="s">
        <v>1950</v>
      </c>
      <c r="O1" s="1777"/>
      <c r="P1" s="1777"/>
      <c r="Q1" s="1777"/>
      <c r="R1" s="1777"/>
      <c r="S1" s="1777"/>
      <c r="T1" s="1777"/>
      <c r="U1" s="1777"/>
      <c r="V1" s="1777"/>
      <c r="W1" s="1777"/>
      <c r="X1" s="1777"/>
      <c r="Y1" s="1777"/>
      <c r="Z1" s="1777"/>
    </row>
    <row r="3" spans="1:26">
      <c r="N3" s="1778" t="s">
        <v>1951</v>
      </c>
      <c r="O3" s="1778"/>
      <c r="P3" s="1778"/>
      <c r="Q3" s="1778"/>
      <c r="R3" s="1778"/>
      <c r="S3" s="1778"/>
      <c r="T3" s="1778"/>
      <c r="U3" s="1778"/>
      <c r="V3" s="1778"/>
      <c r="W3" s="1778"/>
      <c r="X3" s="1778"/>
      <c r="Y3" s="1778"/>
      <c r="Z3" s="1778"/>
    </row>
    <row r="4" spans="1:26">
      <c r="N4" s="1779" t="s">
        <v>1952</v>
      </c>
      <c r="O4" s="1779"/>
      <c r="P4" s="1779"/>
      <c r="Q4" s="1779"/>
      <c r="R4" s="1779"/>
      <c r="S4" s="1779"/>
      <c r="T4" s="1779"/>
      <c r="U4" s="1779"/>
      <c r="V4" s="1779"/>
      <c r="W4" s="1779"/>
      <c r="X4" s="1779"/>
      <c r="Y4" s="1779"/>
      <c r="Z4" s="1779"/>
    </row>
    <row r="6" spans="1:26">
      <c r="B6" s="1780"/>
      <c r="C6" s="1780"/>
      <c r="D6" s="1780"/>
      <c r="E6" s="1780"/>
      <c r="F6" s="1780"/>
      <c r="G6" s="1780"/>
      <c r="H6" s="1780"/>
      <c r="I6" s="1780"/>
      <c r="J6" s="1780"/>
      <c r="K6" s="1780"/>
      <c r="L6" s="1780"/>
      <c r="M6" s="1780"/>
      <c r="N6" s="1781" t="s">
        <v>891</v>
      </c>
    </row>
    <row r="7" spans="1:26" ht="57" customHeight="1">
      <c r="A7" s="1782" t="s">
        <v>3915</v>
      </c>
      <c r="B7" s="1782"/>
      <c r="C7" s="1782"/>
      <c r="D7" s="1782"/>
      <c r="E7" s="1782"/>
      <c r="F7" s="1782"/>
      <c r="G7" s="1782"/>
      <c r="H7" s="1782"/>
      <c r="I7" s="1782"/>
      <c r="J7" s="1782"/>
      <c r="K7" s="1782"/>
      <c r="L7" s="1782"/>
      <c r="M7" s="1782"/>
    </row>
    <row r="8" spans="1:26" ht="11.45" customHeight="1">
      <c r="A8" s="1780"/>
      <c r="B8" s="1780"/>
      <c r="C8" s="1780"/>
      <c r="D8" s="1780"/>
      <c r="E8" s="1780"/>
      <c r="F8" s="1780"/>
      <c r="G8" s="1780"/>
      <c r="H8" s="1780"/>
      <c r="I8" s="1780"/>
      <c r="J8" s="1780"/>
      <c r="K8" s="1780"/>
      <c r="L8" s="1780"/>
      <c r="M8" s="1780"/>
    </row>
    <row r="9" spans="1:26">
      <c r="A9" s="1780" t="s">
        <v>896</v>
      </c>
      <c r="B9" s="1780"/>
      <c r="C9" s="1780"/>
      <c r="D9" s="1780"/>
      <c r="E9" s="1780"/>
      <c r="F9" s="1780"/>
      <c r="G9" s="1780"/>
      <c r="H9" s="1780"/>
      <c r="I9" s="1780"/>
      <c r="J9" s="1780"/>
      <c r="K9" s="1780"/>
      <c r="L9" s="1780"/>
      <c r="M9" s="1780"/>
    </row>
    <row r="10" spans="1:26" ht="11.45" customHeight="1">
      <c r="A10" s="1780"/>
      <c r="B10" s="1780"/>
      <c r="C10" s="1780"/>
      <c r="D10" s="1780"/>
      <c r="E10" s="1780"/>
      <c r="F10" s="1780"/>
      <c r="G10" s="1780"/>
      <c r="H10" s="1780"/>
      <c r="I10" s="1780"/>
      <c r="J10" s="1780"/>
      <c r="K10" s="1780"/>
      <c r="L10" s="1780"/>
      <c r="M10" s="1780"/>
    </row>
    <row r="11" spans="1:26">
      <c r="A11" s="1783" t="s">
        <v>2614</v>
      </c>
      <c r="B11" s="1783"/>
      <c r="C11" s="1783"/>
      <c r="D11" s="1783"/>
      <c r="E11" s="1783"/>
      <c r="F11" s="1783"/>
      <c r="G11" s="1783"/>
      <c r="H11" s="1783"/>
      <c r="I11" s="1783"/>
      <c r="J11" s="1783"/>
      <c r="K11" s="1783"/>
      <c r="L11" s="1783"/>
      <c r="M11" s="1783"/>
    </row>
    <row r="12" spans="1:26" ht="6.75" customHeight="1">
      <c r="A12" s="1783"/>
      <c r="B12" s="1783"/>
      <c r="C12" s="1783"/>
      <c r="D12" s="1783"/>
      <c r="E12" s="1783"/>
      <c r="F12" s="1783"/>
      <c r="G12" s="1783"/>
      <c r="H12" s="1783"/>
      <c r="I12" s="1783"/>
      <c r="J12" s="1783"/>
      <c r="K12" s="1783"/>
      <c r="L12" s="1783"/>
      <c r="M12" s="1783"/>
    </row>
    <row r="13" spans="1:26" ht="44.25" customHeight="1">
      <c r="A13" s="1784" t="s">
        <v>3916</v>
      </c>
      <c r="B13" s="1784"/>
      <c r="C13" s="1784"/>
      <c r="D13" s="1784"/>
      <c r="E13" s="1784"/>
      <c r="F13" s="1784"/>
      <c r="G13" s="1784"/>
      <c r="H13" s="1784"/>
      <c r="I13" s="1784"/>
      <c r="J13" s="1784"/>
      <c r="K13" s="1784"/>
      <c r="L13" s="1784"/>
      <c r="M13" s="1784"/>
    </row>
    <row r="14" spans="1:26" ht="3" customHeight="1">
      <c r="A14" s="1783"/>
      <c r="B14" s="1783"/>
      <c r="C14" s="1783"/>
      <c r="D14" s="1783"/>
      <c r="E14" s="1783"/>
      <c r="F14" s="1783"/>
      <c r="G14" s="1783"/>
      <c r="H14" s="1783"/>
      <c r="I14" s="1783"/>
      <c r="J14" s="1783"/>
      <c r="K14" s="1783"/>
      <c r="L14" s="1783"/>
      <c r="M14" s="1783"/>
    </row>
    <row r="15" spans="1:26" ht="87.75" customHeight="1">
      <c r="A15" s="1785" t="s">
        <v>2430</v>
      </c>
      <c r="B15" s="1786" t="s">
        <v>3917</v>
      </c>
      <c r="C15" s="1786"/>
      <c r="D15" s="1786"/>
      <c r="E15" s="1786"/>
      <c r="F15" s="1786"/>
      <c r="G15" s="1786"/>
      <c r="H15" s="1786"/>
      <c r="I15" s="1786"/>
      <c r="J15" s="1786"/>
      <c r="K15" s="1786"/>
      <c r="L15" s="1786"/>
      <c r="M15" s="1786"/>
    </row>
    <row r="16" spans="1:26" ht="3" customHeight="1">
      <c r="A16" s="1783"/>
      <c r="B16" s="1783"/>
      <c r="C16" s="1783"/>
      <c r="D16" s="1783"/>
      <c r="E16" s="1783"/>
      <c r="F16" s="1783"/>
      <c r="G16" s="1783"/>
      <c r="H16" s="1783"/>
      <c r="I16" s="1783"/>
      <c r="J16" s="1783"/>
      <c r="K16" s="1783"/>
      <c r="L16" s="1783"/>
      <c r="M16" s="1783"/>
    </row>
    <row r="17" spans="1:13" ht="58.5" customHeight="1">
      <c r="A17" s="1785" t="s">
        <v>2431</v>
      </c>
      <c r="B17" s="1786" t="s">
        <v>3918</v>
      </c>
      <c r="C17" s="1786"/>
      <c r="D17" s="1786"/>
      <c r="E17" s="1786"/>
      <c r="F17" s="1786"/>
      <c r="G17" s="1786"/>
      <c r="H17" s="1786"/>
      <c r="I17" s="1786"/>
      <c r="J17" s="1786"/>
      <c r="K17" s="1786"/>
      <c r="L17" s="1786"/>
      <c r="M17" s="1786"/>
    </row>
    <row r="18" spans="1:13" ht="3" customHeight="1">
      <c r="A18" s="1783"/>
      <c r="B18" s="1783"/>
      <c r="C18" s="1783"/>
      <c r="D18" s="1783"/>
      <c r="E18" s="1783"/>
      <c r="F18" s="1783"/>
      <c r="G18" s="1783"/>
      <c r="H18" s="1783"/>
      <c r="I18" s="1783"/>
      <c r="J18" s="1783"/>
      <c r="K18" s="1783"/>
      <c r="L18" s="1783"/>
      <c r="M18" s="1783"/>
    </row>
    <row r="19" spans="1:13" ht="115.5" customHeight="1">
      <c r="A19" s="1785" t="s">
        <v>2432</v>
      </c>
      <c r="B19" s="1786" t="s">
        <v>824</v>
      </c>
      <c r="C19" s="1786"/>
      <c r="D19" s="1786"/>
      <c r="E19" s="1786"/>
      <c r="F19" s="1786"/>
      <c r="G19" s="1786"/>
      <c r="H19" s="1786"/>
      <c r="I19" s="1786"/>
      <c r="J19" s="1786"/>
      <c r="K19" s="1786"/>
      <c r="L19" s="1786"/>
      <c r="M19" s="1786"/>
    </row>
    <row r="20" spans="1:13" ht="3" customHeight="1">
      <c r="A20" s="1783"/>
      <c r="B20" s="1783"/>
      <c r="C20" s="1783"/>
      <c r="D20" s="1783"/>
      <c r="E20" s="1783"/>
      <c r="F20" s="1783"/>
      <c r="G20" s="1783"/>
      <c r="H20" s="1783"/>
      <c r="I20" s="1783"/>
      <c r="J20" s="1783"/>
      <c r="K20" s="1783"/>
      <c r="L20" s="1783"/>
      <c r="M20" s="1783"/>
    </row>
    <row r="21" spans="1:13" ht="115.5" customHeight="1">
      <c r="A21" s="1785" t="s">
        <v>3119</v>
      </c>
      <c r="B21" s="1786" t="s">
        <v>3919</v>
      </c>
      <c r="C21" s="1786"/>
      <c r="D21" s="1786"/>
      <c r="E21" s="1786"/>
      <c r="F21" s="1786"/>
      <c r="G21" s="1786"/>
      <c r="H21" s="1786"/>
      <c r="I21" s="1786"/>
      <c r="J21" s="1786"/>
      <c r="K21" s="1786"/>
      <c r="L21" s="1786"/>
      <c r="M21" s="1786"/>
    </row>
    <row r="22" spans="1:13" ht="3" customHeight="1">
      <c r="A22" s="1783"/>
      <c r="B22" s="1783"/>
      <c r="C22" s="1783"/>
      <c r="D22" s="1783"/>
      <c r="E22" s="1783"/>
      <c r="F22" s="1783"/>
      <c r="G22" s="1783"/>
      <c r="H22" s="1783"/>
      <c r="I22" s="1783"/>
      <c r="J22" s="1783"/>
      <c r="K22" s="1783"/>
      <c r="L22" s="1783"/>
      <c r="M22" s="1783"/>
    </row>
    <row r="23" spans="1:13" ht="44.25" customHeight="1">
      <c r="A23" s="1785" t="s">
        <v>2009</v>
      </c>
      <c r="B23" s="1786" t="s">
        <v>869</v>
      </c>
      <c r="C23" s="1786"/>
      <c r="D23" s="1786"/>
      <c r="E23" s="1786"/>
      <c r="F23" s="1786"/>
      <c r="G23" s="1786"/>
      <c r="H23" s="1786"/>
      <c r="I23" s="1786"/>
      <c r="J23" s="1786"/>
      <c r="K23" s="1786"/>
      <c r="L23" s="1786"/>
      <c r="M23" s="1786"/>
    </row>
    <row r="24" spans="1:13" ht="144.75" customHeight="1">
      <c r="A24" s="1785" t="s">
        <v>2010</v>
      </c>
      <c r="B24" s="1786" t="s">
        <v>3920</v>
      </c>
      <c r="C24" s="1786"/>
      <c r="D24" s="1786"/>
      <c r="E24" s="1786"/>
      <c r="F24" s="1786"/>
      <c r="G24" s="1786"/>
      <c r="H24" s="1786"/>
      <c r="I24" s="1786"/>
      <c r="J24" s="1786"/>
      <c r="K24" s="1786"/>
      <c r="L24" s="1786"/>
      <c r="M24" s="1786"/>
    </row>
    <row r="25" spans="1:13" ht="3" customHeight="1">
      <c r="A25" s="1783"/>
      <c r="B25" s="1783"/>
      <c r="C25" s="1783"/>
      <c r="D25" s="1783"/>
      <c r="E25" s="1783"/>
      <c r="F25" s="1783"/>
      <c r="G25" s="1783"/>
      <c r="H25" s="1783"/>
      <c r="I25" s="1783"/>
      <c r="J25" s="1783"/>
      <c r="K25" s="1783"/>
      <c r="L25" s="1783"/>
      <c r="M25" s="1783"/>
    </row>
    <row r="26" spans="1:13" ht="44.25" customHeight="1">
      <c r="A26" s="1785" t="s">
        <v>104</v>
      </c>
      <c r="B26" s="1786" t="s">
        <v>3921</v>
      </c>
      <c r="C26" s="1786"/>
      <c r="D26" s="1786"/>
      <c r="E26" s="1786"/>
      <c r="F26" s="1786"/>
      <c r="G26" s="1786"/>
      <c r="H26" s="1786"/>
      <c r="I26" s="1786"/>
      <c r="J26" s="1786"/>
      <c r="K26" s="1786"/>
      <c r="L26" s="1786"/>
      <c r="M26" s="1786"/>
    </row>
    <row r="27" spans="1:13" ht="3" customHeight="1">
      <c r="A27" s="1783"/>
      <c r="B27" s="1783"/>
      <c r="C27" s="1783"/>
      <c r="D27" s="1783"/>
      <c r="E27" s="1783"/>
      <c r="F27" s="1783"/>
      <c r="G27" s="1783"/>
      <c r="H27" s="1783"/>
      <c r="I27" s="1783"/>
      <c r="J27" s="1783"/>
      <c r="K27" s="1783"/>
      <c r="L27" s="1783"/>
      <c r="M27" s="1783"/>
    </row>
    <row r="28" spans="1:13" ht="15" customHeight="1">
      <c r="A28" s="1785" t="s">
        <v>678</v>
      </c>
      <c r="B28" s="1786" t="s">
        <v>1911</v>
      </c>
      <c r="C28" s="1786"/>
      <c r="D28" s="1786"/>
      <c r="E28" s="1786"/>
      <c r="F28" s="1786"/>
      <c r="G28" s="1786"/>
      <c r="H28" s="1786"/>
      <c r="I28" s="1786"/>
      <c r="J28" s="1786"/>
      <c r="K28" s="1786"/>
      <c r="L28" s="1786"/>
      <c r="M28" s="1786"/>
    </row>
    <row r="29" spans="1:13" ht="4.5" customHeight="1">
      <c r="A29" s="1783"/>
      <c r="B29" s="1783"/>
      <c r="C29" s="1783"/>
      <c r="D29" s="1783"/>
      <c r="E29" s="1783"/>
      <c r="F29" s="1783"/>
      <c r="G29" s="1783"/>
      <c r="H29" s="1783"/>
      <c r="I29" s="1783"/>
      <c r="J29" s="1783"/>
      <c r="K29" s="1783"/>
      <c r="L29" s="1783"/>
      <c r="M29" s="1783"/>
    </row>
    <row r="30" spans="1:13" ht="15" customHeight="1">
      <c r="A30" s="1783" t="s">
        <v>1912</v>
      </c>
      <c r="B30" s="1783"/>
      <c r="C30" s="1783"/>
      <c r="D30" s="1783"/>
      <c r="E30" s="1783"/>
      <c r="F30" s="1783"/>
      <c r="G30" s="1783"/>
      <c r="H30" s="1783"/>
      <c r="I30" s="1783"/>
      <c r="J30" s="1783"/>
      <c r="K30" s="1783"/>
      <c r="L30" s="1783"/>
      <c r="M30" s="1783"/>
    </row>
    <row r="31" spans="1:13" ht="3" customHeight="1">
      <c r="A31" s="1783"/>
      <c r="B31" s="1783"/>
      <c r="C31" s="1783"/>
      <c r="D31" s="1783"/>
      <c r="E31" s="1783"/>
      <c r="F31" s="1783"/>
      <c r="G31" s="1783"/>
      <c r="H31" s="1783"/>
      <c r="I31" s="1783"/>
      <c r="J31" s="1783"/>
      <c r="K31" s="1783"/>
      <c r="L31" s="1783"/>
      <c r="M31" s="1783"/>
    </row>
    <row r="32" spans="1:13" ht="28.5" customHeight="1">
      <c r="A32" s="1787" t="s">
        <v>1913</v>
      </c>
      <c r="B32" s="1786" t="s">
        <v>3922</v>
      </c>
      <c r="C32" s="1786"/>
      <c r="D32" s="1786"/>
      <c r="E32" s="1786"/>
      <c r="F32" s="1786"/>
      <c r="G32" s="1786"/>
      <c r="H32" s="1786"/>
      <c r="I32" s="1786"/>
      <c r="J32" s="1786"/>
      <c r="K32" s="1786"/>
      <c r="L32" s="1786"/>
      <c r="M32" s="1786"/>
    </row>
    <row r="33" spans="1:13" ht="3" customHeight="1">
      <c r="A33" s="1783"/>
      <c r="B33" s="1783"/>
      <c r="C33" s="1783"/>
      <c r="D33" s="1783"/>
      <c r="E33" s="1783"/>
      <c r="F33" s="1783"/>
      <c r="G33" s="1783"/>
      <c r="H33" s="1783"/>
      <c r="I33" s="1783"/>
      <c r="J33" s="1783"/>
      <c r="K33" s="1783"/>
      <c r="L33" s="1783"/>
      <c r="M33" s="1783"/>
    </row>
    <row r="34" spans="1:13" ht="43.5" customHeight="1">
      <c r="A34" s="1787" t="s">
        <v>1913</v>
      </c>
      <c r="B34" s="1786" t="s">
        <v>3923</v>
      </c>
      <c r="C34" s="1786"/>
      <c r="D34" s="1786"/>
      <c r="E34" s="1786"/>
      <c r="F34" s="1786"/>
      <c r="G34" s="1786"/>
      <c r="H34" s="1786"/>
      <c r="I34" s="1786"/>
      <c r="J34" s="1786"/>
      <c r="K34" s="1786"/>
      <c r="L34" s="1786"/>
      <c r="M34" s="1786"/>
    </row>
    <row r="35" spans="1:13" ht="3" customHeight="1">
      <c r="A35" s="1783"/>
      <c r="B35" s="1783"/>
      <c r="C35" s="1783"/>
      <c r="D35" s="1783"/>
      <c r="E35" s="1783"/>
      <c r="F35" s="1783"/>
      <c r="G35" s="1783"/>
      <c r="H35" s="1783"/>
      <c r="I35" s="1783"/>
      <c r="J35" s="1783"/>
      <c r="K35" s="1783"/>
      <c r="L35" s="1783"/>
      <c r="M35" s="1783"/>
    </row>
    <row r="36" spans="1:13" ht="72.75" customHeight="1">
      <c r="A36" s="1787" t="s">
        <v>1913</v>
      </c>
      <c r="B36" s="1786" t="s">
        <v>3924</v>
      </c>
      <c r="C36" s="1786"/>
      <c r="D36" s="1786"/>
      <c r="E36" s="1786"/>
      <c r="F36" s="1786"/>
      <c r="G36" s="1786"/>
      <c r="H36" s="1786"/>
      <c r="I36" s="1786"/>
      <c r="J36" s="1786"/>
      <c r="K36" s="1786"/>
      <c r="L36" s="1786"/>
      <c r="M36" s="1786"/>
    </row>
    <row r="37" spans="1:13" ht="9" customHeight="1">
      <c r="A37" s="1783"/>
      <c r="B37" s="1783"/>
      <c r="C37" s="1783"/>
      <c r="D37" s="1783"/>
      <c r="E37" s="1783"/>
      <c r="F37" s="1783"/>
      <c r="G37" s="1783"/>
      <c r="H37" s="1783"/>
      <c r="I37" s="1783"/>
      <c r="J37" s="1783"/>
      <c r="K37" s="1783"/>
      <c r="L37" s="1783"/>
      <c r="M37" s="1783"/>
    </row>
    <row r="38" spans="1:13" ht="29.25" customHeight="1">
      <c r="A38" s="1786" t="s">
        <v>1342</v>
      </c>
      <c r="B38" s="1786"/>
      <c r="C38" s="1786"/>
      <c r="D38" s="1786"/>
      <c r="E38" s="1786"/>
      <c r="F38" s="1786"/>
      <c r="G38" s="1786"/>
      <c r="H38" s="1786"/>
      <c r="I38" s="1786"/>
      <c r="J38" s="1786"/>
      <c r="K38" s="1786"/>
      <c r="L38" s="1786"/>
      <c r="M38" s="1786"/>
    </row>
    <row r="39" spans="1:13" ht="3" customHeight="1">
      <c r="A39" s="1783"/>
      <c r="B39" s="1783"/>
      <c r="C39" s="1783"/>
      <c r="D39" s="1783"/>
      <c r="E39" s="1783"/>
      <c r="F39" s="1783"/>
      <c r="G39" s="1783"/>
      <c r="H39" s="1783"/>
      <c r="I39" s="1783"/>
      <c r="J39" s="1783"/>
      <c r="K39" s="1783"/>
      <c r="L39" s="1783"/>
      <c r="M39" s="1783"/>
    </row>
    <row r="40" spans="1:13" ht="29.25" customHeight="1">
      <c r="A40" s="1786" t="s">
        <v>3925</v>
      </c>
      <c r="B40" s="1786"/>
      <c r="C40" s="1786"/>
      <c r="D40" s="1786"/>
      <c r="E40" s="1786"/>
      <c r="F40" s="1786"/>
      <c r="G40" s="1786"/>
      <c r="H40" s="1786"/>
      <c r="I40" s="1786"/>
      <c r="J40" s="1786"/>
      <c r="K40" s="1786"/>
      <c r="L40" s="1786"/>
      <c r="M40" s="1786"/>
    </row>
    <row r="41" spans="1:13" ht="3" customHeight="1">
      <c r="A41" s="1783"/>
      <c r="B41" s="1783"/>
      <c r="C41" s="1783"/>
      <c r="D41" s="1783"/>
      <c r="E41" s="1783"/>
      <c r="F41" s="1783"/>
      <c r="G41" s="1783"/>
      <c r="H41" s="1783"/>
      <c r="I41" s="1783"/>
      <c r="J41" s="1783"/>
      <c r="K41" s="1783"/>
      <c r="L41" s="1783"/>
      <c r="M41" s="1783"/>
    </row>
    <row r="42" spans="1:13">
      <c r="A42" s="1783" t="s">
        <v>1318</v>
      </c>
      <c r="B42" s="1783"/>
      <c r="C42" s="1783"/>
      <c r="D42" s="1783"/>
      <c r="E42" s="1783"/>
      <c r="F42" s="1783"/>
      <c r="G42" s="1783"/>
      <c r="H42" s="1783"/>
      <c r="I42" s="1783"/>
      <c r="J42" s="1783"/>
      <c r="K42" s="1783"/>
      <c r="L42" s="1783"/>
      <c r="M42" s="1783"/>
    </row>
    <row r="43" spans="1:13">
      <c r="A43" s="1788"/>
      <c r="B43" s="1788"/>
      <c r="C43" s="1788"/>
      <c r="D43" s="1788"/>
      <c r="E43" s="1788"/>
      <c r="F43" s="1788"/>
      <c r="G43" s="1788"/>
      <c r="H43" s="1788"/>
      <c r="I43" s="1788"/>
      <c r="J43" s="1788"/>
      <c r="K43" s="1788"/>
      <c r="L43" s="1788"/>
      <c r="M43" s="1788"/>
    </row>
    <row r="44" spans="1:13">
      <c r="A44" s="1789" t="s">
        <v>4067</v>
      </c>
      <c r="B44" s="1789"/>
      <c r="C44" s="1789"/>
      <c r="D44" s="1789"/>
      <c r="E44" s="1789"/>
      <c r="F44" s="1789"/>
      <c r="G44" s="1790"/>
      <c r="H44" s="1789" t="s">
        <v>4126</v>
      </c>
      <c r="I44" s="1789"/>
      <c r="J44" s="1789"/>
      <c r="K44" s="1789"/>
      <c r="L44" s="1789"/>
      <c r="M44" s="1789"/>
    </row>
    <row r="45" spans="1:13" ht="12" customHeight="1">
      <c r="A45" s="1791" t="s">
        <v>1319</v>
      </c>
      <c r="B45" s="1791"/>
      <c r="C45" s="1791"/>
      <c r="D45" s="1791"/>
      <c r="E45" s="1791"/>
      <c r="F45" s="1791"/>
      <c r="G45" s="1790"/>
      <c r="H45" s="1791" t="s">
        <v>2691</v>
      </c>
      <c r="I45" s="1791"/>
      <c r="J45" s="1791"/>
      <c r="K45" s="1791"/>
      <c r="L45" s="1791"/>
      <c r="M45" s="1791"/>
    </row>
    <row r="46" spans="1:13">
      <c r="A46" s="1790"/>
      <c r="B46" s="1790"/>
      <c r="C46" s="1790"/>
      <c r="D46" s="1790"/>
      <c r="E46" s="1790"/>
      <c r="F46" s="1790"/>
      <c r="G46" s="1790"/>
      <c r="H46" s="1790"/>
      <c r="I46" s="1790"/>
      <c r="J46" s="1790"/>
      <c r="K46" s="1790"/>
      <c r="L46" s="1790"/>
      <c r="M46" s="1790"/>
    </row>
    <row r="47" spans="1:13">
      <c r="A47" s="1789"/>
      <c r="B47" s="1789"/>
      <c r="C47" s="1789"/>
      <c r="D47" s="1789"/>
      <c r="E47" s="1789"/>
      <c r="F47" s="1789"/>
      <c r="G47" s="1790"/>
      <c r="H47" s="1792"/>
      <c r="I47" s="1792"/>
      <c r="J47" s="1792"/>
      <c r="K47" s="1792"/>
      <c r="L47" s="1792"/>
      <c r="M47" s="1792"/>
    </row>
    <row r="48" spans="1:13" ht="12" customHeight="1">
      <c r="A48" s="1791" t="s">
        <v>1320</v>
      </c>
      <c r="B48" s="1791"/>
      <c r="C48" s="1791"/>
      <c r="D48" s="1791"/>
      <c r="E48" s="1791"/>
      <c r="F48" s="1791"/>
      <c r="G48" s="1790"/>
      <c r="H48" s="1791" t="s">
        <v>1321</v>
      </c>
      <c r="I48" s="1791"/>
      <c r="J48" s="1791"/>
      <c r="K48" s="1791"/>
      <c r="L48" s="1791"/>
      <c r="M48" s="1791"/>
    </row>
    <row r="49" spans="1:13" ht="11.45" customHeight="1">
      <c r="A49" s="1783"/>
      <c r="B49" s="1783"/>
      <c r="C49" s="1783"/>
      <c r="D49" s="1783"/>
      <c r="E49" s="1783"/>
      <c r="F49" s="1783"/>
      <c r="G49" s="1783"/>
      <c r="H49" s="1783"/>
      <c r="I49" s="1783"/>
      <c r="J49" s="1783"/>
      <c r="K49" s="1783"/>
      <c r="L49" s="1783"/>
      <c r="M49" s="1783"/>
    </row>
    <row r="50" spans="1:13" ht="11.45" customHeight="1">
      <c r="A50" s="1780"/>
      <c r="B50" s="1780"/>
      <c r="C50" s="1780"/>
      <c r="D50" s="1780"/>
      <c r="E50" s="1780"/>
      <c r="F50" s="1780"/>
      <c r="G50" s="1780"/>
      <c r="H50" s="1793" t="s">
        <v>1322</v>
      </c>
      <c r="I50" s="1793"/>
      <c r="J50" s="1793"/>
      <c r="K50" s="1793"/>
      <c r="L50" s="1793"/>
      <c r="M50" s="1793"/>
    </row>
    <row r="51" spans="1:13" ht="11.45" customHeight="1">
      <c r="A51" s="1780"/>
      <c r="B51" s="1780"/>
      <c r="C51" s="1780"/>
      <c r="D51" s="1780"/>
      <c r="E51" s="1780"/>
      <c r="F51" s="1780"/>
      <c r="G51" s="1780"/>
    </row>
    <row r="52" spans="1:13" ht="11.45" customHeight="1">
      <c r="A52" s="1780"/>
      <c r="B52" s="1780"/>
      <c r="C52" s="1780"/>
      <c r="D52" s="1780"/>
      <c r="E52" s="1780"/>
      <c r="F52" s="1780"/>
      <c r="G52" s="1780"/>
      <c r="H52" s="1780"/>
      <c r="I52" s="1780"/>
      <c r="J52" s="1780"/>
      <c r="K52" s="1780"/>
      <c r="L52" s="1780"/>
      <c r="M52" s="1780"/>
    </row>
    <row r="53" spans="1:13" ht="11.45" customHeight="1">
      <c r="A53" s="1780"/>
      <c r="B53" s="1780"/>
      <c r="C53" s="1780"/>
      <c r="D53" s="1780"/>
      <c r="E53" s="1780"/>
      <c r="F53" s="1780"/>
      <c r="G53" s="1780"/>
      <c r="H53" s="1780"/>
      <c r="I53" s="1780"/>
      <c r="J53" s="1780"/>
      <c r="K53" s="1780"/>
      <c r="L53" s="1780"/>
      <c r="M53" s="1780"/>
    </row>
    <row r="54" spans="1:13" ht="11.45" customHeight="1"/>
    <row r="55" spans="1:13" ht="11.45" customHeight="1"/>
    <row r="56" spans="1:13" ht="11.45" customHeight="1"/>
    <row r="57" spans="1:13" ht="11.45" customHeight="1"/>
    <row r="58" spans="1:13" ht="11.45" customHeight="1"/>
  </sheetData>
  <sheetProtection password="BD88" sheet="1" objects="1" scenarios="1"/>
  <mergeCells count="43">
    <mergeCell ref="H50:M50"/>
    <mergeCell ref="A40:M40"/>
    <mergeCell ref="A41:M41"/>
    <mergeCell ref="A42:M42"/>
    <mergeCell ref="A44:F44"/>
    <mergeCell ref="H44:M44"/>
    <mergeCell ref="A45:F45"/>
    <mergeCell ref="H45:M45"/>
    <mergeCell ref="A47:F47"/>
    <mergeCell ref="H47:M47"/>
    <mergeCell ref="A48:F48"/>
    <mergeCell ref="H48:M48"/>
    <mergeCell ref="A49:M49"/>
    <mergeCell ref="A39:M39"/>
    <mergeCell ref="B28:M28"/>
    <mergeCell ref="A29:M29"/>
    <mergeCell ref="A30:M30"/>
    <mergeCell ref="A31:M31"/>
    <mergeCell ref="B32:M32"/>
    <mergeCell ref="A33:M33"/>
    <mergeCell ref="B34:M34"/>
    <mergeCell ref="A35:M35"/>
    <mergeCell ref="B36:M36"/>
    <mergeCell ref="A37:M37"/>
    <mergeCell ref="A38:M38"/>
    <mergeCell ref="A27:M27"/>
    <mergeCell ref="A16:M16"/>
    <mergeCell ref="B17:M17"/>
    <mergeCell ref="A18:M18"/>
    <mergeCell ref="B19:M19"/>
    <mergeCell ref="A20:M20"/>
    <mergeCell ref="B21:M21"/>
    <mergeCell ref="A22:M22"/>
    <mergeCell ref="B23:M23"/>
    <mergeCell ref="B24:M24"/>
    <mergeCell ref="A25:M25"/>
    <mergeCell ref="B26:M26"/>
    <mergeCell ref="B15:M15"/>
    <mergeCell ref="A7:M7"/>
    <mergeCell ref="A11:M11"/>
    <mergeCell ref="A12:M12"/>
    <mergeCell ref="A13:M13"/>
    <mergeCell ref="A14:M14"/>
  </mergeCells>
  <printOptions horizontalCentered="1"/>
  <pageMargins left="0.75" right="0.75" top="0.8" bottom="0.7" header="0.5" footer="0.5"/>
  <pageSetup fitToHeight="0" orientation="portrait" r:id="rId1"/>
  <headerFooter alignWithMargins="0">
    <oddFooter>&amp;L&amp;"Times New Roman,Regular"&amp;8&amp;G  2013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1"/>
  <sheetViews>
    <sheetView showGridLines="0" topLeftCell="A32" zoomScale="96" zoomScaleNormal="96" workbookViewId="0">
      <selection activeCell="Q56" sqref="Q56"/>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14" customFormat="1" ht="3" customHeight="1">
      <c r="A1" s="215"/>
      <c r="B1" s="215"/>
      <c r="C1" s="215"/>
      <c r="D1" s="215"/>
      <c r="E1" s="215"/>
      <c r="F1" s="215"/>
      <c r="G1" s="215"/>
      <c r="H1" s="215"/>
      <c r="I1" s="215"/>
      <c r="J1" s="215"/>
      <c r="K1" s="215"/>
      <c r="L1" s="215"/>
      <c r="M1" s="215"/>
      <c r="N1" s="215"/>
      <c r="O1" s="215"/>
      <c r="P1" s="215"/>
    </row>
    <row r="2" spans="1:26" s="353" customFormat="1" ht="13.15" customHeight="1">
      <c r="A2" s="1165" t="s">
        <v>914</v>
      </c>
      <c r="B2" s="1166"/>
      <c r="C2" s="1166"/>
      <c r="D2" s="1166"/>
      <c r="E2" s="1166"/>
      <c r="F2" s="1166"/>
      <c r="G2" s="1166"/>
      <c r="H2" s="1166"/>
      <c r="I2" s="1166"/>
      <c r="J2" s="1166"/>
      <c r="K2" s="1166"/>
      <c r="L2" s="1166"/>
      <c r="M2" s="1166"/>
      <c r="N2" s="1166"/>
      <c r="O2" s="1166"/>
      <c r="P2" s="1166"/>
      <c r="Q2" s="1166"/>
      <c r="R2" s="1167"/>
      <c r="S2" s="216"/>
      <c r="T2" s="216"/>
      <c r="U2" s="216"/>
    </row>
    <row r="3" spans="1:26" s="353" customFormat="1" ht="4.1500000000000004" customHeight="1">
      <c r="A3" s="217"/>
      <c r="B3" s="217"/>
      <c r="C3" s="217"/>
      <c r="D3" s="217"/>
      <c r="E3" s="217"/>
      <c r="F3" s="217"/>
      <c r="G3" s="217"/>
      <c r="H3" s="217"/>
      <c r="I3" s="217"/>
      <c r="J3" s="217"/>
      <c r="K3" s="217"/>
      <c r="L3" s="217"/>
      <c r="M3" s="217"/>
      <c r="N3" s="217"/>
      <c r="O3" s="217"/>
      <c r="P3" s="217"/>
      <c r="Q3" s="216"/>
      <c r="R3" s="216"/>
      <c r="S3" s="216"/>
      <c r="T3" s="216"/>
      <c r="U3" s="216"/>
    </row>
    <row r="4" spans="1:26" s="353" customFormat="1" ht="12" customHeight="1">
      <c r="A4" s="354" t="s">
        <v>2419</v>
      </c>
      <c r="B4" s="354"/>
      <c r="C4" s="354"/>
      <c r="D4" s="216"/>
      <c r="E4" s="216"/>
      <c r="F4" s="354" t="s">
        <v>2420</v>
      </c>
      <c r="G4" s="354"/>
      <c r="H4" s="216"/>
      <c r="I4" s="216"/>
      <c r="J4" s="354" t="s">
        <v>2421</v>
      </c>
      <c r="K4" s="354"/>
      <c r="L4" s="354"/>
      <c r="M4" s="354"/>
      <c r="N4" s="354"/>
      <c r="O4" s="354"/>
      <c r="P4" s="216"/>
      <c r="Q4" s="355" t="s">
        <v>2422</v>
      </c>
      <c r="R4" s="356" t="s">
        <v>2423</v>
      </c>
      <c r="S4" s="216"/>
      <c r="T4" s="216"/>
      <c r="U4" s="216"/>
      <c r="W4" s="357"/>
      <c r="X4" s="357"/>
      <c r="Y4" s="357"/>
      <c r="Z4" s="357"/>
    </row>
    <row r="5" spans="1:26" s="353" customFormat="1" ht="4.1500000000000004" customHeight="1">
      <c r="A5" s="354"/>
      <c r="B5" s="354"/>
      <c r="C5" s="354"/>
      <c r="D5" s="354"/>
      <c r="E5" s="216"/>
      <c r="F5" s="354"/>
      <c r="G5" s="354"/>
      <c r="H5" s="216"/>
      <c r="I5" s="216"/>
      <c r="J5" s="354"/>
      <c r="K5" s="354"/>
      <c r="L5" s="354"/>
      <c r="M5" s="354"/>
      <c r="N5" s="354"/>
      <c r="O5" s="354"/>
      <c r="P5" s="216"/>
      <c r="Q5" s="355"/>
      <c r="R5" s="356"/>
      <c r="S5" s="216"/>
      <c r="T5" s="216"/>
      <c r="U5" s="216"/>
      <c r="W5" s="357"/>
      <c r="X5" s="357"/>
      <c r="Y5" s="357"/>
      <c r="Z5" s="357"/>
    </row>
    <row r="6" spans="1:26" s="353" customFormat="1" ht="11.45" customHeight="1">
      <c r="A6" s="358" t="s">
        <v>2424</v>
      </c>
      <c r="B6" s="218"/>
      <c r="C6" s="218"/>
      <c r="D6" s="216"/>
      <c r="E6" s="216"/>
      <c r="F6" s="218" t="s">
        <v>674</v>
      </c>
      <c r="G6" s="218"/>
      <c r="H6" s="216"/>
      <c r="I6" s="216"/>
      <c r="J6" s="218" t="s">
        <v>2425</v>
      </c>
      <c r="K6" s="218"/>
      <c r="L6" s="218"/>
      <c r="M6" s="218"/>
      <c r="N6" s="218"/>
      <c r="O6" s="218"/>
      <c r="P6" s="216"/>
      <c r="Q6" s="359" t="s">
        <v>2426</v>
      </c>
      <c r="R6" s="359">
        <v>950000</v>
      </c>
      <c r="S6" s="216"/>
      <c r="T6" s="216"/>
      <c r="U6" s="216"/>
      <c r="V6" s="360"/>
      <c r="W6" s="360"/>
      <c r="X6" s="219"/>
    </row>
    <row r="7" spans="1:26" s="353" customFormat="1" ht="11.45" customHeight="1">
      <c r="A7" s="358"/>
      <c r="B7" s="218"/>
      <c r="C7" s="218"/>
      <c r="D7" s="216"/>
      <c r="E7" s="216"/>
      <c r="F7" s="218"/>
      <c r="G7" s="218"/>
      <c r="H7" s="216"/>
      <c r="I7" s="216"/>
      <c r="J7" s="218" t="s">
        <v>1679</v>
      </c>
      <c r="K7" s="218"/>
      <c r="L7" s="218"/>
      <c r="M7" s="218"/>
      <c r="N7" s="218"/>
      <c r="O7" s="218"/>
      <c r="P7" s="216"/>
      <c r="Q7" s="359" t="s">
        <v>2426</v>
      </c>
      <c r="R7" s="359">
        <v>1700000</v>
      </c>
      <c r="S7" s="216"/>
      <c r="T7" s="216"/>
      <c r="U7" s="216"/>
      <c r="V7" s="360"/>
      <c r="W7" s="360"/>
      <c r="X7" s="219"/>
    </row>
    <row r="8" spans="1:26" s="353" customFormat="1" ht="11.45" customHeight="1">
      <c r="A8" s="218"/>
      <c r="B8" s="218"/>
      <c r="C8" s="218"/>
      <c r="D8" s="216"/>
      <c r="E8" s="216"/>
      <c r="F8" s="218" t="s">
        <v>3173</v>
      </c>
      <c r="G8" s="218"/>
      <c r="H8" s="216"/>
      <c r="I8" s="216"/>
      <c r="J8" s="218" t="s">
        <v>2458</v>
      </c>
      <c r="K8" s="218"/>
      <c r="L8" s="218"/>
      <c r="M8" s="218"/>
      <c r="N8" s="218"/>
      <c r="O8" s="218"/>
      <c r="P8" s="216"/>
      <c r="Q8" s="359">
        <v>1000000</v>
      </c>
      <c r="R8" s="359">
        <v>2500000</v>
      </c>
      <c r="S8" s="361"/>
      <c r="T8" s="361"/>
      <c r="U8" s="216"/>
      <c r="V8" s="362"/>
      <c r="W8" s="362"/>
      <c r="X8" s="362"/>
    </row>
    <row r="9" spans="1:26" s="353" customFormat="1" ht="11.45" customHeight="1">
      <c r="A9" s="358"/>
      <c r="B9" s="218"/>
      <c r="C9" s="218"/>
      <c r="D9" s="216"/>
      <c r="E9" s="216"/>
      <c r="F9" s="218"/>
      <c r="G9" s="218"/>
      <c r="H9" s="216"/>
      <c r="I9" s="216"/>
      <c r="J9" s="218" t="s">
        <v>3140</v>
      </c>
      <c r="K9" s="218"/>
      <c r="L9" s="218"/>
      <c r="M9" s="218"/>
      <c r="N9" s="218"/>
      <c r="O9" s="218"/>
      <c r="P9" s="216"/>
      <c r="Q9" s="359" t="s">
        <v>2426</v>
      </c>
      <c r="R9" s="371">
        <v>0.25</v>
      </c>
      <c r="S9" s="216"/>
      <c r="T9" s="216"/>
      <c r="U9" s="216"/>
      <c r="V9" s="360"/>
      <c r="W9" s="360"/>
      <c r="X9" s="219"/>
    </row>
    <row r="10" spans="1:26" s="353" customFormat="1" ht="11.45" customHeight="1">
      <c r="A10" s="218"/>
      <c r="B10" s="218"/>
      <c r="C10" s="218"/>
      <c r="D10" s="216"/>
      <c r="E10" s="216"/>
      <c r="F10" s="218"/>
      <c r="G10" s="218"/>
      <c r="H10" s="216"/>
      <c r="I10" s="216"/>
      <c r="J10" s="363" t="s">
        <v>619</v>
      </c>
      <c r="K10" s="363" t="s">
        <v>3206</v>
      </c>
      <c r="L10" s="363" t="s">
        <v>3207</v>
      </c>
      <c r="M10" s="363" t="s">
        <v>3208</v>
      </c>
      <c r="N10" s="363" t="s">
        <v>3209</v>
      </c>
      <c r="O10" s="218"/>
      <c r="P10" s="216"/>
      <c r="Q10" s="364"/>
      <c r="R10" s="364"/>
      <c r="S10" s="361"/>
      <c r="T10" s="361"/>
      <c r="U10" s="216"/>
      <c r="V10" s="362"/>
      <c r="W10" s="362"/>
      <c r="X10" s="362"/>
    </row>
    <row r="11" spans="1:26" s="353" customFormat="1" ht="11.45" customHeight="1">
      <c r="A11" s="218"/>
      <c r="B11" s="218"/>
      <c r="C11" s="218"/>
      <c r="D11" s="216"/>
      <c r="E11" s="216"/>
      <c r="F11" s="218" t="s">
        <v>1680</v>
      </c>
      <c r="G11" s="218"/>
      <c r="H11" s="216"/>
      <c r="I11" s="216"/>
      <c r="J11" s="365">
        <v>110481</v>
      </c>
      <c r="K11" s="365">
        <v>126647</v>
      </c>
      <c r="L11" s="365">
        <v>154003</v>
      </c>
      <c r="M11" s="365">
        <v>199229</v>
      </c>
      <c r="N11" s="365">
        <v>199229</v>
      </c>
      <c r="O11" s="218"/>
      <c r="Q11" s="359" t="s">
        <v>2426</v>
      </c>
      <c r="R11" s="359">
        <f>'Part VI-Revenues &amp; Expenses'!$H$62*$J11+'Part VI-Revenues &amp; Expenses'!$I$62*$K11+'Part VI-Revenues &amp; Expenses'!$J$62*$L11+'Part VI-Revenues &amp; Expenses'!$K$62*$M11+'Part VI-Revenues &amp; Expenses'!$L$62*$N11</f>
        <v>10514744</v>
      </c>
      <c r="S11" s="380" t="s">
        <v>1161</v>
      </c>
      <c r="T11" s="361"/>
      <c r="U11" s="216"/>
      <c r="V11" s="362"/>
      <c r="W11" s="362"/>
      <c r="X11" s="362"/>
    </row>
    <row r="12" spans="1:26" s="353" customFormat="1" ht="11.45" customHeight="1">
      <c r="A12" s="218"/>
      <c r="B12" s="218"/>
      <c r="C12" s="218"/>
      <c r="D12" s="216"/>
      <c r="E12" s="216"/>
      <c r="F12" s="218" t="s">
        <v>1681</v>
      </c>
      <c r="G12" s="218"/>
      <c r="H12" s="216"/>
      <c r="I12" s="216"/>
      <c r="J12" s="365">
        <v>121529</v>
      </c>
      <c r="K12" s="365">
        <v>139312</v>
      </c>
      <c r="L12" s="365">
        <v>169403</v>
      </c>
      <c r="M12" s="365">
        <v>219152</v>
      </c>
      <c r="N12" s="365">
        <v>219152</v>
      </c>
      <c r="O12" s="218"/>
      <c r="Q12" s="359" t="s">
        <v>2426</v>
      </c>
      <c r="R12" s="359">
        <f>'Part VI-Revenues &amp; Expenses'!$H$62*$J12+'Part VI-Revenues &amp; Expenses'!$I$62*$K12+'Part VI-Revenues &amp; Expenses'!$J$62*$L12+'Part VI-Revenues &amp; Expenses'!$K$62*$M12+'Part VI-Revenues &amp; Expenses'!$L$62*$N12</f>
        <v>11566234</v>
      </c>
      <c r="S12" s="380" t="s">
        <v>1161</v>
      </c>
      <c r="T12" s="216"/>
      <c r="U12" s="216"/>
      <c r="V12" s="362"/>
      <c r="W12" s="362"/>
      <c r="X12" s="362"/>
    </row>
    <row r="13" spans="1:26" s="353" customFormat="1" ht="3" customHeight="1">
      <c r="A13" s="218"/>
      <c r="B13" s="218"/>
      <c r="C13" s="218"/>
      <c r="D13" s="218"/>
      <c r="E13" s="216"/>
      <c r="F13" s="218"/>
      <c r="G13" s="218"/>
      <c r="H13" s="366"/>
      <c r="I13" s="216"/>
      <c r="J13" s="218"/>
      <c r="K13" s="367"/>
      <c r="L13" s="367"/>
      <c r="M13" s="367"/>
      <c r="N13" s="367"/>
      <c r="O13" s="218"/>
      <c r="P13" s="216"/>
      <c r="Q13" s="364"/>
      <c r="R13" s="364"/>
      <c r="S13" s="216"/>
      <c r="T13" s="216"/>
      <c r="U13" s="216"/>
    </row>
    <row r="14" spans="1:26" s="353" customFormat="1" ht="12" customHeight="1">
      <c r="A14" s="358" t="s">
        <v>1611</v>
      </c>
      <c r="B14" s="354"/>
      <c r="C14" s="354"/>
      <c r="D14" s="354"/>
      <c r="E14" s="216"/>
      <c r="F14" s="354"/>
      <c r="G14" s="354"/>
      <c r="H14" s="354"/>
      <c r="I14" s="216"/>
      <c r="J14" s="218"/>
      <c r="K14" s="354"/>
      <c r="L14" s="354"/>
      <c r="M14" s="354"/>
      <c r="N14" s="354"/>
      <c r="O14" s="354"/>
      <c r="P14" s="216"/>
      <c r="Q14" s="355"/>
      <c r="R14" s="356"/>
      <c r="S14" s="357"/>
    </row>
    <row r="15" spans="1:26" s="353" customFormat="1" ht="11.45" customHeight="1">
      <c r="A15" s="216"/>
      <c r="B15" s="218" t="s">
        <v>1611</v>
      </c>
      <c r="C15" s="218"/>
      <c r="D15" s="216"/>
      <c r="E15" s="216"/>
      <c r="F15" s="218" t="s">
        <v>1612</v>
      </c>
      <c r="G15" s="218" t="s">
        <v>1626</v>
      </c>
      <c r="H15" s="216"/>
      <c r="I15" s="216"/>
      <c r="J15" s="218" t="s">
        <v>1987</v>
      </c>
      <c r="K15" s="218"/>
      <c r="L15" s="218"/>
      <c r="M15" s="218"/>
      <c r="N15" s="218"/>
      <c r="O15" s="218"/>
      <c r="P15" s="216"/>
      <c r="Q15" s="220">
        <v>4500</v>
      </c>
      <c r="R15" s="368" t="s">
        <v>2426</v>
      </c>
      <c r="S15" s="369"/>
    </row>
    <row r="16" spans="1:26" s="353" customFormat="1" ht="11.45" customHeight="1">
      <c r="A16" s="216"/>
      <c r="B16" s="218"/>
      <c r="C16" s="218"/>
      <c r="D16" s="216"/>
      <c r="E16" s="216"/>
      <c r="F16" s="218"/>
      <c r="G16" s="218" t="s">
        <v>2066</v>
      </c>
      <c r="H16" s="216"/>
      <c r="I16" s="216"/>
      <c r="J16" s="218" t="s">
        <v>1987</v>
      </c>
      <c r="K16" s="218"/>
      <c r="L16" s="218"/>
      <c r="M16" s="218"/>
      <c r="N16" s="218"/>
      <c r="O16" s="218"/>
      <c r="P16" s="216"/>
      <c r="Q16" s="220">
        <v>4000</v>
      </c>
      <c r="R16" s="368" t="s">
        <v>2426</v>
      </c>
      <c r="S16" s="369"/>
    </row>
    <row r="17" spans="1:21" s="353" customFormat="1" ht="11.45" customHeight="1">
      <c r="A17" s="218"/>
      <c r="B17" s="218"/>
      <c r="C17" s="218"/>
      <c r="D17" s="216"/>
      <c r="E17" s="216"/>
      <c r="F17" s="218" t="s">
        <v>2615</v>
      </c>
      <c r="G17" s="218"/>
      <c r="H17" s="216"/>
      <c r="I17" s="216"/>
      <c r="J17" s="218" t="s">
        <v>1987</v>
      </c>
      <c r="K17" s="218"/>
      <c r="L17" s="218"/>
      <c r="M17" s="218"/>
      <c r="N17" s="218"/>
      <c r="O17" s="218"/>
      <c r="P17" s="216"/>
      <c r="Q17" s="220">
        <v>3000</v>
      </c>
      <c r="R17" s="368" t="s">
        <v>2426</v>
      </c>
      <c r="S17" s="369"/>
    </row>
    <row r="18" spans="1:21" s="353" customFormat="1" ht="11.45" customHeight="1">
      <c r="A18" s="218"/>
      <c r="B18" s="218"/>
      <c r="C18" s="218"/>
      <c r="D18" s="216"/>
      <c r="E18" s="216"/>
      <c r="F18" s="218" t="s">
        <v>3536</v>
      </c>
      <c r="G18" s="218"/>
      <c r="H18" s="216"/>
      <c r="I18" s="216"/>
      <c r="J18" s="218" t="s">
        <v>1987</v>
      </c>
      <c r="K18" s="218"/>
      <c r="L18" s="218"/>
      <c r="M18" s="218"/>
      <c r="N18" s="218"/>
      <c r="O18" s="218"/>
      <c r="P18" s="216"/>
      <c r="Q18" s="220">
        <v>3000</v>
      </c>
      <c r="R18" s="368" t="s">
        <v>2426</v>
      </c>
      <c r="S18" s="369"/>
      <c r="T18" s="369"/>
      <c r="U18" s="369"/>
    </row>
    <row r="19" spans="1:21" s="353" customFormat="1" ht="11.45" customHeight="1">
      <c r="A19" s="218"/>
      <c r="B19" s="218" t="s">
        <v>1613</v>
      </c>
      <c r="C19" s="218"/>
      <c r="D19" s="216"/>
      <c r="E19" s="216"/>
      <c r="F19" s="218" t="s">
        <v>305</v>
      </c>
      <c r="G19" s="218"/>
      <c r="H19" s="216"/>
      <c r="I19" s="216"/>
      <c r="J19" s="218" t="s">
        <v>1987</v>
      </c>
      <c r="K19" s="218"/>
      <c r="L19" s="218"/>
      <c r="M19" s="218"/>
      <c r="N19" s="218"/>
      <c r="O19" s="218"/>
      <c r="P19" s="216"/>
      <c r="Q19" s="370">
        <v>350</v>
      </c>
      <c r="R19" s="368" t="s">
        <v>2426</v>
      </c>
      <c r="S19" s="369"/>
      <c r="T19" s="369"/>
      <c r="U19" s="369"/>
    </row>
    <row r="20" spans="1:21" s="353" customFormat="1" ht="11.45" customHeight="1">
      <c r="A20" s="218"/>
      <c r="B20" s="218"/>
      <c r="C20" s="218"/>
      <c r="D20" s="216"/>
      <c r="E20" s="216"/>
      <c r="F20" s="218" t="s">
        <v>1614</v>
      </c>
      <c r="G20" s="218"/>
      <c r="H20" s="216"/>
      <c r="I20" s="216"/>
      <c r="J20" s="218" t="s">
        <v>1987</v>
      </c>
      <c r="K20" s="218"/>
      <c r="L20" s="218"/>
      <c r="M20" s="218"/>
      <c r="N20" s="218"/>
      <c r="O20" s="218"/>
      <c r="P20" s="216"/>
      <c r="Q20" s="370">
        <v>250</v>
      </c>
      <c r="R20" s="368" t="s">
        <v>2426</v>
      </c>
      <c r="S20" s="369"/>
      <c r="T20" s="369"/>
      <c r="U20" s="369"/>
    </row>
    <row r="21" spans="1:21" s="353" customFormat="1" ht="11.45" customHeight="1">
      <c r="A21" s="218"/>
      <c r="B21" s="218"/>
      <c r="C21" s="218"/>
      <c r="D21" s="218"/>
      <c r="E21" s="216"/>
      <c r="F21" s="218" t="s">
        <v>1615</v>
      </c>
      <c r="G21" s="218"/>
      <c r="H21" s="216"/>
      <c r="I21" s="216"/>
      <c r="J21" s="218" t="s">
        <v>1987</v>
      </c>
      <c r="K21" s="218"/>
      <c r="L21" s="218"/>
      <c r="M21" s="218"/>
      <c r="N21" s="218"/>
      <c r="O21" s="218"/>
      <c r="P21" s="216"/>
      <c r="Q21" s="370">
        <v>420</v>
      </c>
      <c r="R21" s="368" t="s">
        <v>2426</v>
      </c>
      <c r="S21" s="369"/>
      <c r="T21" s="369"/>
      <c r="U21" s="369"/>
    </row>
    <row r="22" spans="1:21" s="353" customFormat="1" ht="11.45" customHeight="1">
      <c r="A22" s="218"/>
      <c r="B22" s="218"/>
      <c r="C22" s="218"/>
      <c r="D22" s="218"/>
      <c r="E22" s="216"/>
      <c r="F22" s="218" t="s">
        <v>1567</v>
      </c>
      <c r="G22" s="218"/>
      <c r="H22" s="216"/>
      <c r="I22" s="216"/>
      <c r="J22" s="218" t="s">
        <v>1987</v>
      </c>
      <c r="K22" s="218"/>
      <c r="L22" s="218"/>
      <c r="M22" s="218"/>
      <c r="N22" s="218"/>
      <c r="O22" s="218"/>
      <c r="P22" s="216"/>
      <c r="Q22" s="370">
        <v>420</v>
      </c>
      <c r="R22" s="368" t="s">
        <v>2426</v>
      </c>
      <c r="S22" s="369"/>
      <c r="T22" s="369"/>
      <c r="U22" s="369"/>
    </row>
    <row r="23" spans="1:21" s="353" customFormat="1" ht="3" customHeight="1">
      <c r="A23" s="216"/>
      <c r="B23" s="218"/>
      <c r="C23" s="218"/>
      <c r="D23" s="218"/>
      <c r="E23" s="216"/>
      <c r="F23" s="218"/>
      <c r="G23" s="218"/>
      <c r="H23" s="216"/>
      <c r="I23" s="216"/>
      <c r="J23" s="218"/>
      <c r="K23" s="218"/>
      <c r="L23" s="218"/>
      <c r="M23" s="218"/>
      <c r="N23" s="218"/>
      <c r="O23" s="218"/>
      <c r="P23" s="216"/>
      <c r="Q23" s="218"/>
      <c r="R23" s="363"/>
      <c r="S23" s="369"/>
      <c r="T23" s="369"/>
      <c r="U23" s="369"/>
    </row>
    <row r="24" spans="1:21" s="353" customFormat="1" ht="12" customHeight="1">
      <c r="A24" s="358" t="s">
        <v>1616</v>
      </c>
      <c r="B24" s="218"/>
      <c r="C24" s="218"/>
      <c r="D24" s="218"/>
      <c r="E24" s="216"/>
      <c r="F24" s="218"/>
      <c r="G24" s="218"/>
      <c r="H24" s="216"/>
      <c r="I24" s="216"/>
      <c r="J24" s="218"/>
      <c r="K24" s="218"/>
      <c r="L24" s="218"/>
      <c r="M24" s="218"/>
      <c r="N24" s="218"/>
      <c r="O24" s="218"/>
      <c r="P24" s="216"/>
      <c r="Q24" s="218"/>
      <c r="R24" s="363"/>
      <c r="S24" s="369"/>
      <c r="T24" s="369"/>
      <c r="U24" s="369"/>
    </row>
    <row r="25" spans="1:21" s="353" customFormat="1" ht="11.45" customHeight="1">
      <c r="A25" s="218"/>
      <c r="B25" s="218" t="s">
        <v>1617</v>
      </c>
      <c r="C25" s="218"/>
      <c r="D25" s="218"/>
      <c r="E25" s="216"/>
      <c r="F25" s="221" t="s">
        <v>1618</v>
      </c>
      <c r="G25" s="218"/>
      <c r="H25" s="216"/>
      <c r="I25" s="216"/>
      <c r="J25" s="218" t="s">
        <v>1619</v>
      </c>
      <c r="K25" s="218"/>
      <c r="L25" s="218"/>
      <c r="M25" s="218"/>
      <c r="N25" s="218"/>
      <c r="O25" s="218"/>
      <c r="P25" s="216"/>
      <c r="Q25" s="1163">
        <v>6500</v>
      </c>
      <c r="R25" s="1164"/>
      <c r="S25" s="369"/>
      <c r="T25" s="369"/>
      <c r="U25" s="369"/>
    </row>
    <row r="26" spans="1:21" s="353" customFormat="1" ht="11.45" customHeight="1">
      <c r="A26" s="218"/>
      <c r="B26" s="218"/>
      <c r="C26" s="218"/>
      <c r="D26" s="218"/>
      <c r="E26" s="216"/>
      <c r="F26" s="221" t="s">
        <v>1618</v>
      </c>
      <c r="G26" s="218"/>
      <c r="H26" s="216"/>
      <c r="I26" s="216"/>
      <c r="J26" s="218" t="s">
        <v>1620</v>
      </c>
      <c r="K26" s="218"/>
      <c r="L26" s="218"/>
      <c r="M26" s="218"/>
      <c r="N26" s="218"/>
      <c r="O26" s="218"/>
      <c r="P26" s="216"/>
      <c r="Q26" s="1163">
        <v>5500</v>
      </c>
      <c r="R26" s="1164"/>
      <c r="S26" s="369"/>
      <c r="T26" s="369"/>
      <c r="U26" s="369"/>
    </row>
    <row r="27" spans="1:21" s="353" customFormat="1" ht="11.45" customHeight="1">
      <c r="A27" s="216"/>
      <c r="B27" s="216"/>
      <c r="C27" s="218"/>
      <c r="D27" s="218"/>
      <c r="E27" s="216"/>
      <c r="F27" s="221" t="s">
        <v>1621</v>
      </c>
      <c r="G27" s="218"/>
      <c r="H27" s="216"/>
      <c r="I27" s="216"/>
      <c r="J27" s="218" t="s">
        <v>1619</v>
      </c>
      <c r="K27" s="218"/>
      <c r="L27" s="218"/>
      <c r="M27" s="218"/>
      <c r="N27" s="218"/>
      <c r="O27" s="218"/>
      <c r="P27" s="216"/>
      <c r="Q27" s="1163">
        <v>1000</v>
      </c>
      <c r="R27" s="1164"/>
      <c r="S27" s="369"/>
      <c r="T27" s="369"/>
      <c r="U27" s="369"/>
    </row>
    <row r="28" spans="1:21" s="353" customFormat="1" ht="11.45" customHeight="1">
      <c r="A28" s="218"/>
      <c r="B28" s="218"/>
      <c r="C28" s="218"/>
      <c r="D28" s="218"/>
      <c r="E28" s="216"/>
      <c r="F28" s="221" t="s">
        <v>1621</v>
      </c>
      <c r="G28" s="218"/>
      <c r="H28" s="216"/>
      <c r="I28" s="216"/>
      <c r="J28" s="218" t="s">
        <v>1620</v>
      </c>
      <c r="K28" s="218"/>
      <c r="L28" s="218"/>
      <c r="M28" s="218"/>
      <c r="N28" s="218"/>
      <c r="O28" s="218"/>
      <c r="P28" s="216"/>
      <c r="Q28" s="1163">
        <v>500</v>
      </c>
      <c r="R28" s="1164"/>
      <c r="S28" s="369"/>
      <c r="T28" s="369"/>
      <c r="U28" s="369"/>
    </row>
    <row r="29" spans="1:21" s="353" customFormat="1" ht="11.45" customHeight="1">
      <c r="A29" s="218"/>
      <c r="B29" s="218"/>
      <c r="C29" s="218"/>
      <c r="D29" s="218"/>
      <c r="E29" s="216"/>
      <c r="F29" s="221" t="s">
        <v>1065</v>
      </c>
      <c r="G29" s="218"/>
      <c r="H29" s="216"/>
      <c r="I29" s="216"/>
      <c r="J29" s="218" t="s">
        <v>1619</v>
      </c>
      <c r="K29" s="218"/>
      <c r="L29" s="218"/>
      <c r="M29" s="218"/>
      <c r="N29" s="218"/>
      <c r="O29" s="218"/>
      <c r="P29" s="216"/>
      <c r="Q29" s="1163">
        <v>7000</v>
      </c>
      <c r="R29" s="1164"/>
      <c r="S29" s="369"/>
      <c r="T29" s="369"/>
      <c r="U29" s="369"/>
    </row>
    <row r="30" spans="1:21" s="353" customFormat="1" ht="11.45" customHeight="1">
      <c r="A30" s="218"/>
      <c r="B30" s="218"/>
      <c r="C30" s="218"/>
      <c r="D30" s="218"/>
      <c r="E30" s="216"/>
      <c r="F30" s="221" t="s">
        <v>1065</v>
      </c>
      <c r="G30" s="218"/>
      <c r="H30" s="216"/>
      <c r="I30" s="216"/>
      <c r="J30" s="218" t="s">
        <v>1620</v>
      </c>
      <c r="K30" s="218"/>
      <c r="L30" s="218"/>
      <c r="M30" s="218"/>
      <c r="N30" s="218"/>
      <c r="O30" s="218"/>
      <c r="P30" s="216"/>
      <c r="Q30" s="1163">
        <v>6000</v>
      </c>
      <c r="R30" s="1164"/>
      <c r="S30" s="369"/>
      <c r="T30" s="369"/>
      <c r="U30" s="369"/>
    </row>
    <row r="31" spans="1:21" s="353" customFormat="1" ht="11.45" customHeight="1">
      <c r="A31" s="218"/>
      <c r="B31" s="218" t="s">
        <v>1066</v>
      </c>
      <c r="C31" s="218"/>
      <c r="D31" s="216"/>
      <c r="E31" s="216"/>
      <c r="F31" s="218" t="s">
        <v>305</v>
      </c>
      <c r="G31" s="218"/>
      <c r="H31" s="216"/>
      <c r="I31" s="216"/>
      <c r="J31" s="218" t="s">
        <v>3641</v>
      </c>
      <c r="K31" s="218"/>
      <c r="L31" s="218"/>
      <c r="M31" s="218"/>
      <c r="N31" s="218"/>
      <c r="O31" s="218"/>
      <c r="P31" s="216"/>
      <c r="Q31" s="359">
        <v>25000</v>
      </c>
      <c r="R31" s="368" t="s">
        <v>673</v>
      </c>
      <c r="S31" s="369"/>
      <c r="T31" s="369"/>
      <c r="U31" s="369"/>
    </row>
    <row r="32" spans="1:21" s="353" customFormat="1" ht="11.45" customHeight="1">
      <c r="A32" s="218"/>
      <c r="B32" s="218" t="s">
        <v>2672</v>
      </c>
      <c r="C32" s="218"/>
      <c r="D32" s="216"/>
      <c r="E32" s="216"/>
      <c r="F32" s="218" t="s">
        <v>1614</v>
      </c>
      <c r="G32" s="218"/>
      <c r="H32" s="216"/>
      <c r="I32" s="216"/>
      <c r="J32" s="218" t="s">
        <v>1368</v>
      </c>
      <c r="K32" s="218"/>
      <c r="L32" s="218"/>
      <c r="M32" s="218"/>
      <c r="N32" s="218"/>
      <c r="O32" s="218"/>
      <c r="P32" s="216"/>
      <c r="Q32" s="371" t="s">
        <v>1369</v>
      </c>
      <c r="R32" s="371">
        <v>0.05</v>
      </c>
      <c r="S32" s="369"/>
      <c r="T32" s="369"/>
      <c r="U32" s="369"/>
    </row>
    <row r="33" spans="1:21" s="353" customFormat="1" ht="11.45" customHeight="1">
      <c r="A33" s="218"/>
      <c r="B33" s="218"/>
      <c r="C33" s="218"/>
      <c r="D33" s="216"/>
      <c r="E33" s="216"/>
      <c r="F33" s="218"/>
      <c r="G33" s="218"/>
      <c r="H33" s="216"/>
      <c r="I33" s="216"/>
      <c r="J33" s="218" t="s">
        <v>2744</v>
      </c>
      <c r="K33" s="218"/>
      <c r="L33" s="218"/>
      <c r="M33" s="218"/>
      <c r="N33" s="218"/>
      <c r="O33" s="218"/>
      <c r="P33" s="216"/>
      <c r="Q33" s="371" t="s">
        <v>1369</v>
      </c>
      <c r="R33" s="359">
        <v>500000</v>
      </c>
      <c r="S33" s="369"/>
      <c r="T33" s="369"/>
      <c r="U33" s="369"/>
    </row>
    <row r="34" spans="1:21" s="353" customFormat="1" ht="11.45" customHeight="1">
      <c r="A34" s="218"/>
      <c r="B34" s="218"/>
      <c r="C34" s="218"/>
      <c r="D34" s="216"/>
      <c r="E34" s="216"/>
      <c r="F34" s="218" t="s">
        <v>305</v>
      </c>
      <c r="G34" s="218"/>
      <c r="H34" s="216"/>
      <c r="I34" s="216"/>
      <c r="J34" s="218" t="s">
        <v>1368</v>
      </c>
      <c r="K34" s="218"/>
      <c r="L34" s="218"/>
      <c r="M34" s="218"/>
      <c r="N34" s="218"/>
      <c r="O34" s="218"/>
      <c r="P34" s="216"/>
      <c r="Q34" s="371" t="s">
        <v>1369</v>
      </c>
      <c r="R34" s="371">
        <v>7.0000000000000007E-2</v>
      </c>
      <c r="S34" s="369"/>
      <c r="T34" s="369"/>
      <c r="U34" s="369"/>
    </row>
    <row r="35" spans="1:21" s="353" customFormat="1" ht="11.45" customHeight="1">
      <c r="A35" s="218"/>
      <c r="B35" s="218"/>
      <c r="C35" s="218"/>
      <c r="D35" s="216"/>
      <c r="E35" s="216"/>
      <c r="F35" s="218"/>
      <c r="G35" s="218"/>
      <c r="H35" s="216"/>
      <c r="I35" s="216"/>
      <c r="J35" s="218" t="s">
        <v>2744</v>
      </c>
      <c r="K35" s="218"/>
      <c r="L35" s="218"/>
      <c r="M35" s="218"/>
      <c r="N35" s="218"/>
      <c r="O35" s="218"/>
      <c r="P35" s="216"/>
      <c r="Q35" s="371" t="s">
        <v>1369</v>
      </c>
      <c r="R35" s="359">
        <v>500000</v>
      </c>
      <c r="S35" s="369"/>
      <c r="T35" s="369"/>
      <c r="U35" s="369"/>
    </row>
    <row r="36" spans="1:21" s="353" customFormat="1" ht="11.45" customHeight="1">
      <c r="A36" s="218"/>
      <c r="B36" s="218" t="s">
        <v>2751</v>
      </c>
      <c r="C36" s="218"/>
      <c r="D36" s="216"/>
      <c r="E36" s="216"/>
      <c r="F36" s="218" t="s">
        <v>2426</v>
      </c>
      <c r="G36" s="218"/>
      <c r="H36" s="216"/>
      <c r="I36" s="216"/>
      <c r="J36" s="218" t="s">
        <v>391</v>
      </c>
      <c r="K36" s="218"/>
      <c r="L36" s="218"/>
      <c r="M36" s="218"/>
      <c r="N36" s="218"/>
      <c r="O36" s="218"/>
      <c r="P36" s="216"/>
      <c r="Q36" s="368" t="s">
        <v>2426</v>
      </c>
      <c r="R36" s="371">
        <v>0.06</v>
      </c>
      <c r="S36" s="369"/>
      <c r="T36" s="369"/>
      <c r="U36" s="369"/>
    </row>
    <row r="37" spans="1:21" s="353" customFormat="1" ht="11.45" customHeight="1">
      <c r="A37" s="218"/>
      <c r="B37" s="218" t="s">
        <v>2752</v>
      </c>
      <c r="C37" s="218"/>
      <c r="D37" s="216"/>
      <c r="E37" s="216"/>
      <c r="F37" s="218" t="s">
        <v>2426</v>
      </c>
      <c r="G37" s="218"/>
      <c r="H37" s="216"/>
      <c r="I37" s="216"/>
      <c r="J37" s="218" t="s">
        <v>391</v>
      </c>
      <c r="K37" s="218"/>
      <c r="L37" s="218"/>
      <c r="M37" s="218"/>
      <c r="N37" s="218"/>
      <c r="O37" s="218"/>
      <c r="P37" s="216"/>
      <c r="Q37" s="368" t="s">
        <v>2426</v>
      </c>
      <c r="R37" s="371">
        <v>0.02</v>
      </c>
      <c r="S37" s="369"/>
      <c r="T37" s="369"/>
      <c r="U37" s="369"/>
    </row>
    <row r="38" spans="1:21" s="353" customFormat="1" ht="11.45" customHeight="1">
      <c r="A38" s="218"/>
      <c r="B38" s="218" t="s">
        <v>3537</v>
      </c>
      <c r="C38" s="218"/>
      <c r="D38" s="216"/>
      <c r="E38" s="216"/>
      <c r="F38" s="218" t="s">
        <v>2426</v>
      </c>
      <c r="G38" s="218"/>
      <c r="H38" s="216"/>
      <c r="I38" s="216"/>
      <c r="J38" s="218" t="s">
        <v>391</v>
      </c>
      <c r="K38" s="218"/>
      <c r="L38" s="218"/>
      <c r="M38" s="218"/>
      <c r="N38" s="218"/>
      <c r="O38" s="218"/>
      <c r="P38" s="216"/>
      <c r="Q38" s="368" t="s">
        <v>2426</v>
      </c>
      <c r="R38" s="371">
        <v>0.06</v>
      </c>
      <c r="S38" s="369"/>
      <c r="T38" s="369"/>
      <c r="U38" s="369"/>
    </row>
    <row r="39" spans="1:21" s="353" customFormat="1" ht="11.45" customHeight="1">
      <c r="A39" s="218"/>
      <c r="B39" s="221" t="s">
        <v>1344</v>
      </c>
      <c r="C39" s="218"/>
      <c r="D39" s="216"/>
      <c r="E39" s="216"/>
      <c r="F39" s="218" t="s">
        <v>1345</v>
      </c>
      <c r="G39" s="218"/>
      <c r="H39" s="216"/>
      <c r="I39" s="216"/>
      <c r="J39" s="218" t="s">
        <v>1346</v>
      </c>
      <c r="K39" s="218"/>
      <c r="L39" s="218"/>
      <c r="M39" s="218"/>
      <c r="N39" s="218"/>
      <c r="O39" s="218"/>
      <c r="P39" s="216"/>
      <c r="Q39" s="1162">
        <v>0.08</v>
      </c>
      <c r="R39" s="1162"/>
      <c r="S39" s="369"/>
      <c r="T39" s="369"/>
      <c r="U39" s="369"/>
    </row>
    <row r="40" spans="1:21" s="353" customFormat="1" ht="11.45" customHeight="1">
      <c r="A40" s="218"/>
      <c r="B40" s="221" t="s">
        <v>1347</v>
      </c>
      <c r="C40" s="218"/>
      <c r="D40" s="216"/>
      <c r="E40" s="216"/>
      <c r="F40" s="218" t="s">
        <v>1345</v>
      </c>
      <c r="G40" s="218"/>
      <c r="H40" s="216"/>
      <c r="I40" s="216"/>
      <c r="J40" s="218" t="s">
        <v>1346</v>
      </c>
      <c r="K40" s="218"/>
      <c r="L40" s="218"/>
      <c r="M40" s="218"/>
      <c r="N40" s="218"/>
      <c r="O40" s="218"/>
      <c r="P40" s="216"/>
      <c r="Q40" s="1162">
        <v>0.08</v>
      </c>
      <c r="R40" s="1162"/>
      <c r="S40" s="369"/>
      <c r="T40" s="369"/>
      <c r="U40" s="369"/>
    </row>
    <row r="41" spans="1:21" s="353" customFormat="1" ht="11.45" customHeight="1">
      <c r="A41" s="218"/>
      <c r="B41" s="221" t="s">
        <v>599</v>
      </c>
      <c r="C41" s="218"/>
      <c r="D41" s="216"/>
      <c r="E41" s="216"/>
      <c r="F41" s="218"/>
      <c r="G41" s="218"/>
      <c r="H41" s="216"/>
      <c r="I41" s="216"/>
      <c r="J41" s="218"/>
      <c r="K41" s="218"/>
      <c r="L41" s="218"/>
      <c r="M41" s="218"/>
      <c r="N41" s="218"/>
      <c r="O41" s="218"/>
      <c r="P41" s="216"/>
      <c r="Q41" s="1163">
        <v>2700</v>
      </c>
      <c r="R41" s="1164"/>
      <c r="S41" s="369"/>
      <c r="T41" s="369"/>
      <c r="U41" s="369"/>
    </row>
    <row r="42" spans="1:21" s="353" customFormat="1" ht="11.45" customHeight="1">
      <c r="A42" s="218"/>
      <c r="B42" s="221" t="s">
        <v>3637</v>
      </c>
      <c r="C42" s="218"/>
      <c r="D42" s="216"/>
      <c r="E42" s="216"/>
      <c r="F42" s="218"/>
      <c r="G42" s="218"/>
      <c r="H42" s="216"/>
      <c r="I42" s="216"/>
      <c r="J42" s="218"/>
      <c r="K42" s="218"/>
      <c r="L42" s="218"/>
      <c r="M42" s="218"/>
      <c r="N42" s="218"/>
      <c r="O42" s="218"/>
      <c r="P42" s="216"/>
      <c r="Q42" s="1163">
        <v>1500</v>
      </c>
      <c r="R42" s="1164"/>
      <c r="S42" s="369"/>
      <c r="T42" s="369"/>
      <c r="U42" s="369"/>
    </row>
    <row r="43" spans="1:21" s="353" customFormat="1" ht="11.45" customHeight="1">
      <c r="A43" s="218"/>
      <c r="B43" s="218" t="s">
        <v>1348</v>
      </c>
      <c r="C43" s="218"/>
      <c r="D43" s="216"/>
      <c r="E43" s="216"/>
      <c r="F43" s="218" t="s">
        <v>2077</v>
      </c>
      <c r="G43" s="218"/>
      <c r="H43" s="216"/>
      <c r="I43" s="216"/>
      <c r="J43" s="218" t="s">
        <v>1987</v>
      </c>
      <c r="K43" s="218"/>
      <c r="L43" s="218"/>
      <c r="M43" s="218"/>
      <c r="N43" s="218"/>
      <c r="O43" s="218"/>
      <c r="P43" s="216"/>
      <c r="Q43" s="368">
        <v>800</v>
      </c>
      <c r="R43" s="368" t="s">
        <v>2426</v>
      </c>
      <c r="S43" s="369"/>
      <c r="T43" s="369"/>
      <c r="U43" s="369"/>
    </row>
    <row r="44" spans="1:21" s="353" customFormat="1" ht="11.45" customHeight="1">
      <c r="A44" s="218"/>
      <c r="B44" s="218"/>
      <c r="C44" s="218"/>
      <c r="D44" s="216"/>
      <c r="E44" s="216"/>
      <c r="F44" s="218" t="s">
        <v>3541</v>
      </c>
      <c r="G44" s="218"/>
      <c r="H44" s="216"/>
      <c r="I44" s="216"/>
      <c r="J44" s="218" t="s">
        <v>1987</v>
      </c>
      <c r="K44" s="218"/>
      <c r="L44" s="218"/>
      <c r="M44" s="218"/>
      <c r="N44" s="218"/>
      <c r="O44" s="218"/>
      <c r="P44" s="216"/>
      <c r="Q44" s="368">
        <v>400</v>
      </c>
      <c r="R44" s="368" t="s">
        <v>2426</v>
      </c>
      <c r="S44" s="369"/>
      <c r="T44" s="369"/>
      <c r="U44" s="369"/>
    </row>
    <row r="45" spans="1:21" s="353" customFormat="1" ht="11.45" customHeight="1">
      <c r="A45" s="218"/>
      <c r="B45" s="218"/>
      <c r="C45" s="218"/>
      <c r="D45" s="216"/>
      <c r="E45" s="216"/>
      <c r="F45" s="218" t="s">
        <v>3538</v>
      </c>
      <c r="G45" s="218"/>
      <c r="H45" s="216"/>
      <c r="I45" s="216"/>
      <c r="J45" s="218" t="s">
        <v>3539</v>
      </c>
      <c r="K45" s="218"/>
      <c r="L45" s="218"/>
      <c r="M45" s="218"/>
      <c r="N45" s="218"/>
      <c r="O45" s="218"/>
      <c r="P45" s="216"/>
      <c r="Q45" s="368">
        <v>1500</v>
      </c>
      <c r="R45" s="368" t="s">
        <v>2426</v>
      </c>
      <c r="S45" s="369"/>
      <c r="T45" s="369"/>
      <c r="U45" s="369"/>
    </row>
    <row r="46" spans="1:21" s="353" customFormat="1" ht="11.45" customHeight="1">
      <c r="A46" s="218"/>
      <c r="B46" s="218" t="s">
        <v>2566</v>
      </c>
      <c r="C46" s="218"/>
      <c r="D46" s="216"/>
      <c r="E46" s="216"/>
      <c r="F46" s="218"/>
      <c r="G46" s="218"/>
      <c r="H46" s="218"/>
      <c r="I46" s="216"/>
      <c r="J46" s="218" t="s">
        <v>2423</v>
      </c>
      <c r="K46" s="218"/>
      <c r="L46" s="218"/>
      <c r="M46" s="218"/>
      <c r="N46" s="218"/>
      <c r="O46" s="218"/>
      <c r="P46" s="216"/>
      <c r="Q46" s="1163">
        <v>1800000</v>
      </c>
      <c r="R46" s="1164"/>
      <c r="S46" s="369"/>
      <c r="T46" s="369"/>
      <c r="U46" s="369"/>
    </row>
    <row r="47" spans="1:21" s="353" customFormat="1" ht="11.45" customHeight="1">
      <c r="A47" s="218"/>
      <c r="B47" s="218"/>
      <c r="C47" s="218"/>
      <c r="D47" s="216"/>
      <c r="E47" s="216"/>
      <c r="F47" s="218" t="s">
        <v>2405</v>
      </c>
      <c r="G47" s="218"/>
      <c r="H47" s="218" t="s">
        <v>3023</v>
      </c>
      <c r="I47" s="216"/>
      <c r="J47" s="218" t="s">
        <v>1375</v>
      </c>
      <c r="K47" s="218"/>
      <c r="L47" s="218"/>
      <c r="M47" s="218"/>
      <c r="N47" s="218"/>
      <c r="O47" s="218"/>
      <c r="P47" s="216"/>
      <c r="Q47" s="1162">
        <v>0.15</v>
      </c>
      <c r="R47" s="1162"/>
      <c r="S47" s="369"/>
      <c r="T47" s="369"/>
      <c r="U47" s="369"/>
    </row>
    <row r="48" spans="1:21" s="353" customFormat="1" ht="11.45" customHeight="1">
      <c r="A48" s="218"/>
      <c r="B48" s="498"/>
      <c r="C48" s="218"/>
      <c r="D48" s="216"/>
      <c r="E48" s="216"/>
      <c r="F48" s="218"/>
      <c r="G48" s="218"/>
      <c r="H48" s="218" t="s">
        <v>1371</v>
      </c>
      <c r="I48" s="218" t="s">
        <v>1372</v>
      </c>
      <c r="J48" s="218" t="s">
        <v>1374</v>
      </c>
      <c r="K48" s="218"/>
      <c r="L48" s="218"/>
      <c r="M48" s="218"/>
      <c r="N48" s="218"/>
      <c r="O48" s="218"/>
      <c r="P48" s="216"/>
      <c r="Q48" s="1162">
        <v>0.15</v>
      </c>
      <c r="R48" s="1162"/>
      <c r="S48" s="369"/>
      <c r="T48" s="369"/>
      <c r="U48" s="369"/>
    </row>
    <row r="49" spans="1:21" s="353" customFormat="1" ht="11.45" customHeight="1">
      <c r="A49" s="218"/>
      <c r="B49" s="498"/>
      <c r="C49" s="218"/>
      <c r="D49" s="216"/>
      <c r="E49" s="216"/>
      <c r="F49" s="218"/>
      <c r="G49" s="218"/>
      <c r="H49" s="218"/>
      <c r="I49" s="218" t="s">
        <v>1373</v>
      </c>
      <c r="J49" s="218" t="s">
        <v>1376</v>
      </c>
      <c r="K49" s="218"/>
      <c r="L49" s="218"/>
      <c r="M49" s="218"/>
      <c r="N49" s="218"/>
      <c r="O49" s="218"/>
      <c r="P49" s="216"/>
      <c r="Q49" s="1162">
        <v>0.15</v>
      </c>
      <c r="R49" s="1162"/>
      <c r="S49" s="369"/>
      <c r="T49" s="369"/>
      <c r="U49" s="369"/>
    </row>
    <row r="50" spans="1:21" s="353" customFormat="1" ht="11.45" customHeight="1">
      <c r="A50" s="218"/>
      <c r="B50" s="498"/>
      <c r="C50" s="218"/>
      <c r="D50" s="216"/>
      <c r="E50" s="216"/>
      <c r="F50" s="218"/>
      <c r="G50" s="218"/>
      <c r="H50" s="218" t="s">
        <v>1370</v>
      </c>
      <c r="I50" s="216"/>
      <c r="J50" s="218" t="s">
        <v>1376</v>
      </c>
      <c r="K50" s="218"/>
      <c r="L50" s="218"/>
      <c r="M50" s="218"/>
      <c r="N50" s="218"/>
      <c r="O50" s="218"/>
      <c r="P50" s="216"/>
      <c r="Q50" s="1162">
        <v>0.15</v>
      </c>
      <c r="R50" s="1162"/>
      <c r="S50" s="369"/>
      <c r="T50" s="369"/>
      <c r="U50" s="369"/>
    </row>
    <row r="51" spans="1:21" s="353" customFormat="1" ht="11.45" customHeight="1">
      <c r="A51" s="218"/>
      <c r="B51" s="498"/>
      <c r="C51" s="218"/>
      <c r="D51" s="216"/>
      <c r="E51" s="216"/>
      <c r="F51" s="218"/>
      <c r="G51" s="218"/>
      <c r="H51" s="218"/>
      <c r="I51" s="218" t="s">
        <v>1377</v>
      </c>
      <c r="J51" s="218" t="s">
        <v>1378</v>
      </c>
      <c r="K51" s="218"/>
      <c r="L51" s="218"/>
      <c r="M51" s="218"/>
      <c r="N51" s="218"/>
      <c r="O51" s="218"/>
      <c r="P51" s="216"/>
      <c r="Q51" s="1162">
        <v>0.15</v>
      </c>
      <c r="R51" s="1162"/>
      <c r="S51" s="369"/>
      <c r="T51" s="369"/>
      <c r="U51" s="369"/>
    </row>
    <row r="52" spans="1:21" s="353" customFormat="1" ht="11.45" customHeight="1">
      <c r="A52" s="218"/>
      <c r="B52" s="498"/>
      <c r="C52" s="218"/>
      <c r="D52" s="216"/>
      <c r="E52" s="216"/>
      <c r="F52" s="218" t="s">
        <v>2453</v>
      </c>
      <c r="G52" s="218"/>
      <c r="H52" s="218"/>
      <c r="I52" s="216"/>
      <c r="J52" s="218" t="s">
        <v>3127</v>
      </c>
      <c r="K52" s="218"/>
      <c r="L52" s="218"/>
      <c r="M52" s="218"/>
      <c r="N52" s="218"/>
      <c r="O52" s="218"/>
      <c r="P52" s="216"/>
      <c r="Q52" s="1162">
        <v>0.15</v>
      </c>
      <c r="R52" s="1162"/>
      <c r="S52" s="369"/>
      <c r="T52" s="369"/>
      <c r="U52" s="369"/>
    </row>
    <row r="53" spans="1:21" s="353" customFormat="1" ht="11.45" customHeight="1">
      <c r="A53" s="218"/>
      <c r="B53" s="498"/>
      <c r="C53" s="218"/>
      <c r="D53" s="216"/>
      <c r="E53" s="216"/>
      <c r="G53" s="218"/>
      <c r="H53" s="218"/>
      <c r="I53" s="216"/>
      <c r="J53" s="218" t="s">
        <v>3128</v>
      </c>
      <c r="K53" s="218"/>
      <c r="L53" s="218"/>
      <c r="M53" s="218"/>
      <c r="N53" s="218"/>
      <c r="O53" s="218"/>
      <c r="P53" s="216"/>
      <c r="Q53" s="1162" t="s">
        <v>3129</v>
      </c>
      <c r="R53" s="1162"/>
      <c r="S53" s="369"/>
      <c r="T53" s="369"/>
      <c r="U53" s="369"/>
    </row>
    <row r="54" spans="1:21" s="353" customFormat="1" ht="11.45" customHeight="1">
      <c r="A54" s="218"/>
      <c r="B54" s="498"/>
      <c r="C54" s="218"/>
      <c r="D54" s="216"/>
      <c r="E54" s="216"/>
      <c r="F54" s="218" t="s">
        <v>2746</v>
      </c>
      <c r="G54" s="218"/>
      <c r="H54" s="218"/>
      <c r="I54" s="216"/>
      <c r="J54" s="218"/>
      <c r="K54" s="218"/>
      <c r="L54" s="218"/>
      <c r="M54" s="218"/>
      <c r="N54" s="218"/>
      <c r="O54" s="218"/>
      <c r="P54" s="216"/>
      <c r="Q54" s="500">
        <v>0</v>
      </c>
      <c r="R54" s="500">
        <v>15</v>
      </c>
      <c r="S54" s="369"/>
      <c r="T54" s="369"/>
      <c r="U54" s="369"/>
    </row>
    <row r="55" spans="1:21" s="353" customFormat="1" ht="11.45" customHeight="1">
      <c r="A55" s="218"/>
      <c r="B55" s="498"/>
      <c r="C55" s="218"/>
      <c r="D55" s="216"/>
      <c r="E55" s="216"/>
      <c r="F55" s="218" t="s">
        <v>2745</v>
      </c>
      <c r="G55" s="218"/>
      <c r="I55" s="216"/>
      <c r="J55" s="218"/>
      <c r="K55" s="218"/>
      <c r="L55" s="218"/>
      <c r="M55" s="218"/>
      <c r="N55" s="218"/>
      <c r="O55" s="218"/>
      <c r="P55" s="216"/>
      <c r="Q55" s="371">
        <v>0</v>
      </c>
      <c r="R55" s="371">
        <v>0.5</v>
      </c>
      <c r="S55" s="369"/>
      <c r="T55" s="369"/>
      <c r="U55" s="369"/>
    </row>
    <row r="56" spans="1:21" s="353" customFormat="1" ht="11.45" customHeight="1">
      <c r="A56" s="218"/>
      <c r="B56" s="218" t="s">
        <v>2454</v>
      </c>
      <c r="C56" s="218"/>
      <c r="D56" s="218"/>
      <c r="E56" s="218"/>
      <c r="F56" s="218"/>
      <c r="G56" s="218"/>
      <c r="H56" s="216"/>
      <c r="I56" s="216"/>
      <c r="J56" s="218" t="s">
        <v>2455</v>
      </c>
      <c r="K56" s="218"/>
      <c r="L56" s="218"/>
      <c r="M56" s="218"/>
      <c r="N56" s="218"/>
      <c r="O56" s="218"/>
      <c r="P56" s="216"/>
      <c r="Q56" s="372">
        <v>6</v>
      </c>
      <c r="R56" s="368" t="s">
        <v>2426</v>
      </c>
      <c r="S56" s="369"/>
      <c r="T56" s="369"/>
      <c r="U56" s="369"/>
    </row>
    <row r="57" spans="1:21" s="353" customFormat="1" ht="11.45" customHeight="1">
      <c r="A57" s="218"/>
      <c r="B57" s="218"/>
      <c r="C57" s="218"/>
      <c r="D57" s="218"/>
      <c r="E57" s="218"/>
      <c r="F57" s="218"/>
      <c r="G57" s="218"/>
      <c r="H57" s="216"/>
      <c r="I57" s="216"/>
      <c r="J57" s="218" t="s">
        <v>2456</v>
      </c>
      <c r="K57" s="218"/>
      <c r="L57" s="218"/>
      <c r="M57" s="218"/>
      <c r="N57" s="218"/>
      <c r="O57" s="218"/>
      <c r="P57" s="216"/>
      <c r="Q57" s="372">
        <v>6</v>
      </c>
      <c r="R57" s="368" t="s">
        <v>2426</v>
      </c>
      <c r="S57" s="369"/>
      <c r="T57" s="369"/>
      <c r="U57" s="369"/>
    </row>
    <row r="58" spans="1:21" s="353" customFormat="1" ht="11.45" customHeight="1">
      <c r="A58" s="218"/>
      <c r="B58" s="501" t="s">
        <v>2747</v>
      </c>
      <c r="C58" s="218"/>
      <c r="D58" s="216"/>
      <c r="E58" s="216"/>
      <c r="F58" s="218"/>
      <c r="G58" s="218"/>
      <c r="I58" s="216"/>
      <c r="J58" s="218" t="s">
        <v>2748</v>
      </c>
      <c r="K58" s="218"/>
      <c r="L58" s="218"/>
      <c r="M58" s="218"/>
      <c r="N58" s="218"/>
      <c r="O58" s="218"/>
      <c r="P58" s="216"/>
      <c r="Q58" s="372">
        <v>3</v>
      </c>
      <c r="R58" s="368" t="s">
        <v>2426</v>
      </c>
      <c r="S58" s="369"/>
      <c r="T58" s="369"/>
      <c r="U58" s="369"/>
    </row>
    <row r="59" spans="1:21" s="353" customFormat="1" ht="11.45" customHeight="1">
      <c r="A59" s="218"/>
      <c r="B59" s="221" t="s">
        <v>2457</v>
      </c>
      <c r="C59" s="218"/>
      <c r="D59" s="216"/>
      <c r="E59" s="218"/>
      <c r="F59" s="218"/>
      <c r="G59" s="218"/>
      <c r="H59" s="216"/>
      <c r="I59" s="216"/>
      <c r="J59" s="218" t="s">
        <v>2458</v>
      </c>
      <c r="K59" s="218"/>
      <c r="L59" s="218"/>
      <c r="M59" s="218"/>
      <c r="N59" s="218"/>
      <c r="O59" s="218"/>
      <c r="P59" s="216"/>
      <c r="Q59" s="1163">
        <v>3000</v>
      </c>
      <c r="R59" s="1164"/>
      <c r="S59" s="369"/>
      <c r="T59" s="369"/>
      <c r="U59" s="369"/>
    </row>
    <row r="60" spans="1:21" s="353" customFormat="1" ht="3" customHeight="1">
      <c r="A60" s="216"/>
      <c r="B60" s="218"/>
      <c r="C60" s="218"/>
      <c r="D60" s="218"/>
      <c r="E60" s="218"/>
      <c r="F60" s="218"/>
      <c r="G60" s="218"/>
      <c r="H60" s="218"/>
      <c r="I60" s="216"/>
      <c r="J60" s="218"/>
      <c r="K60" s="218"/>
      <c r="L60" s="218"/>
      <c r="M60" s="218"/>
      <c r="N60" s="218"/>
      <c r="O60" s="218"/>
      <c r="P60" s="216"/>
      <c r="Q60" s="218"/>
      <c r="R60" s="218"/>
      <c r="S60" s="369"/>
      <c r="T60" s="369"/>
      <c r="U60" s="369"/>
    </row>
    <row r="61" spans="1:21" s="353" customFormat="1" ht="12" customHeight="1">
      <c r="A61" s="358" t="s">
        <v>2459</v>
      </c>
      <c r="B61" s="218"/>
      <c r="C61" s="218"/>
      <c r="D61" s="218"/>
      <c r="E61" s="218"/>
      <c r="F61" s="218"/>
      <c r="G61" s="218"/>
      <c r="H61" s="218"/>
      <c r="I61" s="216"/>
      <c r="J61" s="218"/>
      <c r="K61" s="218"/>
      <c r="L61" s="218"/>
      <c r="M61" s="218"/>
      <c r="N61" s="218"/>
      <c r="O61" s="218"/>
      <c r="P61" s="216"/>
      <c r="Q61" s="218"/>
      <c r="R61" s="218"/>
      <c r="S61" s="369"/>
      <c r="T61" s="369"/>
      <c r="U61" s="369"/>
    </row>
    <row r="62" spans="1:21" ht="11.45" customHeight="1">
      <c r="B62" s="373" t="s">
        <v>3175</v>
      </c>
      <c r="C62" s="184"/>
      <c r="D62" s="184"/>
      <c r="E62" s="184"/>
      <c r="F62" s="184"/>
      <c r="G62" s="184"/>
      <c r="J62" s="374">
        <v>1</v>
      </c>
      <c r="K62" s="374">
        <v>2</v>
      </c>
      <c r="L62" s="374">
        <v>3</v>
      </c>
      <c r="M62" s="374">
        <v>4</v>
      </c>
      <c r="N62" s="374">
        <v>5</v>
      </c>
      <c r="O62" s="374">
        <v>6</v>
      </c>
      <c r="P62" s="374">
        <v>7</v>
      </c>
      <c r="Q62" s="374">
        <v>8</v>
      </c>
    </row>
    <row r="63" spans="1:21" ht="10.9" customHeight="1">
      <c r="B63" s="184"/>
      <c r="C63" s="184"/>
      <c r="D63" s="184"/>
      <c r="E63" s="184"/>
      <c r="F63" s="184"/>
      <c r="G63" s="184"/>
      <c r="J63" s="375">
        <v>0.7</v>
      </c>
      <c r="K63" s="375">
        <v>0.8</v>
      </c>
      <c r="L63" s="375">
        <v>0.9</v>
      </c>
      <c r="M63" s="374" t="s">
        <v>144</v>
      </c>
      <c r="N63" s="375">
        <v>1.08</v>
      </c>
      <c r="O63" s="375">
        <v>1.1599999999999999</v>
      </c>
      <c r="P63" s="375">
        <v>1.24</v>
      </c>
      <c r="Q63" s="375">
        <v>1.32</v>
      </c>
    </row>
    <row r="64" spans="1:21" s="369" customFormat="1" ht="11.45" customHeight="1">
      <c r="A64" s="218"/>
      <c r="B64" s="218" t="s">
        <v>2460</v>
      </c>
      <c r="C64" s="218"/>
      <c r="D64" s="218"/>
      <c r="E64" s="218"/>
      <c r="F64" s="218"/>
      <c r="G64" s="218"/>
      <c r="H64" s="218"/>
      <c r="J64" s="218" t="s">
        <v>2461</v>
      </c>
      <c r="K64" s="218"/>
      <c r="L64" s="218"/>
      <c r="M64" s="218"/>
      <c r="N64" s="218"/>
      <c r="O64" s="218"/>
      <c r="Q64" s="1162">
        <v>0.02</v>
      </c>
      <c r="R64" s="1162"/>
    </row>
    <row r="65" spans="1:26" s="369" customFormat="1" ht="11.45" customHeight="1">
      <c r="A65" s="218"/>
      <c r="B65" s="218" t="s">
        <v>2462</v>
      </c>
      <c r="C65" s="218"/>
      <c r="D65" s="218"/>
      <c r="E65" s="218"/>
      <c r="F65" s="218"/>
      <c r="G65" s="218"/>
      <c r="H65" s="218"/>
      <c r="J65" s="218" t="s">
        <v>2461</v>
      </c>
      <c r="K65" s="218"/>
      <c r="L65" s="218"/>
      <c r="M65" s="218"/>
      <c r="N65" s="218"/>
      <c r="O65" s="218"/>
      <c r="Q65" s="1162">
        <v>7.0000000000000007E-2</v>
      </c>
      <c r="R65" s="1162"/>
    </row>
    <row r="66" spans="1:26" s="369" customFormat="1" ht="11.45" customHeight="1">
      <c r="A66" s="218"/>
      <c r="B66" s="218" t="s">
        <v>2463</v>
      </c>
      <c r="C66" s="218"/>
      <c r="D66" s="218"/>
      <c r="E66" s="218"/>
      <c r="F66" s="218"/>
      <c r="G66" s="218"/>
      <c r="H66" s="218"/>
      <c r="J66" s="218" t="s">
        <v>2461</v>
      </c>
      <c r="K66" s="218"/>
      <c r="L66" s="218"/>
      <c r="M66" s="218"/>
      <c r="N66" s="218"/>
      <c r="O66" s="218"/>
      <c r="Q66" s="1162">
        <v>7.0000000000000007E-2</v>
      </c>
      <c r="R66" s="1162"/>
    </row>
    <row r="67" spans="1:26" s="353" customFormat="1" ht="11.45" customHeight="1">
      <c r="A67" s="218"/>
      <c r="B67" s="218" t="s">
        <v>141</v>
      </c>
      <c r="C67" s="218"/>
      <c r="D67" s="216"/>
      <c r="E67" s="216"/>
      <c r="F67" s="216"/>
      <c r="G67" s="218"/>
      <c r="H67" s="216"/>
      <c r="I67" s="216"/>
      <c r="J67" s="218" t="s">
        <v>2461</v>
      </c>
      <c r="K67" s="218"/>
      <c r="L67" s="218"/>
      <c r="M67" s="218"/>
      <c r="N67" s="218"/>
      <c r="O67" s="218"/>
      <c r="P67" s="216"/>
      <c r="Q67" s="1162">
        <v>0.03</v>
      </c>
      <c r="R67" s="1162"/>
      <c r="S67" s="369"/>
      <c r="T67" s="369"/>
      <c r="U67" s="369"/>
    </row>
    <row r="68" spans="1:26" s="353" customFormat="1" ht="11.45" customHeight="1">
      <c r="A68" s="218"/>
      <c r="B68" s="218" t="s">
        <v>142</v>
      </c>
      <c r="C68" s="218"/>
      <c r="D68" s="216"/>
      <c r="E68" s="216"/>
      <c r="F68" s="216"/>
      <c r="G68" s="218"/>
      <c r="H68" s="216"/>
      <c r="I68" s="216"/>
      <c r="J68" s="218" t="s">
        <v>2461</v>
      </c>
      <c r="K68" s="218"/>
      <c r="L68" s="218"/>
      <c r="M68" s="218"/>
      <c r="N68" s="218"/>
      <c r="O68" s="218"/>
      <c r="P68" s="216"/>
      <c r="Q68" s="1162">
        <v>0.03</v>
      </c>
      <c r="R68" s="1162"/>
      <c r="S68" s="369"/>
      <c r="T68" s="369"/>
      <c r="U68" s="369"/>
    </row>
    <row r="69" spans="1:26" s="353" customFormat="1" ht="11.45" customHeight="1">
      <c r="A69" s="218"/>
      <c r="B69" s="218" t="s">
        <v>143</v>
      </c>
      <c r="C69" s="218"/>
      <c r="D69" s="216"/>
      <c r="E69" s="216"/>
      <c r="F69" s="216"/>
      <c r="G69" s="218"/>
      <c r="H69" s="216"/>
      <c r="I69" s="216"/>
      <c r="J69" s="218" t="s">
        <v>2461</v>
      </c>
      <c r="K69" s="218"/>
      <c r="L69" s="218"/>
      <c r="M69" s="218"/>
      <c r="N69" s="218"/>
      <c r="O69" s="218"/>
      <c r="P69" s="216"/>
      <c r="Q69" s="1162">
        <v>0</v>
      </c>
      <c r="R69" s="1162"/>
      <c r="S69" s="369"/>
      <c r="T69" s="369"/>
      <c r="U69" s="369"/>
    </row>
    <row r="70" spans="1:26" s="353" customFormat="1" ht="4.1500000000000004" customHeight="1">
      <c r="A70" s="354"/>
      <c r="B70" s="354"/>
      <c r="C70" s="354"/>
      <c r="D70" s="354"/>
      <c r="E70" s="216"/>
      <c r="F70" s="354"/>
      <c r="G70" s="354"/>
      <c r="H70" s="216"/>
      <c r="I70" s="216"/>
      <c r="J70" s="354"/>
      <c r="K70" s="354"/>
      <c r="L70" s="354"/>
      <c r="M70" s="354"/>
      <c r="N70" s="354"/>
      <c r="O70" s="354"/>
      <c r="P70" s="216"/>
      <c r="Q70" s="355"/>
      <c r="R70" s="356"/>
      <c r="S70" s="216"/>
      <c r="T70" s="216"/>
      <c r="U70" s="216"/>
      <c r="W70" s="357"/>
      <c r="X70" s="357"/>
      <c r="Y70" s="357"/>
      <c r="Z70" s="357"/>
    </row>
    <row r="71" spans="1:26" s="353" customFormat="1" ht="11.45" customHeight="1">
      <c r="A71" s="358" t="s">
        <v>3532</v>
      </c>
      <c r="B71" s="218"/>
      <c r="C71" s="218"/>
      <c r="D71" s="216"/>
      <c r="E71" s="216"/>
      <c r="F71" s="218" t="s">
        <v>3397</v>
      </c>
      <c r="G71" s="218"/>
      <c r="H71" s="216"/>
      <c r="I71" s="216"/>
      <c r="J71" s="218" t="s">
        <v>3534</v>
      </c>
      <c r="K71" s="218"/>
      <c r="L71" s="218"/>
      <c r="M71" s="218"/>
      <c r="N71" s="218"/>
      <c r="O71" s="218"/>
      <c r="P71" s="216"/>
      <c r="Q71" s="1162">
        <v>0.1</v>
      </c>
      <c r="R71" s="1162"/>
      <c r="S71" s="216"/>
      <c r="T71" s="216"/>
      <c r="U71" s="216"/>
      <c r="V71" s="360"/>
      <c r="W71" s="360"/>
      <c r="X71" s="219"/>
    </row>
    <row r="72" spans="1:26" s="353" customFormat="1" ht="11.45" customHeight="1">
      <c r="A72" s="358"/>
      <c r="B72" s="218"/>
      <c r="C72" s="218"/>
      <c r="D72" s="216"/>
      <c r="E72" s="216"/>
      <c r="F72" s="218" t="s">
        <v>3396</v>
      </c>
      <c r="G72" s="218"/>
      <c r="H72" s="216"/>
      <c r="I72" s="216"/>
      <c r="J72" s="218" t="s">
        <v>3534</v>
      </c>
      <c r="K72" s="218"/>
      <c r="L72" s="218"/>
      <c r="M72" s="218"/>
      <c r="N72" s="218"/>
      <c r="O72" s="218"/>
      <c r="P72" s="216"/>
      <c r="Q72" s="1162">
        <v>0.3</v>
      </c>
      <c r="R72" s="1162"/>
      <c r="S72" s="216"/>
      <c r="T72" s="216"/>
      <c r="U72" s="216"/>
      <c r="V72" s="360"/>
      <c r="W72" s="360"/>
      <c r="X72" s="219"/>
    </row>
    <row r="73" spans="1:26" s="353" customFormat="1" ht="11.45" customHeight="1">
      <c r="A73" s="218"/>
      <c r="B73" s="218"/>
      <c r="C73" s="218"/>
      <c r="D73" s="216"/>
      <c r="E73" s="216"/>
      <c r="F73" s="218" t="s">
        <v>565</v>
      </c>
      <c r="G73" s="218"/>
      <c r="H73" s="216"/>
      <c r="I73" s="216"/>
      <c r="J73" s="218" t="s">
        <v>3534</v>
      </c>
      <c r="K73" s="218"/>
      <c r="L73" s="218"/>
      <c r="M73" s="218"/>
      <c r="N73" s="218"/>
      <c r="O73" s="218"/>
      <c r="P73" s="216"/>
      <c r="Q73" s="1162">
        <v>0.25</v>
      </c>
      <c r="R73" s="1162"/>
      <c r="S73" s="361"/>
      <c r="T73" s="361"/>
      <c r="U73" s="216"/>
      <c r="V73" s="362"/>
      <c r="W73" s="362"/>
      <c r="X73" s="362"/>
    </row>
    <row r="74" spans="1:26" s="353" customFormat="1" ht="11.45" customHeight="1">
      <c r="A74" s="218"/>
      <c r="B74" s="218"/>
      <c r="C74" s="218"/>
      <c r="D74" s="216"/>
      <c r="E74" s="216"/>
      <c r="F74" s="218" t="s">
        <v>3533</v>
      </c>
      <c r="G74" s="218"/>
      <c r="H74" s="216"/>
      <c r="I74" s="216"/>
      <c r="J74" s="218" t="s">
        <v>3535</v>
      </c>
      <c r="K74" s="218"/>
      <c r="L74" s="218"/>
      <c r="M74" s="218"/>
      <c r="N74" s="218"/>
      <c r="O74" s="218"/>
      <c r="P74" s="216"/>
      <c r="Q74" s="1162">
        <v>0.15</v>
      </c>
      <c r="R74" s="1162"/>
      <c r="S74" s="361"/>
      <c r="T74" s="361"/>
      <c r="U74" s="216"/>
      <c r="V74" s="362"/>
      <c r="W74" s="362"/>
      <c r="X74" s="362"/>
    </row>
    <row r="75" spans="1:26" ht="10.9" customHeight="1"/>
    <row r="77" spans="1:26" ht="13.15" customHeight="1">
      <c r="C77" s="376"/>
      <c r="D77" s="376"/>
      <c r="E77" s="376"/>
      <c r="F77" s="376"/>
      <c r="G77" s="376"/>
      <c r="H77" s="376"/>
      <c r="I77" s="376"/>
    </row>
    <row r="79" spans="1:26" ht="13.5">
      <c r="D79" s="524">
        <v>2013</v>
      </c>
      <c r="J79" s="495" t="s">
        <v>1197</v>
      </c>
      <c r="K79" s="495"/>
      <c r="L79" s="351"/>
    </row>
    <row r="80" spans="1:26" ht="13.5">
      <c r="C80" s="748" t="s">
        <v>1704</v>
      </c>
      <c r="D80" s="494" t="s">
        <v>1439</v>
      </c>
      <c r="J80" s="496" t="s">
        <v>1200</v>
      </c>
      <c r="K80" s="496" t="s">
        <v>1198</v>
      </c>
      <c r="L80" s="497" t="s">
        <v>1199</v>
      </c>
    </row>
    <row r="81" spans="3:12" ht="10.5" customHeight="1">
      <c r="C81" s="492" t="s">
        <v>2477</v>
      </c>
      <c r="D81" s="612">
        <v>49100</v>
      </c>
      <c r="E81" s="369"/>
      <c r="F81" s="369"/>
      <c r="J81" s="525">
        <v>0</v>
      </c>
      <c r="K81" s="525">
        <v>0.7</v>
      </c>
      <c r="L81" s="525">
        <v>1</v>
      </c>
    </row>
    <row r="82" spans="3:12" ht="10.5" customHeight="1">
      <c r="C82" s="492" t="s">
        <v>1440</v>
      </c>
      <c r="D82" s="612">
        <v>58400</v>
      </c>
      <c r="E82" s="369"/>
      <c r="F82" s="369"/>
      <c r="J82" s="525">
        <v>1</v>
      </c>
      <c r="K82" s="525">
        <v>0.75</v>
      </c>
      <c r="L82" s="525">
        <v>1.5</v>
      </c>
    </row>
    <row r="83" spans="3:12" ht="10.5" customHeight="1">
      <c r="C83" s="492" t="s">
        <v>1152</v>
      </c>
      <c r="D83" s="612">
        <v>66300</v>
      </c>
      <c r="E83" s="369"/>
      <c r="F83" s="369"/>
      <c r="J83" s="525">
        <v>2</v>
      </c>
      <c r="K83" s="525">
        <v>0.9</v>
      </c>
      <c r="L83" s="525">
        <v>3</v>
      </c>
    </row>
    <row r="84" spans="3:12" ht="10.5" customHeight="1">
      <c r="C84" s="492" t="s">
        <v>1153</v>
      </c>
      <c r="D84" s="612">
        <v>56800</v>
      </c>
      <c r="E84" s="369"/>
      <c r="F84" s="369"/>
      <c r="J84" s="525">
        <v>3</v>
      </c>
      <c r="K84" s="525">
        <v>1.04</v>
      </c>
      <c r="L84" s="525">
        <v>4.5</v>
      </c>
    </row>
    <row r="85" spans="3:12" ht="10.5" customHeight="1">
      <c r="C85" s="492" t="s">
        <v>12</v>
      </c>
      <c r="D85" s="612">
        <v>51900</v>
      </c>
      <c r="E85" s="369"/>
      <c r="F85" s="369"/>
      <c r="J85" s="525">
        <v>4</v>
      </c>
      <c r="K85" s="525">
        <v>1.1599999999999999</v>
      </c>
      <c r="L85" s="525">
        <v>6</v>
      </c>
    </row>
    <row r="86" spans="3:12" ht="10.5" customHeight="1">
      <c r="C86" s="492" t="s">
        <v>1441</v>
      </c>
      <c r="D86" s="612">
        <v>63200</v>
      </c>
      <c r="E86" s="369"/>
      <c r="F86" s="369"/>
      <c r="J86" s="525">
        <v>5</v>
      </c>
      <c r="K86" s="525">
        <v>1.28</v>
      </c>
      <c r="L86" s="525">
        <v>7.5</v>
      </c>
    </row>
    <row r="87" spans="3:12" ht="10.5" customHeight="1">
      <c r="C87" s="492" t="s">
        <v>1978</v>
      </c>
      <c r="D87" s="612">
        <v>58000</v>
      </c>
      <c r="E87" s="369"/>
      <c r="F87" s="369"/>
    </row>
    <row r="88" spans="3:12" ht="10.5" customHeight="1">
      <c r="C88" s="492" t="s">
        <v>177</v>
      </c>
      <c r="D88" s="612">
        <v>48200</v>
      </c>
      <c r="E88" s="369"/>
      <c r="F88" s="369"/>
    </row>
    <row r="89" spans="3:12" ht="10.5" customHeight="1">
      <c r="C89" s="492" t="s">
        <v>367</v>
      </c>
      <c r="D89" s="612">
        <v>50600</v>
      </c>
      <c r="E89" s="369"/>
      <c r="F89" s="369"/>
    </row>
    <row r="90" spans="3:12" ht="10.5" customHeight="1">
      <c r="C90" s="493" t="s">
        <v>1642</v>
      </c>
      <c r="D90" s="612">
        <v>56500</v>
      </c>
      <c r="E90" s="369"/>
      <c r="F90" s="369"/>
    </row>
    <row r="91" spans="3:12" ht="10.5" customHeight="1">
      <c r="C91" s="493" t="s">
        <v>1154</v>
      </c>
      <c r="D91" s="612">
        <v>48200</v>
      </c>
      <c r="E91" s="369"/>
      <c r="F91" s="369"/>
    </row>
    <row r="92" spans="3:12" ht="10.5" customHeight="1">
      <c r="C92" s="493" t="s">
        <v>1442</v>
      </c>
      <c r="D92" s="612">
        <v>42600</v>
      </c>
      <c r="E92" s="369"/>
      <c r="F92" s="369"/>
    </row>
    <row r="93" spans="3:12" ht="10.5" customHeight="1">
      <c r="C93" s="492" t="s">
        <v>1155</v>
      </c>
      <c r="D93" s="612">
        <v>44900</v>
      </c>
      <c r="E93" s="369"/>
      <c r="F93" s="369"/>
    </row>
    <row r="94" spans="3:12" ht="10.5" customHeight="1">
      <c r="C94" s="493" t="s">
        <v>1906</v>
      </c>
      <c r="D94" s="612">
        <v>49600</v>
      </c>
      <c r="E94" s="369"/>
      <c r="F94" s="369"/>
    </row>
    <row r="95" spans="3:12" ht="10.5" customHeight="1">
      <c r="C95" s="492" t="s">
        <v>1754</v>
      </c>
      <c r="D95" s="612">
        <v>54400</v>
      </c>
      <c r="E95" s="369"/>
      <c r="F95" s="369"/>
    </row>
    <row r="96" spans="3:12" ht="10.5" customHeight="1">
      <c r="C96" s="493" t="s">
        <v>1157</v>
      </c>
      <c r="D96" s="612">
        <v>50100</v>
      </c>
      <c r="E96" s="369"/>
      <c r="F96" s="369"/>
    </row>
    <row r="97" spans="3:6" ht="10.5" customHeight="1">
      <c r="C97" s="493" t="s">
        <v>2756</v>
      </c>
      <c r="D97" s="612">
        <v>64900</v>
      </c>
      <c r="E97" s="369"/>
      <c r="F97" s="369"/>
    </row>
    <row r="98" spans="3:6" ht="10.5" customHeight="1">
      <c r="C98" s="493" t="s">
        <v>3384</v>
      </c>
      <c r="D98" s="612">
        <v>48300</v>
      </c>
      <c r="E98" s="369"/>
      <c r="F98" s="369"/>
    </row>
    <row r="99" spans="3:6" ht="10.5" customHeight="1">
      <c r="C99" s="492" t="s">
        <v>2995</v>
      </c>
      <c r="D99" s="612">
        <v>50300</v>
      </c>
      <c r="E99" s="369"/>
      <c r="F99" s="369"/>
    </row>
    <row r="100" spans="3:6" ht="10.5" customHeight="1">
      <c r="C100" s="492" t="s">
        <v>1760</v>
      </c>
      <c r="D100" s="612">
        <v>60000</v>
      </c>
      <c r="E100" s="369"/>
      <c r="F100" s="369"/>
    </row>
    <row r="101" spans="3:6" ht="10.5" customHeight="1">
      <c r="C101" s="492" t="s">
        <v>2386</v>
      </c>
      <c r="D101" s="612">
        <v>45400</v>
      </c>
      <c r="E101" s="369"/>
      <c r="F101" s="369"/>
    </row>
    <row r="102" spans="3:6" ht="10.5" customHeight="1">
      <c r="C102" s="492" t="s">
        <v>2399</v>
      </c>
      <c r="D102" s="612">
        <v>68700</v>
      </c>
      <c r="E102" s="369"/>
      <c r="F102" s="369"/>
    </row>
    <row r="103" spans="3:6" ht="10.5" customHeight="1">
      <c r="C103" s="493" t="s">
        <v>1633</v>
      </c>
      <c r="D103" s="612">
        <v>48900</v>
      </c>
      <c r="E103" s="369"/>
      <c r="F103" s="369"/>
    </row>
    <row r="104" spans="3:6" ht="10.5" customHeight="1">
      <c r="C104" s="493" t="s">
        <v>2473</v>
      </c>
      <c r="D104" s="612">
        <v>37000</v>
      </c>
      <c r="E104" s="369"/>
      <c r="F104" s="369"/>
    </row>
    <row r="105" spans="3:6" ht="10.5" customHeight="1">
      <c r="C105" s="493" t="s">
        <v>2475</v>
      </c>
      <c r="D105" s="612">
        <v>48300</v>
      </c>
      <c r="E105" s="369"/>
      <c r="F105" s="369"/>
    </row>
    <row r="106" spans="3:6" ht="10.5" customHeight="1">
      <c r="C106" s="492" t="s">
        <v>172</v>
      </c>
      <c r="D106" s="612">
        <v>50700</v>
      </c>
      <c r="E106" s="369"/>
      <c r="F106" s="369"/>
    </row>
    <row r="107" spans="3:6" ht="10.5" customHeight="1">
      <c r="C107" s="493" t="s">
        <v>1746</v>
      </c>
      <c r="D107" s="612">
        <v>51700</v>
      </c>
      <c r="E107" s="369"/>
      <c r="F107" s="369"/>
    </row>
    <row r="108" spans="3:6" ht="10.5" customHeight="1">
      <c r="C108" s="493" t="s">
        <v>1443</v>
      </c>
      <c r="D108" s="612">
        <v>38100</v>
      </c>
      <c r="E108" s="369"/>
      <c r="F108" s="369"/>
    </row>
    <row r="109" spans="3:6" ht="10.5" customHeight="1">
      <c r="C109" s="493" t="s">
        <v>1752</v>
      </c>
      <c r="D109" s="612">
        <v>43400</v>
      </c>
      <c r="E109" s="369"/>
      <c r="F109" s="369"/>
    </row>
    <row r="110" spans="3:6" ht="10.5" customHeight="1">
      <c r="C110" s="492" t="s">
        <v>1756</v>
      </c>
      <c r="D110" s="612">
        <v>51800</v>
      </c>
      <c r="E110" s="369"/>
      <c r="F110" s="369"/>
    </row>
    <row r="111" spans="3:6" ht="10.5" customHeight="1">
      <c r="C111" s="492" t="s">
        <v>1762</v>
      </c>
      <c r="D111" s="612">
        <v>46000</v>
      </c>
      <c r="E111" s="369"/>
      <c r="F111" s="369"/>
    </row>
    <row r="112" spans="3:6" ht="10.5" customHeight="1">
      <c r="C112" s="493" t="s">
        <v>1767</v>
      </c>
      <c r="D112" s="612">
        <v>39700</v>
      </c>
      <c r="E112" s="369"/>
      <c r="F112" s="369"/>
    </row>
    <row r="113" spans="3:6" ht="10.5" customHeight="1">
      <c r="C113" s="492" t="s">
        <v>1035</v>
      </c>
      <c r="D113" s="612">
        <v>61000</v>
      </c>
      <c r="E113" s="369"/>
      <c r="F113" s="369"/>
    </row>
    <row r="114" spans="3:6" ht="10.5" customHeight="1">
      <c r="C114" s="493" t="s">
        <v>1037</v>
      </c>
      <c r="D114" s="612">
        <v>41600</v>
      </c>
      <c r="E114" s="369"/>
      <c r="F114" s="369"/>
    </row>
    <row r="115" spans="3:6" ht="10.5" customHeight="1">
      <c r="C115" s="493" t="s">
        <v>174</v>
      </c>
      <c r="D115" s="612">
        <v>48800</v>
      </c>
      <c r="E115" s="369"/>
      <c r="F115" s="369"/>
    </row>
    <row r="116" spans="3:6" ht="10.5" customHeight="1">
      <c r="C116" s="493" t="s">
        <v>179</v>
      </c>
      <c r="D116" s="612">
        <v>41500</v>
      </c>
      <c r="E116" s="369"/>
      <c r="F116" s="369"/>
    </row>
    <row r="117" spans="3:6" ht="10.5" customHeight="1">
      <c r="C117" s="493" t="s">
        <v>3263</v>
      </c>
      <c r="D117" s="612">
        <v>33300</v>
      </c>
      <c r="E117" s="369"/>
      <c r="F117" s="369"/>
    </row>
    <row r="118" spans="3:6" ht="10.5" customHeight="1">
      <c r="C118" s="493" t="s">
        <v>3266</v>
      </c>
      <c r="D118" s="612">
        <v>48200</v>
      </c>
      <c r="E118" s="369"/>
      <c r="F118" s="369"/>
    </row>
    <row r="119" spans="3:6" ht="10.5" customHeight="1">
      <c r="C119" s="493" t="s">
        <v>3269</v>
      </c>
      <c r="D119" s="612">
        <v>42400</v>
      </c>
      <c r="E119" s="369"/>
      <c r="F119" s="369"/>
    </row>
    <row r="120" spans="3:6" ht="10.5" customHeight="1">
      <c r="C120" s="493" t="s">
        <v>3315</v>
      </c>
      <c r="D120" s="612">
        <v>41500</v>
      </c>
      <c r="E120" s="369"/>
      <c r="F120" s="369"/>
    </row>
    <row r="121" spans="3:6" ht="10.5" customHeight="1">
      <c r="C121" s="493" t="s">
        <v>3318</v>
      </c>
      <c r="D121" s="612">
        <v>39700</v>
      </c>
      <c r="E121" s="369"/>
      <c r="F121" s="369"/>
    </row>
    <row r="122" spans="3:6" ht="10.5" customHeight="1">
      <c r="C122" s="493" t="s">
        <v>211</v>
      </c>
      <c r="D122" s="612">
        <v>44200</v>
      </c>
      <c r="E122" s="369"/>
      <c r="F122" s="369"/>
    </row>
    <row r="123" spans="3:6" ht="10.5" customHeight="1">
      <c r="C123" s="493" t="s">
        <v>215</v>
      </c>
      <c r="D123" s="612">
        <v>47100</v>
      </c>
      <c r="E123" s="369"/>
      <c r="F123" s="369"/>
    </row>
    <row r="124" spans="3:6" ht="10.5" customHeight="1">
      <c r="C124" s="493" t="s">
        <v>1349</v>
      </c>
      <c r="D124" s="612">
        <v>49400</v>
      </c>
      <c r="E124" s="369"/>
      <c r="F124" s="369"/>
    </row>
    <row r="125" spans="3:6" ht="10.5" customHeight="1">
      <c r="C125" s="493" t="s">
        <v>1351</v>
      </c>
      <c r="D125" s="612">
        <v>42100</v>
      </c>
      <c r="E125" s="369"/>
      <c r="F125" s="369"/>
    </row>
    <row r="126" spans="3:6" ht="10.5" customHeight="1">
      <c r="C126" s="493" t="s">
        <v>1270</v>
      </c>
      <c r="D126" s="612">
        <v>42800</v>
      </c>
      <c r="E126" s="369"/>
      <c r="F126" s="369"/>
    </row>
    <row r="127" spans="3:6" ht="10.5" customHeight="1">
      <c r="C127" s="493" t="s">
        <v>1274</v>
      </c>
      <c r="D127" s="612">
        <v>37800</v>
      </c>
      <c r="E127" s="369"/>
      <c r="F127" s="369"/>
    </row>
    <row r="128" spans="3:6" ht="10.5" customHeight="1">
      <c r="C128" s="493" t="s">
        <v>2970</v>
      </c>
      <c r="D128" s="612">
        <v>38700</v>
      </c>
      <c r="E128" s="369"/>
      <c r="F128" s="369"/>
    </row>
    <row r="129" spans="3:6" ht="10.5" customHeight="1">
      <c r="C129" s="493" t="s">
        <v>840</v>
      </c>
      <c r="D129" s="612">
        <v>48800</v>
      </c>
      <c r="E129" s="369"/>
      <c r="F129" s="369"/>
    </row>
    <row r="130" spans="3:6" ht="10.5" customHeight="1">
      <c r="C130" s="493" t="s">
        <v>842</v>
      </c>
      <c r="D130" s="612">
        <v>44000</v>
      </c>
      <c r="E130" s="369"/>
      <c r="F130" s="369"/>
    </row>
    <row r="131" spans="3:6" ht="10.5" customHeight="1">
      <c r="C131" s="492" t="s">
        <v>847</v>
      </c>
      <c r="D131" s="612">
        <v>47500</v>
      </c>
      <c r="E131" s="369"/>
      <c r="F131" s="369"/>
    </row>
    <row r="132" spans="3:6" ht="10.5" customHeight="1">
      <c r="C132" s="493" t="s">
        <v>849</v>
      </c>
      <c r="D132" s="612">
        <v>48200</v>
      </c>
      <c r="E132" s="369"/>
      <c r="F132" s="369"/>
    </row>
    <row r="133" spans="3:6" ht="10.5" customHeight="1">
      <c r="C133" s="492" t="s">
        <v>851</v>
      </c>
      <c r="D133" s="612">
        <v>49200</v>
      </c>
      <c r="E133" s="369"/>
      <c r="F133" s="369"/>
    </row>
    <row r="134" spans="3:6" ht="10.5" customHeight="1">
      <c r="C134" s="493" t="s">
        <v>854</v>
      </c>
      <c r="D134" s="612">
        <v>51000</v>
      </c>
      <c r="E134" s="369"/>
      <c r="F134" s="369"/>
    </row>
    <row r="135" spans="3:6" ht="10.5" customHeight="1">
      <c r="C135" s="493" t="s">
        <v>856</v>
      </c>
      <c r="D135" s="612">
        <v>41600</v>
      </c>
      <c r="E135" s="369"/>
      <c r="F135" s="369"/>
    </row>
    <row r="136" spans="3:6" ht="10.5" customHeight="1">
      <c r="C136" s="493" t="s">
        <v>858</v>
      </c>
      <c r="D136" s="612">
        <v>45000</v>
      </c>
      <c r="E136" s="369"/>
      <c r="F136" s="369"/>
    </row>
    <row r="137" spans="3:6" ht="10.5" customHeight="1">
      <c r="C137" s="493" t="s">
        <v>129</v>
      </c>
      <c r="D137" s="612">
        <v>52300</v>
      </c>
      <c r="E137" s="369"/>
      <c r="F137" s="369"/>
    </row>
    <row r="138" spans="3:6" ht="10.5" customHeight="1">
      <c r="C138" s="493" t="s">
        <v>345</v>
      </c>
      <c r="D138" s="612">
        <v>28900</v>
      </c>
      <c r="E138" s="369"/>
      <c r="F138" s="369"/>
    </row>
    <row r="139" spans="3:6" ht="10.5" customHeight="1">
      <c r="C139" s="493" t="s">
        <v>349</v>
      </c>
      <c r="D139" s="612">
        <v>47200</v>
      </c>
      <c r="E139" s="369"/>
      <c r="F139" s="369"/>
    </row>
    <row r="140" spans="3:6" ht="10.5" customHeight="1">
      <c r="C140" s="493" t="s">
        <v>354</v>
      </c>
      <c r="D140" s="612">
        <v>54500</v>
      </c>
      <c r="E140" s="369"/>
      <c r="F140" s="369"/>
    </row>
    <row r="141" spans="3:6" ht="10.5" customHeight="1">
      <c r="C141" s="493" t="s">
        <v>356</v>
      </c>
      <c r="D141" s="612">
        <v>61900</v>
      </c>
      <c r="E141" s="369"/>
      <c r="F141" s="369"/>
    </row>
    <row r="142" spans="3:6" ht="10.5" customHeight="1">
      <c r="C142" s="493" t="s">
        <v>359</v>
      </c>
      <c r="D142" s="612">
        <v>42800</v>
      </c>
      <c r="E142" s="369"/>
      <c r="F142" s="369"/>
    </row>
    <row r="143" spans="3:6" ht="10.5" customHeight="1">
      <c r="C143" s="493" t="s">
        <v>361</v>
      </c>
      <c r="D143" s="612">
        <v>39300</v>
      </c>
      <c r="E143" s="369"/>
      <c r="F143" s="369"/>
    </row>
    <row r="144" spans="3:6" ht="10.5" customHeight="1">
      <c r="C144" s="493" t="s">
        <v>363</v>
      </c>
      <c r="D144" s="612">
        <v>38100</v>
      </c>
      <c r="E144" s="369"/>
      <c r="F144" s="369"/>
    </row>
    <row r="145" spans="3:6" ht="10.5" customHeight="1">
      <c r="C145" s="493" t="s">
        <v>365</v>
      </c>
      <c r="D145" s="612">
        <v>38000</v>
      </c>
      <c r="E145" s="369"/>
      <c r="F145" s="369"/>
    </row>
    <row r="146" spans="3:6" ht="10.5" customHeight="1">
      <c r="C146" s="493" t="s">
        <v>1900</v>
      </c>
      <c r="D146" s="612">
        <v>49400</v>
      </c>
      <c r="E146" s="369"/>
      <c r="F146" s="369"/>
    </row>
    <row r="147" spans="3:6" ht="10.5" customHeight="1">
      <c r="C147" s="493" t="s">
        <v>1904</v>
      </c>
      <c r="D147" s="612">
        <v>46600</v>
      </c>
      <c r="E147" s="369"/>
      <c r="F147" s="369"/>
    </row>
    <row r="148" spans="3:6" ht="10.5" customHeight="1">
      <c r="C148" s="492" t="s">
        <v>194</v>
      </c>
      <c r="D148" s="612">
        <v>53500</v>
      </c>
      <c r="E148" s="369"/>
      <c r="F148" s="369"/>
    </row>
    <row r="149" spans="3:6" ht="10.5" customHeight="1">
      <c r="C149" s="493" t="s">
        <v>195</v>
      </c>
      <c r="D149" s="612">
        <v>39600</v>
      </c>
      <c r="E149" s="369"/>
      <c r="F149" s="369"/>
    </row>
    <row r="150" spans="3:6" ht="10.5" customHeight="1">
      <c r="C150" s="493" t="s">
        <v>2235</v>
      </c>
      <c r="D150" s="612">
        <v>43200</v>
      </c>
      <c r="E150" s="369"/>
      <c r="F150" s="369"/>
    </row>
    <row r="151" spans="3:6" ht="10.5" customHeight="1">
      <c r="C151" s="493" t="s">
        <v>2237</v>
      </c>
      <c r="D151" s="612">
        <v>46700</v>
      </c>
      <c r="E151" s="369"/>
      <c r="F151" s="369"/>
    </row>
    <row r="152" spans="3:6" ht="10.5" customHeight="1">
      <c r="C152" s="493" t="s">
        <v>202</v>
      </c>
      <c r="D152" s="612">
        <v>48900</v>
      </c>
      <c r="E152" s="369"/>
      <c r="F152" s="369"/>
    </row>
    <row r="153" spans="3:6" ht="10.5" customHeight="1">
      <c r="C153" s="492" t="s">
        <v>3382</v>
      </c>
      <c r="D153" s="612">
        <v>61400</v>
      </c>
      <c r="E153" s="369"/>
      <c r="F153" s="369"/>
    </row>
    <row r="154" spans="3:6" ht="10.5" customHeight="1">
      <c r="C154" s="493" t="s">
        <v>1500</v>
      </c>
      <c r="D154" s="612">
        <v>57100</v>
      </c>
      <c r="E154" s="369"/>
      <c r="F154" s="369"/>
    </row>
    <row r="155" spans="3:6" ht="10.5" customHeight="1">
      <c r="C155" s="493" t="s">
        <v>1503</v>
      </c>
      <c r="D155" s="612">
        <v>50100</v>
      </c>
      <c r="E155" s="369"/>
      <c r="F155" s="369"/>
    </row>
    <row r="156" spans="3:6" ht="10.5" customHeight="1">
      <c r="C156" s="493" t="s">
        <v>1506</v>
      </c>
      <c r="D156" s="612">
        <v>45900</v>
      </c>
      <c r="E156" s="369"/>
      <c r="F156" s="369"/>
    </row>
    <row r="157" spans="3:6" ht="10.5" customHeight="1">
      <c r="C157" s="492" t="s">
        <v>1508</v>
      </c>
      <c r="D157" s="612">
        <v>49800</v>
      </c>
      <c r="E157" s="369"/>
      <c r="F157" s="369"/>
    </row>
    <row r="158" spans="3:6" ht="10.5" customHeight="1">
      <c r="C158" s="492" t="s">
        <v>1510</v>
      </c>
      <c r="D158" s="612">
        <v>52900</v>
      </c>
      <c r="E158" s="369"/>
      <c r="F158" s="369"/>
    </row>
    <row r="159" spans="3:6" ht="10.5" customHeight="1">
      <c r="C159" s="493" t="s">
        <v>1512</v>
      </c>
      <c r="D159" s="612">
        <v>36500</v>
      </c>
      <c r="E159" s="369"/>
      <c r="F159" s="369"/>
    </row>
    <row r="160" spans="3:6" ht="10.5" customHeight="1">
      <c r="C160" s="493" t="s">
        <v>1514</v>
      </c>
      <c r="D160" s="612">
        <v>53600</v>
      </c>
      <c r="E160" s="369"/>
      <c r="F160" s="369"/>
    </row>
    <row r="161" spans="3:6" ht="10.5" customHeight="1">
      <c r="C161" s="493" t="s">
        <v>1516</v>
      </c>
      <c r="D161" s="612">
        <v>31700</v>
      </c>
      <c r="E161" s="369"/>
      <c r="F161" s="369"/>
    </row>
    <row r="162" spans="3:6" ht="10.5" customHeight="1">
      <c r="C162" s="493" t="s">
        <v>2885</v>
      </c>
      <c r="D162" s="612">
        <v>50200</v>
      </c>
      <c r="E162" s="369"/>
      <c r="F162" s="369"/>
    </row>
    <row r="163" spans="3:6" ht="10.5" customHeight="1">
      <c r="C163" s="493" t="s">
        <v>2887</v>
      </c>
      <c r="D163" s="612">
        <v>47000</v>
      </c>
      <c r="E163" s="369"/>
      <c r="F163" s="369"/>
    </row>
    <row r="164" spans="3:6" ht="10.5" customHeight="1">
      <c r="C164" s="492" t="s">
        <v>2889</v>
      </c>
      <c r="D164" s="612">
        <v>40700</v>
      </c>
      <c r="E164" s="369"/>
      <c r="F164" s="369"/>
    </row>
    <row r="165" spans="3:6" ht="10.5" customHeight="1">
      <c r="C165" s="492" t="s">
        <v>2892</v>
      </c>
      <c r="D165" s="612">
        <v>44400</v>
      </c>
      <c r="E165" s="369"/>
      <c r="F165" s="369"/>
    </row>
    <row r="166" spans="3:6" ht="10.5" customHeight="1">
      <c r="C166" s="493" t="s">
        <v>2894</v>
      </c>
      <c r="D166" s="612">
        <v>44300</v>
      </c>
      <c r="E166" s="369"/>
      <c r="F166" s="369"/>
    </row>
    <row r="167" spans="3:6" ht="10.5" customHeight="1">
      <c r="C167" s="493" t="s">
        <v>2896</v>
      </c>
      <c r="D167" s="612">
        <v>44000</v>
      </c>
      <c r="E167" s="369"/>
      <c r="F167" s="369"/>
    </row>
    <row r="168" spans="3:6" ht="10.5" customHeight="1">
      <c r="C168" s="493" t="s">
        <v>2898</v>
      </c>
      <c r="D168" s="612">
        <v>46400</v>
      </c>
      <c r="E168" s="369"/>
      <c r="F168" s="369"/>
    </row>
    <row r="169" spans="3:6" ht="10.5" customHeight="1">
      <c r="C169" s="493" t="s">
        <v>2900</v>
      </c>
      <c r="D169" s="612">
        <v>31200</v>
      </c>
      <c r="E169" s="369"/>
      <c r="F169" s="369"/>
    </row>
    <row r="170" spans="3:6" ht="10.5" customHeight="1">
      <c r="C170" s="493" t="s">
        <v>2902</v>
      </c>
      <c r="D170" s="612">
        <v>48500</v>
      </c>
      <c r="E170" s="369"/>
      <c r="F170" s="369"/>
    </row>
    <row r="171" spans="3:6" ht="10.5" customHeight="1">
      <c r="C171" s="493" t="s">
        <v>1265</v>
      </c>
      <c r="D171" s="612">
        <v>38100</v>
      </c>
      <c r="E171" s="369"/>
      <c r="F171" s="369"/>
    </row>
    <row r="172" spans="3:6" ht="10.5" customHeight="1">
      <c r="C172" s="493" t="s">
        <v>1267</v>
      </c>
      <c r="D172" s="612">
        <v>38400</v>
      </c>
      <c r="E172" s="369"/>
      <c r="F172" s="369"/>
    </row>
    <row r="173" spans="3:6" ht="10.5" customHeight="1">
      <c r="C173" s="492" t="s">
        <v>2348</v>
      </c>
      <c r="D173" s="612">
        <v>49200</v>
      </c>
      <c r="E173" s="369"/>
      <c r="F173" s="369"/>
    </row>
    <row r="174" spans="3:6" ht="10.5" customHeight="1">
      <c r="C174" s="492" t="s">
        <v>2617</v>
      </c>
      <c r="D174" s="612">
        <v>48200</v>
      </c>
      <c r="E174" s="369"/>
      <c r="F174" s="369"/>
    </row>
    <row r="175" spans="3:6" ht="10.5" customHeight="1">
      <c r="C175" s="492" t="s">
        <v>2619</v>
      </c>
      <c r="D175" s="612">
        <v>47000</v>
      </c>
      <c r="E175" s="369"/>
      <c r="F175" s="369"/>
    </row>
    <row r="176" spans="3:6" ht="10.5" customHeight="1">
      <c r="C176" s="492" t="s">
        <v>2621</v>
      </c>
      <c r="D176" s="612">
        <v>51000</v>
      </c>
      <c r="E176" s="369"/>
      <c r="F176" s="369"/>
    </row>
    <row r="177" spans="3:6" ht="10.5" customHeight="1">
      <c r="C177" s="492" t="s">
        <v>2623</v>
      </c>
      <c r="D177" s="612">
        <v>51100</v>
      </c>
      <c r="E177" s="369"/>
      <c r="F177" s="369"/>
    </row>
    <row r="178" spans="3:6" ht="10.5" customHeight="1">
      <c r="C178" s="493" t="s">
        <v>2625</v>
      </c>
      <c r="D178" s="612">
        <v>50200</v>
      </c>
      <c r="E178" s="369"/>
      <c r="F178" s="369"/>
    </row>
    <row r="179" spans="3:6" ht="10.5" customHeight="1">
      <c r="C179" s="492" t="s">
        <v>2627</v>
      </c>
      <c r="D179" s="612">
        <v>43000</v>
      </c>
      <c r="E179" s="369"/>
      <c r="F179" s="369"/>
    </row>
    <row r="180" spans="3:6" ht="10.5" customHeight="1">
      <c r="C180" s="492" t="s">
        <v>2630</v>
      </c>
      <c r="D180" s="612">
        <v>54000</v>
      </c>
      <c r="E180" s="369"/>
      <c r="F180" s="369"/>
    </row>
    <row r="181" spans="3:6" ht="10.5" customHeight="1">
      <c r="C181" s="493" t="s">
        <v>2718</v>
      </c>
      <c r="D181" s="612">
        <v>45400</v>
      </c>
      <c r="E181" s="369"/>
      <c r="F181" s="369"/>
    </row>
    <row r="182" spans="3:6" ht="10.5" customHeight="1">
      <c r="C182" s="492" t="s">
        <v>109</v>
      </c>
      <c r="D182" s="612">
        <v>50600</v>
      </c>
      <c r="E182" s="369"/>
      <c r="F182" s="369"/>
    </row>
    <row r="183" spans="3:6" ht="10.5" customHeight="1">
      <c r="C183" s="492" t="s">
        <v>111</v>
      </c>
      <c r="D183" s="612">
        <v>39200</v>
      </c>
      <c r="E183" s="369"/>
      <c r="F183" s="369"/>
    </row>
    <row r="184" spans="3:6" ht="10.5" customHeight="1">
      <c r="C184" s="492" t="s">
        <v>113</v>
      </c>
      <c r="D184" s="612">
        <v>43600</v>
      </c>
      <c r="E184" s="369"/>
      <c r="F184" s="369"/>
    </row>
    <row r="185" spans="3:6" ht="10.5" customHeight="1">
      <c r="C185" s="492" t="s">
        <v>115</v>
      </c>
      <c r="D185" s="612">
        <v>48500</v>
      </c>
      <c r="E185" s="369"/>
      <c r="F185" s="369"/>
    </row>
    <row r="186" spans="3:6" ht="10.5" customHeight="1">
      <c r="C186" s="492" t="s">
        <v>117</v>
      </c>
      <c r="D186" s="612">
        <v>43000</v>
      </c>
      <c r="E186" s="369"/>
      <c r="F186" s="369"/>
    </row>
    <row r="187" spans="3:6" ht="10.5" customHeight="1">
      <c r="C187" s="492" t="s">
        <v>119</v>
      </c>
      <c r="D187" s="612">
        <v>47900</v>
      </c>
      <c r="E187" s="369"/>
      <c r="F187" s="369"/>
    </row>
    <row r="188" spans="3:6" ht="10.5" customHeight="1">
      <c r="C188" s="492" t="s">
        <v>121</v>
      </c>
      <c r="D188" s="612">
        <v>54200</v>
      </c>
      <c r="E188" s="369"/>
      <c r="F188" s="369"/>
    </row>
    <row r="189" spans="3:6" ht="10.5" customHeight="1">
      <c r="C189" s="492" t="s">
        <v>3155</v>
      </c>
      <c r="D189" s="612">
        <v>43100</v>
      </c>
      <c r="E189" s="369"/>
      <c r="F189" s="369"/>
    </row>
    <row r="190" spans="3:6" ht="10.5" customHeight="1">
      <c r="C190" s="492" t="s">
        <v>3157</v>
      </c>
      <c r="D190" s="612">
        <v>41600</v>
      </c>
      <c r="E190" s="369"/>
      <c r="F190" s="369"/>
    </row>
    <row r="191" spans="3:6" ht="10.5" customHeight="1">
      <c r="C191" s="492" t="s">
        <v>3159</v>
      </c>
      <c r="D191" s="612">
        <v>52200</v>
      </c>
      <c r="E191" s="369"/>
      <c r="F191" s="369"/>
    </row>
  </sheetData>
  <sheetProtection password="BD88" sheet="1" objects="1" scenarios="1"/>
  <mergeCells count="30">
    <mergeCell ref="Q51:R51"/>
    <mergeCell ref="Q47:R47"/>
    <mergeCell ref="Q42:R42"/>
    <mergeCell ref="Q68:R68"/>
    <mergeCell ref="Q69:R69"/>
    <mergeCell ref="Q64:R64"/>
    <mergeCell ref="Q65:R65"/>
    <mergeCell ref="Q66:R66"/>
    <mergeCell ref="Q67:R67"/>
    <mergeCell ref="A2:R2"/>
    <mergeCell ref="Q25:R25"/>
    <mergeCell ref="Q26:R26"/>
    <mergeCell ref="Q27:R27"/>
    <mergeCell ref="Q40:R40"/>
    <mergeCell ref="Q74:R74"/>
    <mergeCell ref="Q71:R71"/>
    <mergeCell ref="Q72:R72"/>
    <mergeCell ref="Q73:R73"/>
    <mergeCell ref="Q28:R28"/>
    <mergeCell ref="Q29:R29"/>
    <mergeCell ref="Q30:R30"/>
    <mergeCell ref="Q39:R39"/>
    <mergeCell ref="Q46:R46"/>
    <mergeCell ref="Q52:R52"/>
    <mergeCell ref="Q59:R59"/>
    <mergeCell ref="Q41:R41"/>
    <mergeCell ref="Q48:R48"/>
    <mergeCell ref="Q50:R50"/>
    <mergeCell ref="Q53:R53"/>
    <mergeCell ref="Q49:R49"/>
  </mergeCells>
  <phoneticPr fontId="7" type="noConversion"/>
  <printOptions horizontalCentered="1"/>
  <pageMargins left="0.25" right="0.25" top="0.25" bottom="0.25" header="0.25" footer="0.25"/>
  <pageSetup fitToHeight="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75" zoomScaleNormal="75" workbookViewId="0">
      <selection sqref="A1:XFD1048576"/>
    </sheetView>
  </sheetViews>
  <sheetFormatPr defaultRowHeight="12.75"/>
  <cols>
    <col min="1" max="1" width="144.85546875" style="31" customWidth="1"/>
    <col min="2" max="16384" width="9.140625" style="31"/>
  </cols>
  <sheetData>
    <row r="1" spans="1:6" ht="15.75">
      <c r="A1" s="1282" t="s">
        <v>1379</v>
      </c>
    </row>
    <row r="2" spans="1:6" ht="16.5">
      <c r="A2" s="1283" t="str">
        <f>'Part I-Project Information'!F23</f>
        <v>Mountain View Senior Residences</v>
      </c>
    </row>
    <row r="3" spans="1:6" ht="16.5">
      <c r="A3" s="1283" t="str">
        <f>CONCATENATE('Part I-Project Information'!F26,", ", 'Part I-Project Information'!J27," County")</f>
        <v>Stone Mountain, DeKalb County</v>
      </c>
    </row>
    <row r="4" spans="1:6" ht="12" customHeight="1"/>
    <row r="5" spans="1:6" ht="111" customHeight="1">
      <c r="A5" s="1284" t="s">
        <v>4203</v>
      </c>
      <c r="B5" s="817" t="s">
        <v>3595</v>
      </c>
      <c r="C5" s="817"/>
      <c r="D5" s="817"/>
      <c r="E5" s="817"/>
      <c r="F5" s="817"/>
    </row>
    <row r="6" spans="1:6" ht="6.6" customHeight="1">
      <c r="A6" s="1284"/>
      <c r="B6" s="817"/>
      <c r="C6" s="817"/>
      <c r="D6" s="817"/>
      <c r="E6" s="817"/>
      <c r="F6" s="817"/>
    </row>
    <row r="7" spans="1:6" ht="93" customHeight="1">
      <c r="A7" s="1284"/>
    </row>
    <row r="8" spans="1:6" ht="6.6" customHeight="1">
      <c r="A8" s="1284"/>
    </row>
    <row r="9" spans="1:6" ht="93" customHeight="1">
      <c r="A9" s="1284"/>
    </row>
    <row r="10" spans="1:6" ht="6.6" customHeight="1">
      <c r="A10" s="1284"/>
    </row>
    <row r="11" spans="1:6" ht="93" customHeight="1">
      <c r="A11" s="1284"/>
    </row>
    <row r="12" spans="1:6" ht="6.6" customHeight="1">
      <c r="A12" s="1284"/>
    </row>
    <row r="13" spans="1:6" ht="93" customHeight="1">
      <c r="A13" s="1284"/>
    </row>
    <row r="14" spans="1:6" ht="6.6" customHeight="1">
      <c r="A14" s="1284"/>
    </row>
    <row r="15" spans="1:6" ht="93" customHeight="1">
      <c r="A15" s="1284"/>
    </row>
    <row r="16" spans="1:6" ht="6.6" customHeight="1">
      <c r="A16" s="1284"/>
    </row>
    <row r="17" spans="1:1" ht="93" customHeight="1">
      <c r="A17" s="1284"/>
    </row>
    <row r="18" spans="1:1" ht="6.6" customHeight="1">
      <c r="A18" s="1284"/>
    </row>
    <row r="19" spans="1:1" ht="93" customHeight="1">
      <c r="A19" s="1284"/>
    </row>
    <row r="20" spans="1:1" ht="6.6" customHeight="1">
      <c r="A20" s="1284"/>
    </row>
    <row r="21" spans="1:1" ht="93" customHeight="1">
      <c r="A21" s="1284"/>
    </row>
    <row r="22" spans="1:1" ht="6.6" customHeight="1">
      <c r="A22" s="1284"/>
    </row>
    <row r="23" spans="1:1" ht="93" customHeight="1">
      <c r="A23" s="1284"/>
    </row>
  </sheetData>
  <sheetProtection password="BD88" sheet="1" objects="1" scenarios="1" formatColumns="0" formatRows="0"/>
  <mergeCells count="2">
    <mergeCell ref="B5:F6"/>
    <mergeCell ref="A5:A23"/>
  </mergeCells>
  <phoneticPr fontId="7" type="noConversion"/>
  <printOptions horizontalCentered="1"/>
  <pageMargins left="0.5" right="0.5" top="0.5" bottom="0.5" header="0.5" footer="0.25"/>
  <pageSetup scale="67" fitToHeight="0" orientation="portrait"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0"/>
  <sheetViews>
    <sheetView showGridLines="0" showZeros="0" tabSelected="1" zoomScaleNormal="100" workbookViewId="0">
      <selection sqref="A1:XFD1048576"/>
    </sheetView>
  </sheetViews>
  <sheetFormatPr defaultColWidth="9.140625" defaultRowHeight="12" customHeight="1"/>
  <cols>
    <col min="1" max="1" width="3.28515625" style="406" customWidth="1"/>
    <col min="2" max="2" width="2.28515625" style="430" customWidth="1"/>
    <col min="3" max="16" width="8.85546875" style="406" customWidth="1"/>
    <col min="17" max="16384" width="9.140625" style="406"/>
  </cols>
  <sheetData>
    <row r="1" spans="1:16" s="386" customFormat="1" ht="13.9" customHeight="1">
      <c r="A1" s="826" t="str">
        <f>CONCATENATE("PART ONE - PROJECT INFORMATION"," - ",$O$4," ",$F$23,", ",'Part I-Project Information'!F26,", ",'Part I-Project Information'!J27," County")</f>
        <v>PART ONE - PROJECT INFORMATION - 2013-011 Mountain View Senior Residences, Stone Mountain, DeKalb County</v>
      </c>
      <c r="B1" s="827"/>
      <c r="C1" s="827"/>
      <c r="D1" s="827"/>
      <c r="E1" s="827"/>
      <c r="F1" s="827"/>
      <c r="G1" s="827"/>
      <c r="H1" s="827"/>
      <c r="I1" s="827"/>
      <c r="J1" s="827"/>
      <c r="K1" s="827"/>
      <c r="L1" s="827"/>
      <c r="M1" s="827"/>
      <c r="N1" s="827"/>
      <c r="O1" s="827"/>
      <c r="P1" s="828"/>
    </row>
    <row r="2" spans="1:16" s="386" customFormat="1" ht="12" customHeight="1">
      <c r="A2" s="387"/>
      <c r="B2" s="387"/>
      <c r="C2" s="387"/>
      <c r="D2" s="387"/>
      <c r="E2" s="387"/>
      <c r="F2" s="387"/>
      <c r="G2" s="387"/>
      <c r="H2" s="387"/>
      <c r="I2" s="387"/>
      <c r="J2" s="387"/>
      <c r="K2" s="387"/>
      <c r="L2" s="387"/>
      <c r="M2" s="387"/>
      <c r="N2" s="387"/>
      <c r="O2" s="387"/>
      <c r="P2" s="387"/>
    </row>
    <row r="3" spans="1:16" s="386" customFormat="1" ht="12" customHeight="1" thickBot="1">
      <c r="B3" s="387"/>
      <c r="C3" s="350" t="s">
        <v>3118</v>
      </c>
      <c r="F3" s="388"/>
      <c r="G3" s="352" t="s">
        <v>568</v>
      </c>
      <c r="L3" s="387"/>
      <c r="O3" s="835" t="s">
        <v>3548</v>
      </c>
      <c r="P3" s="835"/>
    </row>
    <row r="4" spans="1:16" s="386" customFormat="1" ht="12" customHeight="1" thickBot="1">
      <c r="A4" s="687"/>
      <c r="B4" s="389"/>
      <c r="C4" s="389"/>
      <c r="F4" s="390"/>
      <c r="G4" s="352" t="s">
        <v>569</v>
      </c>
      <c r="H4" s="790"/>
      <c r="I4" s="790"/>
      <c r="J4" s="790"/>
      <c r="O4" s="1285" t="s">
        <v>4204</v>
      </c>
      <c r="P4" s="1286"/>
    </row>
    <row r="5" spans="1:16" s="386" customFormat="1" ht="9" customHeight="1">
      <c r="A5" s="687"/>
      <c r="B5" s="389"/>
      <c r="C5" s="389"/>
      <c r="D5" s="389"/>
      <c r="E5" s="790"/>
      <c r="H5" s="790"/>
      <c r="I5" s="790"/>
      <c r="J5" s="790"/>
      <c r="K5" s="350"/>
      <c r="M5" s="790"/>
    </row>
    <row r="6" spans="1:16" s="386" customFormat="1" ht="13.15" customHeight="1">
      <c r="A6" s="389" t="s">
        <v>796</v>
      </c>
      <c r="C6" s="389" t="s">
        <v>3131</v>
      </c>
      <c r="D6" s="353"/>
      <c r="E6" s="391"/>
      <c r="F6" s="392" t="s">
        <v>2407</v>
      </c>
      <c r="J6" s="831">
        <f ca="1">'Part IV-Uses of Funds'!J172</f>
        <v>574096</v>
      </c>
      <c r="K6" s="832"/>
      <c r="M6" s="790"/>
    </row>
    <row r="7" spans="1:16" s="1" customFormat="1" ht="13.15" customHeight="1">
      <c r="A7" s="5"/>
      <c r="C7" s="5"/>
      <c r="D7" s="31"/>
      <c r="E7" s="481"/>
      <c r="F7" s="386" t="s">
        <v>1717</v>
      </c>
      <c r="J7" s="833">
        <f>'Part III-Sources of Funds'!J5</f>
        <v>0</v>
      </c>
      <c r="K7" s="834"/>
      <c r="L7" s="386"/>
      <c r="M7" s="790"/>
      <c r="N7" s="386"/>
      <c r="O7" s="386"/>
      <c r="P7" s="386"/>
    </row>
    <row r="8" spans="1:16" s="386" customFormat="1" ht="6" customHeight="1">
      <c r="A8" s="389"/>
      <c r="C8" s="389"/>
      <c r="D8" s="353"/>
      <c r="E8" s="391"/>
      <c r="F8" s="391"/>
      <c r="I8" s="393"/>
      <c r="N8" s="394"/>
    </row>
    <row r="9" spans="1:16" s="386" customFormat="1" ht="13.15" customHeight="1">
      <c r="A9" s="393" t="s">
        <v>1045</v>
      </c>
      <c r="C9" s="389" t="s">
        <v>2754</v>
      </c>
      <c r="F9" s="1287" t="s">
        <v>4088</v>
      </c>
      <c r="G9" s="1288"/>
      <c r="H9" s="1289"/>
      <c r="I9" s="426"/>
      <c r="J9" s="773" t="s">
        <v>3965</v>
      </c>
      <c r="K9" s="398"/>
      <c r="L9" s="790"/>
      <c r="O9" s="1290" t="s">
        <v>4149</v>
      </c>
      <c r="P9" s="1291"/>
    </row>
    <row r="10" spans="1:16" s="386" customFormat="1" ht="12.75" customHeight="1">
      <c r="A10" s="687"/>
      <c r="B10" s="389"/>
      <c r="H10" s="790"/>
      <c r="J10" s="774" t="s">
        <v>3732</v>
      </c>
      <c r="K10" s="350"/>
      <c r="M10" s="790"/>
      <c r="O10" s="1292" t="s">
        <v>4150</v>
      </c>
      <c r="P10" s="1293"/>
    </row>
    <row r="11" spans="1:16" s="386" customFormat="1" ht="7.15" customHeight="1">
      <c r="I11" s="353"/>
      <c r="J11" s="353"/>
      <c r="K11" s="353"/>
      <c r="L11" s="353"/>
      <c r="M11" s="353"/>
      <c r="N11" s="353"/>
      <c r="O11" s="353"/>
      <c r="P11" s="353"/>
    </row>
    <row r="12" spans="1:16" s="386" customFormat="1" ht="13.15" customHeight="1">
      <c r="A12" s="393" t="s">
        <v>1047</v>
      </c>
      <c r="B12" s="391"/>
      <c r="C12" s="389" t="s">
        <v>1921</v>
      </c>
      <c r="D12" s="392"/>
      <c r="E12" s="391"/>
      <c r="G12" s="395"/>
      <c r="H12" s="395"/>
      <c r="I12" s="395"/>
      <c r="K12" s="394"/>
      <c r="L12" s="394"/>
    </row>
    <row r="13" spans="1:16" s="386" customFormat="1" ht="3" customHeight="1">
      <c r="A13" s="393"/>
      <c r="B13" s="391"/>
      <c r="C13" s="389"/>
      <c r="D13" s="392"/>
      <c r="E13" s="391"/>
      <c r="G13" s="395"/>
      <c r="H13" s="395"/>
      <c r="I13" s="395"/>
      <c r="K13" s="394"/>
      <c r="L13" s="394"/>
      <c r="O13" s="387"/>
    </row>
    <row r="14" spans="1:16" s="386" customFormat="1" ht="13.15" customHeight="1">
      <c r="C14" s="386" t="s">
        <v>3029</v>
      </c>
      <c r="F14" s="1294" t="s">
        <v>4067</v>
      </c>
      <c r="G14" s="1295"/>
      <c r="H14" s="1295"/>
      <c r="I14" s="1295"/>
      <c r="J14" s="1295"/>
      <c r="K14" s="1295"/>
      <c r="L14" s="1296"/>
      <c r="M14" s="782" t="s">
        <v>2691</v>
      </c>
      <c r="N14" s="1294" t="s">
        <v>4096</v>
      </c>
      <c r="O14" s="1295"/>
      <c r="P14" s="1296"/>
    </row>
    <row r="15" spans="1:16" s="386" customFormat="1" ht="13.15" customHeight="1">
      <c r="C15" s="392" t="s">
        <v>2692</v>
      </c>
      <c r="F15" s="1294" t="s">
        <v>4064</v>
      </c>
      <c r="G15" s="1295"/>
      <c r="H15" s="1295"/>
      <c r="I15" s="1295"/>
      <c r="J15" s="1295"/>
      <c r="K15" s="1295"/>
      <c r="L15" s="1296"/>
      <c r="M15" s="782" t="s">
        <v>2413</v>
      </c>
      <c r="O15" s="1297">
        <v>4042702558</v>
      </c>
      <c r="P15" s="1298"/>
    </row>
    <row r="16" spans="1:16" s="386" customFormat="1" ht="13.15" customHeight="1">
      <c r="C16" s="392" t="s">
        <v>798</v>
      </c>
      <c r="F16" s="1299" t="s">
        <v>214</v>
      </c>
      <c r="G16" s="1300"/>
      <c r="H16" s="1301"/>
      <c r="M16" s="782" t="s">
        <v>2498</v>
      </c>
      <c r="O16" s="1302">
        <v>4042702546</v>
      </c>
      <c r="P16" s="1303"/>
    </row>
    <row r="17" spans="1:16" s="386" customFormat="1" ht="13.15" customHeight="1">
      <c r="C17" s="392" t="s">
        <v>2495</v>
      </c>
      <c r="F17" s="1304" t="s">
        <v>1242</v>
      </c>
      <c r="I17" s="790" t="s">
        <v>2953</v>
      </c>
      <c r="J17" s="1305">
        <v>300302612</v>
      </c>
      <c r="K17" s="1306"/>
      <c r="M17" s="782" t="s">
        <v>2690</v>
      </c>
      <c r="O17" s="1302">
        <v>4043160631</v>
      </c>
      <c r="P17" s="1303"/>
    </row>
    <row r="18" spans="1:16" s="386" customFormat="1" ht="13.15" customHeight="1">
      <c r="B18" s="787"/>
      <c r="C18" s="392" t="s">
        <v>2412</v>
      </c>
      <c r="F18" s="1302">
        <v>4042702558</v>
      </c>
      <c r="G18" s="1307"/>
      <c r="H18" s="1303"/>
      <c r="I18" s="779" t="s">
        <v>2411</v>
      </c>
      <c r="J18" s="1308" t="s">
        <v>4112</v>
      </c>
      <c r="K18" s="790" t="s">
        <v>2695</v>
      </c>
      <c r="L18" s="1294" t="s">
        <v>4066</v>
      </c>
      <c r="M18" s="1295"/>
      <c r="N18" s="1295"/>
      <c r="O18" s="1295"/>
      <c r="P18" s="1296"/>
    </row>
    <row r="19" spans="1:16" s="386" customFormat="1" ht="13.15" customHeight="1">
      <c r="A19" s="389"/>
      <c r="B19" s="391"/>
      <c r="C19" s="377" t="s">
        <v>839</v>
      </c>
      <c r="D19" s="391"/>
      <c r="G19" s="391"/>
      <c r="H19" s="391"/>
      <c r="I19" s="395"/>
    </row>
    <row r="20" spans="1:16" s="386" customFormat="1" ht="6" customHeight="1">
      <c r="A20" s="687"/>
      <c r="B20" s="687"/>
      <c r="C20" s="396"/>
      <c r="D20" s="787"/>
      <c r="E20" s="787"/>
      <c r="F20" s="787"/>
      <c r="H20" s="790"/>
      <c r="I20" s="787"/>
      <c r="J20" s="396"/>
      <c r="K20" s="787"/>
      <c r="P20" s="397"/>
    </row>
    <row r="21" spans="1:16" s="386" customFormat="1" ht="13.15" customHeight="1">
      <c r="A21" s="393" t="s">
        <v>2488</v>
      </c>
      <c r="B21" s="389"/>
      <c r="C21" s="389" t="s">
        <v>1922</v>
      </c>
      <c r="D21" s="353"/>
      <c r="E21" s="391"/>
      <c r="F21" s="391"/>
      <c r="G21" s="392"/>
      <c r="H21" s="391"/>
      <c r="I21" s="391"/>
      <c r="J21" s="395"/>
      <c r="L21" s="394"/>
      <c r="M21" s="394"/>
    </row>
    <row r="22" spans="1:16" s="386" customFormat="1" ht="3" customHeight="1">
      <c r="A22" s="393"/>
      <c r="B22" s="389"/>
      <c r="C22" s="389"/>
      <c r="D22" s="353"/>
      <c r="E22" s="391"/>
      <c r="F22" s="391"/>
      <c r="G22" s="392"/>
      <c r="H22" s="391"/>
      <c r="I22" s="391"/>
      <c r="J22" s="395"/>
      <c r="L22" s="394"/>
    </row>
    <row r="23" spans="1:16" s="386" customFormat="1" ht="13.15" customHeight="1">
      <c r="A23" s="389"/>
      <c r="B23" s="389"/>
      <c r="C23" s="386" t="s">
        <v>797</v>
      </c>
      <c r="D23" s="398"/>
      <c r="F23" s="1309" t="s">
        <v>4104</v>
      </c>
      <c r="G23" s="1310"/>
      <c r="H23" s="1310"/>
      <c r="I23" s="1310"/>
      <c r="J23" s="1310"/>
      <c r="K23" s="1310"/>
      <c r="L23" s="1311"/>
      <c r="M23" s="782" t="s">
        <v>2910</v>
      </c>
      <c r="O23" s="1294" t="s">
        <v>4074</v>
      </c>
      <c r="P23" s="1296"/>
    </row>
    <row r="24" spans="1:16" s="386" customFormat="1" ht="13.15" customHeight="1">
      <c r="A24" s="399"/>
      <c r="B24" s="389"/>
      <c r="C24" s="386" t="s">
        <v>3602</v>
      </c>
      <c r="D24" s="400"/>
      <c r="F24" s="1294" t="s">
        <v>4110</v>
      </c>
      <c r="G24" s="1295"/>
      <c r="H24" s="1295"/>
      <c r="I24" s="1295"/>
      <c r="J24" s="1295"/>
      <c r="K24" s="1295"/>
      <c r="L24" s="1296"/>
      <c r="M24" s="782" t="s">
        <v>2765</v>
      </c>
      <c r="O24" s="1294" t="s">
        <v>4074</v>
      </c>
      <c r="P24" s="1296"/>
    </row>
    <row r="25" spans="1:16" s="386" customFormat="1" ht="13.15" customHeight="1">
      <c r="A25" s="399"/>
      <c r="B25" s="389"/>
      <c r="C25" s="386" t="s">
        <v>3746</v>
      </c>
      <c r="D25" s="400"/>
      <c r="F25" s="1294"/>
      <c r="G25" s="1295"/>
      <c r="H25" s="1295"/>
      <c r="I25" s="1295"/>
      <c r="J25" s="1295"/>
      <c r="K25" s="1295"/>
      <c r="L25" s="1296"/>
      <c r="M25" s="782" t="s">
        <v>3747</v>
      </c>
      <c r="O25" s="1312"/>
      <c r="P25" s="1313"/>
    </row>
    <row r="26" spans="1:16" s="386" customFormat="1" ht="13.15" customHeight="1">
      <c r="A26" s="687"/>
      <c r="B26" s="389"/>
      <c r="C26" s="386" t="s">
        <v>798</v>
      </c>
      <c r="F26" s="1294" t="s">
        <v>3283</v>
      </c>
      <c r="G26" s="1295"/>
      <c r="H26" s="1296"/>
      <c r="I26" s="404" t="s">
        <v>3603</v>
      </c>
      <c r="J26" s="1305">
        <v>300833620</v>
      </c>
      <c r="K26" s="1306"/>
      <c r="L26" s="472" t="str">
        <f>IF(AND(NOT(F23=""),NOT(F26="Select from list"),J26=""),"Enter Zip!","")</f>
        <v/>
      </c>
      <c r="M26" s="782" t="s">
        <v>3010</v>
      </c>
      <c r="O26" s="1314">
        <v>10.183</v>
      </c>
      <c r="P26" s="1315"/>
    </row>
    <row r="27" spans="1:16" s="386" customFormat="1" ht="13.15" customHeight="1">
      <c r="A27" s="687"/>
      <c r="B27" s="389"/>
      <c r="C27" s="820" t="s">
        <v>2764</v>
      </c>
      <c r="D27" s="820"/>
      <c r="F27" s="1316" t="s">
        <v>4073</v>
      </c>
      <c r="I27" s="401" t="s">
        <v>799</v>
      </c>
      <c r="J27" s="1317" t="str">
        <f>IF($F$26="","",VLOOKUP($F$26,$N$177:$O$780,2,FALSE))</f>
        <v>DeKalb</v>
      </c>
      <c r="K27" s="1318"/>
      <c r="M27" s="402" t="s">
        <v>3022</v>
      </c>
      <c r="O27" s="1294">
        <v>219.07</v>
      </c>
      <c r="P27" s="1319"/>
    </row>
    <row r="28" spans="1:16" s="386" customFormat="1" ht="13.15" customHeight="1">
      <c r="A28" s="687"/>
      <c r="B28" s="389"/>
      <c r="C28" s="386" t="s">
        <v>2018</v>
      </c>
      <c r="F28" s="1320" t="s">
        <v>4074</v>
      </c>
      <c r="H28" s="394" t="s">
        <v>3410</v>
      </c>
      <c r="I28" s="565" t="str">
        <f>VLOOKUP($J$27,$C$177:$F$336,4)</f>
        <v>MSA</v>
      </c>
      <c r="J28" s="1321" t="str">
        <f>IF($F$26="","",VLOOKUP($J$27,$C$177:$H$336,3,FALSE))</f>
        <v>Atlanta-Sandy Springs-Marietta</v>
      </c>
      <c r="K28" s="1322"/>
      <c r="L28" s="1323"/>
      <c r="M28" s="782" t="s">
        <v>578</v>
      </c>
      <c r="N28" s="1324" t="s">
        <v>4074</v>
      </c>
      <c r="O28" s="394" t="s">
        <v>579</v>
      </c>
      <c r="P28" s="1324" t="s">
        <v>4074</v>
      </c>
    </row>
    <row r="29" spans="1:16" s="386" customFormat="1" ht="3" customHeight="1">
      <c r="A29" s="687"/>
      <c r="B29" s="389"/>
      <c r="C29" s="389"/>
      <c r="I29" s="392"/>
      <c r="J29" s="787"/>
      <c r="L29" s="797"/>
      <c r="M29" s="797"/>
      <c r="N29" s="797"/>
      <c r="O29" s="797"/>
      <c r="P29" s="797"/>
    </row>
    <row r="30" spans="1:16" s="386" customFormat="1" ht="13.15" customHeight="1">
      <c r="A30" s="687"/>
      <c r="B30" s="389"/>
      <c r="C30" s="434" t="s">
        <v>3763</v>
      </c>
      <c r="F30" s="830" t="s">
        <v>3956</v>
      </c>
      <c r="G30" s="830"/>
      <c r="H30" s="829" t="s">
        <v>1041</v>
      </c>
      <c r="I30" s="829"/>
      <c r="J30" s="829" t="s">
        <v>1042</v>
      </c>
      <c r="K30" s="829"/>
      <c r="L30" s="764" t="s">
        <v>3604</v>
      </c>
    </row>
    <row r="31" spans="1:16" s="386" customFormat="1" ht="13.15" customHeight="1">
      <c r="A31" s="687"/>
      <c r="B31" s="389"/>
      <c r="C31" s="386" t="s">
        <v>3955</v>
      </c>
      <c r="D31" s="389"/>
      <c r="F31" s="1325">
        <v>4</v>
      </c>
      <c r="G31" s="1326"/>
      <c r="H31" s="1325">
        <v>41</v>
      </c>
      <c r="I31" s="1326"/>
      <c r="J31" s="1325">
        <v>88</v>
      </c>
      <c r="K31" s="1326"/>
      <c r="L31" s="760" t="s">
        <v>1709</v>
      </c>
      <c r="N31" s="818" t="s">
        <v>1710</v>
      </c>
      <c r="O31" s="818"/>
      <c r="P31" s="818"/>
    </row>
    <row r="32" spans="1:16" s="386" customFormat="1" ht="12.75" customHeight="1">
      <c r="A32" s="687"/>
      <c r="B32" s="389"/>
      <c r="C32" s="392" t="s">
        <v>1043</v>
      </c>
      <c r="F32" s="1325"/>
      <c r="G32" s="1326"/>
      <c r="H32" s="1325"/>
      <c r="I32" s="1326"/>
      <c r="J32" s="1325"/>
      <c r="K32" s="1326"/>
      <c r="L32" s="760" t="s">
        <v>3954</v>
      </c>
      <c r="N32" s="819" t="s">
        <v>3952</v>
      </c>
      <c r="O32" s="819"/>
    </row>
    <row r="33" spans="1:19" s="386" customFormat="1" ht="3" customHeight="1">
      <c r="A33" s="687"/>
      <c r="B33" s="389"/>
      <c r="I33" s="797"/>
      <c r="J33" s="797"/>
      <c r="K33" s="797"/>
      <c r="L33" s="787"/>
      <c r="M33" s="787"/>
      <c r="N33" s="787"/>
      <c r="O33" s="787"/>
      <c r="P33" s="787"/>
    </row>
    <row r="34" spans="1:19" s="386" customFormat="1" ht="13.15" customHeight="1">
      <c r="A34" s="687"/>
      <c r="B34" s="687"/>
      <c r="C34" s="389" t="s">
        <v>817</v>
      </c>
      <c r="F34" s="1327" t="s">
        <v>4105</v>
      </c>
      <c r="G34" s="1328"/>
      <c r="H34" s="1328"/>
      <c r="I34" s="1328"/>
      <c r="J34" s="1329"/>
      <c r="K34" s="1330"/>
      <c r="M34" s="749" t="s">
        <v>3620</v>
      </c>
      <c r="N34" s="1331" t="s">
        <v>4117</v>
      </c>
      <c r="O34" s="1332"/>
      <c r="P34" s="1333"/>
    </row>
    <row r="35" spans="1:19" s="386" customFormat="1" ht="13.15" customHeight="1">
      <c r="A35" s="687"/>
      <c r="B35" s="687"/>
      <c r="C35" s="386" t="s">
        <v>818</v>
      </c>
      <c r="F35" s="1334" t="s">
        <v>4106</v>
      </c>
      <c r="G35" s="1335"/>
      <c r="H35" s="1336"/>
      <c r="I35" s="780" t="s">
        <v>2691</v>
      </c>
      <c r="J35" s="1331" t="s">
        <v>4107</v>
      </c>
      <c r="K35" s="1332"/>
      <c r="L35" s="1333"/>
      <c r="M35" s="392" t="s">
        <v>2496</v>
      </c>
      <c r="N35" s="1334" t="s">
        <v>4109</v>
      </c>
      <c r="O35" s="1335"/>
      <c r="P35" s="1336"/>
    </row>
    <row r="36" spans="1:19" s="386" customFormat="1" ht="13.15" customHeight="1">
      <c r="A36" s="687"/>
      <c r="B36" s="687"/>
      <c r="C36" s="386" t="s">
        <v>2692</v>
      </c>
      <c r="F36" s="1334" t="s">
        <v>4108</v>
      </c>
      <c r="G36" s="1335"/>
      <c r="H36" s="1335"/>
      <c r="I36" s="1335"/>
      <c r="J36" s="1337"/>
      <c r="K36" s="1338"/>
      <c r="M36" s="424" t="s">
        <v>798</v>
      </c>
      <c r="N36" s="1331" t="s">
        <v>3283</v>
      </c>
      <c r="O36" s="1332"/>
      <c r="P36" s="1333"/>
    </row>
    <row r="37" spans="1:19" s="386" customFormat="1" ht="13.15" customHeight="1">
      <c r="A37" s="687"/>
      <c r="B37" s="687"/>
      <c r="C37" s="782" t="s">
        <v>2953</v>
      </c>
      <c r="F37" s="1339">
        <v>300833620</v>
      </c>
      <c r="G37" s="1340"/>
      <c r="H37" s="779" t="s">
        <v>2693</v>
      </c>
      <c r="I37" s="1341">
        <v>7704988984</v>
      </c>
      <c r="J37" s="1342"/>
      <c r="K37" s="1343"/>
      <c r="M37" s="392" t="s">
        <v>2498</v>
      </c>
      <c r="N37" s="1344">
        <v>4044988609</v>
      </c>
      <c r="O37" s="1345"/>
    </row>
    <row r="38" spans="1:19" s="386" customFormat="1" ht="6" customHeight="1">
      <c r="A38" s="687"/>
      <c r="B38" s="687"/>
      <c r="C38" s="403"/>
      <c r="D38" s="404"/>
      <c r="E38" s="404"/>
      <c r="F38" s="790"/>
      <c r="G38" s="790"/>
      <c r="H38" s="790"/>
      <c r="I38" s="790"/>
      <c r="J38" s="404"/>
      <c r="K38" s="790"/>
      <c r="L38" s="790"/>
      <c r="N38" s="787"/>
      <c r="O38" s="787"/>
      <c r="P38" s="397"/>
    </row>
    <row r="39" spans="1:19" s="386" customFormat="1" ht="12" customHeight="1">
      <c r="A39" s="393" t="s">
        <v>2490</v>
      </c>
      <c r="C39" s="389" t="s">
        <v>1923</v>
      </c>
      <c r="F39" s="405"/>
      <c r="I39" s="392"/>
      <c r="K39" s="787"/>
      <c r="L39" s="787"/>
      <c r="M39" s="787"/>
      <c r="N39" s="787"/>
      <c r="O39" s="787"/>
      <c r="P39" s="787"/>
    </row>
    <row r="40" spans="1:19" s="386" customFormat="1" ht="3" customHeight="1">
      <c r="A40" s="687"/>
      <c r="B40" s="389"/>
      <c r="C40" s="389"/>
      <c r="I40" s="392"/>
      <c r="J40" s="514"/>
      <c r="K40" s="787"/>
      <c r="L40" s="787"/>
      <c r="M40" s="787"/>
      <c r="N40" s="787"/>
      <c r="O40" s="787"/>
      <c r="P40" s="787"/>
      <c r="Q40" s="787"/>
    </row>
    <row r="41" spans="1:19" s="386" customFormat="1" ht="12.75">
      <c r="A41" s="687"/>
      <c r="B41" s="687" t="s">
        <v>2694</v>
      </c>
      <c r="C41" s="389" t="s">
        <v>3024</v>
      </c>
      <c r="F41" s="1308" t="s">
        <v>4074</v>
      </c>
      <c r="K41" s="787"/>
      <c r="L41" s="787"/>
      <c r="M41" s="763"/>
      <c r="N41" s="763"/>
      <c r="O41" s="763"/>
      <c r="P41" s="761"/>
      <c r="Q41" s="787"/>
    </row>
    <row r="42" spans="1:19" s="386" customFormat="1" ht="3" customHeight="1">
      <c r="A42" s="687"/>
      <c r="J42" s="760"/>
      <c r="K42" s="762"/>
      <c r="L42" s="761"/>
      <c r="M42" s="762"/>
      <c r="N42" s="762"/>
      <c r="O42" s="762"/>
      <c r="P42" s="762"/>
      <c r="Q42" s="787"/>
    </row>
    <row r="43" spans="1:19" s="386" customFormat="1" ht="13.15" customHeight="1">
      <c r="A43" s="687"/>
      <c r="B43" s="687" t="s">
        <v>2697</v>
      </c>
      <c r="C43" s="389" t="s">
        <v>909</v>
      </c>
      <c r="K43" s="761"/>
      <c r="L43" s="787"/>
      <c r="M43" s="763"/>
      <c r="N43" s="763"/>
      <c r="O43" s="763"/>
      <c r="P43" s="763"/>
      <c r="Q43" s="790"/>
    </row>
    <row r="44" spans="1:19" ht="13.15" customHeight="1">
      <c r="B44" s="687"/>
      <c r="C44" s="386" t="s">
        <v>3023</v>
      </c>
      <c r="D44" s="386"/>
      <c r="E44" s="386"/>
      <c r="F44" s="407">
        <f>'Part VI-Revenues &amp; Expenses'!$M$74</f>
        <v>80</v>
      </c>
      <c r="H44" s="392" t="s">
        <v>399</v>
      </c>
      <c r="J44" s="386"/>
      <c r="M44" s="407">
        <f>'Part VI-Revenues &amp; Expenses'!$M$81</f>
        <v>0</v>
      </c>
      <c r="Q44" s="790"/>
    </row>
    <row r="45" spans="1:19" s="386" customFormat="1" ht="13.15" customHeight="1">
      <c r="A45" s="687"/>
      <c r="B45" s="687"/>
      <c r="C45" s="408" t="s">
        <v>379</v>
      </c>
      <c r="F45" s="407">
        <f>'Part VI-Revenues &amp; Expenses'!$M$80</f>
        <v>0</v>
      </c>
      <c r="H45" s="408" t="s">
        <v>400</v>
      </c>
      <c r="M45" s="407">
        <f>'Part VI-Revenues &amp; Expenses'!$M$82</f>
        <v>0</v>
      </c>
    </row>
    <row r="46" spans="1:19" s="386" customFormat="1" ht="13.15" customHeight="1">
      <c r="A46" s="687"/>
      <c r="B46" s="687"/>
      <c r="C46" s="392" t="s">
        <v>378</v>
      </c>
      <c r="D46" s="787"/>
      <c r="F46" s="407">
        <f>'Part VI-Revenues &amp; Expenses'!$M$77</f>
        <v>0</v>
      </c>
      <c r="G46" s="694" t="s">
        <v>3741</v>
      </c>
      <c r="H46" s="386" t="s">
        <v>380</v>
      </c>
      <c r="M46" s="1346"/>
      <c r="Q46" s="790"/>
    </row>
    <row r="47" spans="1:19" s="386" customFormat="1" ht="3.6" customHeight="1">
      <c r="A47" s="687"/>
      <c r="P47" s="787"/>
    </row>
    <row r="48" spans="1:19" s="386" customFormat="1" ht="13.15" customHeight="1">
      <c r="A48" s="687"/>
      <c r="B48" s="399" t="s">
        <v>1054</v>
      </c>
      <c r="C48" s="398" t="s">
        <v>3003</v>
      </c>
      <c r="D48" s="787"/>
      <c r="I48" s="841" t="s">
        <v>1859</v>
      </c>
      <c r="J48" s="399" t="s">
        <v>2830</v>
      </c>
      <c r="K48" s="409" t="s">
        <v>3030</v>
      </c>
      <c r="M48" s="787"/>
      <c r="N48" s="787"/>
      <c r="O48" s="787"/>
      <c r="P48" s="790"/>
      <c r="Q48" s="790"/>
      <c r="R48" s="790"/>
      <c r="S48" s="787"/>
    </row>
    <row r="49" spans="1:16" s="386" customFormat="1" ht="13.15" customHeight="1">
      <c r="A49" s="687"/>
      <c r="B49" s="781"/>
      <c r="C49" s="396" t="s">
        <v>3004</v>
      </c>
      <c r="D49" s="787"/>
      <c r="E49" s="787"/>
      <c r="H49" s="410">
        <f>SUM(H50:H51)</f>
        <v>75</v>
      </c>
      <c r="I49" s="842"/>
      <c r="J49" s="687"/>
      <c r="K49" s="396" t="s">
        <v>3031</v>
      </c>
      <c r="M49" s="787"/>
      <c r="N49" s="787"/>
      <c r="O49" s="787"/>
      <c r="P49" s="410">
        <f>'Part VI-Revenues &amp; Expenses'!$M$96</f>
        <v>58650</v>
      </c>
    </row>
    <row r="50" spans="1:16" s="386" customFormat="1" ht="13.15" customHeight="1">
      <c r="A50" s="687"/>
      <c r="B50" s="406"/>
      <c r="D50" s="411" t="s">
        <v>419</v>
      </c>
      <c r="E50" s="411"/>
      <c r="H50" s="410">
        <f>'Part VI-Revenues &amp; Expenses'!$M$57</f>
        <v>0</v>
      </c>
      <c r="I50" s="410">
        <f>'Part VI-Revenues &amp; Expenses'!$M$65</f>
        <v>0</v>
      </c>
      <c r="K50" s="396" t="s">
        <v>277</v>
      </c>
      <c r="M50" s="787"/>
      <c r="N50" s="787"/>
      <c r="O50" s="787"/>
      <c r="P50" s="410">
        <f>'Part VI-Revenues &amp; Expenses'!$M$97</f>
        <v>4150</v>
      </c>
    </row>
    <row r="51" spans="1:16" s="386" customFormat="1" ht="13.15" customHeight="1">
      <c r="A51" s="687"/>
      <c r="D51" s="411" t="s">
        <v>2521</v>
      </c>
      <c r="E51" s="411"/>
      <c r="H51" s="410">
        <f>'Part VI-Revenues &amp; Expenses'!$M$56</f>
        <v>75</v>
      </c>
      <c r="I51" s="410">
        <f>'Part VI-Revenues &amp; Expenses'!$M$64</f>
        <v>75</v>
      </c>
      <c r="K51" s="396" t="s">
        <v>3032</v>
      </c>
      <c r="M51" s="787"/>
      <c r="N51" s="787"/>
      <c r="O51" s="787"/>
      <c r="P51" s="410">
        <f>+P49+P50</f>
        <v>62800</v>
      </c>
    </row>
    <row r="52" spans="1:16" s="386" customFormat="1" ht="13.15" customHeight="1">
      <c r="A52" s="687"/>
      <c r="C52" s="396" t="s">
        <v>278</v>
      </c>
      <c r="D52" s="787"/>
      <c r="E52" s="787"/>
      <c r="H52" s="410">
        <f>'Part VI-Revenues &amp; Expenses'!$M$59</f>
        <v>5</v>
      </c>
      <c r="J52" s="687"/>
      <c r="K52" s="396" t="s">
        <v>1862</v>
      </c>
      <c r="M52" s="787"/>
      <c r="N52" s="787"/>
      <c r="O52" s="787"/>
      <c r="P52" s="410">
        <f>'Part VI-Revenues &amp; Expenses'!$M$99</f>
        <v>0</v>
      </c>
    </row>
    <row r="53" spans="1:16" s="386" customFormat="1" ht="13.15" customHeight="1">
      <c r="A53" s="687"/>
      <c r="C53" s="396" t="s">
        <v>3171</v>
      </c>
      <c r="D53" s="787"/>
      <c r="E53" s="787"/>
      <c r="H53" s="410">
        <f>+H49+H52</f>
        <v>80</v>
      </c>
      <c r="J53" s="687"/>
      <c r="K53" s="396" t="s">
        <v>1861</v>
      </c>
      <c r="M53" s="787"/>
      <c r="N53" s="787"/>
      <c r="O53" s="787"/>
      <c r="P53" s="410">
        <f>+P51+P52</f>
        <v>62800</v>
      </c>
    </row>
    <row r="54" spans="1:16" s="386" customFormat="1" ht="13.15" customHeight="1">
      <c r="A54" s="687"/>
      <c r="C54" s="396" t="s">
        <v>3172</v>
      </c>
      <c r="D54" s="787"/>
      <c r="E54" s="787"/>
      <c r="H54" s="410">
        <f>'Part VI-Revenues &amp; Expenses'!$M$61</f>
        <v>0</v>
      </c>
      <c r="J54" s="687"/>
    </row>
    <row r="55" spans="1:16" s="386" customFormat="1" ht="13.15" customHeight="1">
      <c r="A55" s="687"/>
      <c r="C55" s="396" t="s">
        <v>2489</v>
      </c>
      <c r="D55" s="787"/>
      <c r="E55" s="787"/>
      <c r="H55" s="410">
        <f>+H53+H54</f>
        <v>80</v>
      </c>
      <c r="J55" s="787"/>
    </row>
    <row r="56" spans="1:16" s="386" customFormat="1" ht="3" customHeight="1">
      <c r="A56" s="687"/>
      <c r="I56" s="790"/>
      <c r="L56" s="790"/>
      <c r="M56" s="790"/>
      <c r="N56" s="787"/>
      <c r="P56" s="397"/>
    </row>
    <row r="57" spans="1:16" s="386" customFormat="1" ht="13.15" customHeight="1">
      <c r="A57" s="687"/>
      <c r="B57" s="687" t="s">
        <v>2428</v>
      </c>
      <c r="C57" s="398" t="s">
        <v>3025</v>
      </c>
      <c r="D57" s="411" t="s">
        <v>2708</v>
      </c>
      <c r="G57" s="787"/>
      <c r="H57" s="1347">
        <v>1</v>
      </c>
      <c r="K57" s="396" t="s">
        <v>1536</v>
      </c>
      <c r="O57" s="787"/>
      <c r="P57" s="1347">
        <v>26709</v>
      </c>
    </row>
    <row r="58" spans="1:16" s="386" customFormat="1" ht="13.15" customHeight="1">
      <c r="A58" s="687"/>
      <c r="B58" s="687"/>
      <c r="D58" s="781" t="s">
        <v>2709</v>
      </c>
      <c r="H58" s="1347">
        <v>0</v>
      </c>
      <c r="I58" s="787"/>
      <c r="K58" s="396" t="s">
        <v>276</v>
      </c>
      <c r="O58" s="787"/>
      <c r="P58" s="410">
        <f>+P53+P57</f>
        <v>89509</v>
      </c>
    </row>
    <row r="59" spans="1:16" s="386" customFormat="1" ht="13.15" customHeight="1">
      <c r="A59" s="687"/>
      <c r="B59" s="687"/>
      <c r="D59" s="781" t="s">
        <v>2710</v>
      </c>
      <c r="H59" s="410">
        <f>+H57+H58</f>
        <v>1</v>
      </c>
      <c r="I59" s="787"/>
    </row>
    <row r="60" spans="1:16" s="386" customFormat="1" ht="3" customHeight="1">
      <c r="A60" s="687"/>
      <c r="B60" s="687"/>
      <c r="C60" s="787"/>
      <c r="D60" s="787"/>
      <c r="E60" s="787"/>
      <c r="F60" s="787"/>
      <c r="G60" s="790"/>
      <c r="I60" s="396"/>
      <c r="J60" s="787"/>
      <c r="P60" s="397"/>
    </row>
    <row r="61" spans="1:16" s="386" customFormat="1" ht="13.15" customHeight="1">
      <c r="A61" s="687"/>
      <c r="B61" s="687" t="s">
        <v>2429</v>
      </c>
      <c r="C61" s="398" t="s">
        <v>910</v>
      </c>
      <c r="D61" s="787"/>
      <c r="E61" s="787"/>
      <c r="F61" s="787"/>
      <c r="G61" s="787"/>
      <c r="H61" s="1347">
        <v>82</v>
      </c>
    </row>
    <row r="62" spans="1:16" s="386" customFormat="1" ht="9" customHeight="1">
      <c r="A62" s="687"/>
      <c r="B62" s="687"/>
      <c r="C62" s="396"/>
      <c r="D62" s="787"/>
      <c r="E62" s="787"/>
      <c r="F62" s="787"/>
      <c r="G62" s="790"/>
      <c r="H62" s="787"/>
      <c r="I62" s="396"/>
      <c r="J62" s="396"/>
      <c r="K62" s="787"/>
      <c r="P62" s="397"/>
    </row>
    <row r="63" spans="1:16" s="386" customFormat="1" ht="13.15" customHeight="1">
      <c r="A63" s="687" t="s">
        <v>697</v>
      </c>
      <c r="C63" s="412" t="s">
        <v>1606</v>
      </c>
      <c r="D63" s="412"/>
      <c r="E63" s="412"/>
      <c r="F63" s="787"/>
      <c r="G63" s="790"/>
      <c r="K63" s="787"/>
      <c r="P63" s="397"/>
    </row>
    <row r="64" spans="1:16" s="386" customFormat="1" ht="3" customHeight="1">
      <c r="A64" s="687"/>
      <c r="C64" s="784"/>
      <c r="D64" s="784"/>
      <c r="E64" s="784"/>
      <c r="F64" s="787"/>
      <c r="G64" s="790"/>
      <c r="K64" s="787"/>
      <c r="P64" s="397"/>
    </row>
    <row r="65" spans="1:16" s="386" customFormat="1" ht="13.15" customHeight="1">
      <c r="A65" s="687"/>
      <c r="B65" s="687" t="s">
        <v>2694</v>
      </c>
      <c r="C65" s="350" t="s">
        <v>3594</v>
      </c>
      <c r="D65" s="784"/>
      <c r="E65" s="784"/>
      <c r="F65" s="787"/>
      <c r="G65" s="790"/>
      <c r="H65" s="1348" t="s">
        <v>4111</v>
      </c>
      <c r="I65" s="1349"/>
      <c r="K65" s="820" t="s">
        <v>2467</v>
      </c>
      <c r="L65" s="820"/>
      <c r="N65" s="1294"/>
      <c r="O65" s="1295"/>
      <c r="P65" s="1296"/>
    </row>
    <row r="66" spans="1:16" s="386" customFormat="1" ht="3" customHeight="1">
      <c r="A66" s="687"/>
      <c r="B66" s="687"/>
      <c r="D66" s="781"/>
      <c r="E66" s="781"/>
      <c r="F66" s="781"/>
      <c r="G66" s="781"/>
      <c r="I66" s="790"/>
      <c r="K66" s="782"/>
      <c r="L66" s="782"/>
      <c r="M66" s="790"/>
      <c r="N66" s="787"/>
      <c r="P66" s="397"/>
    </row>
    <row r="67" spans="1:16" s="386" customFormat="1" ht="13.15" customHeight="1">
      <c r="A67" s="687"/>
      <c r="B67" s="687" t="s">
        <v>2697</v>
      </c>
      <c r="C67" s="398" t="s">
        <v>1851</v>
      </c>
      <c r="D67" s="787"/>
      <c r="E67" s="411"/>
      <c r="F67" s="781" t="s">
        <v>1189</v>
      </c>
      <c r="H67" s="1347">
        <v>4</v>
      </c>
      <c r="K67" s="820" t="s">
        <v>687</v>
      </c>
      <c r="L67" s="820"/>
      <c r="P67" s="414">
        <f>IF('Part VI-Revenues &amp; Expenses'!$M$62=0,0,$H67/'Part VI-Revenues &amp; Expenses'!$M$62)</f>
        <v>0.05</v>
      </c>
    </row>
    <row r="68" spans="1:16" s="386" customFormat="1" ht="3" customHeight="1">
      <c r="A68" s="687"/>
      <c r="B68" s="687"/>
      <c r="D68" s="781"/>
      <c r="E68" s="781"/>
      <c r="F68" s="781"/>
      <c r="I68" s="790"/>
      <c r="K68" s="782"/>
      <c r="L68" s="782"/>
      <c r="M68" s="790"/>
      <c r="P68" s="790"/>
    </row>
    <row r="69" spans="1:16" s="386" customFormat="1" ht="13.15" customHeight="1">
      <c r="A69" s="687"/>
      <c r="B69" s="687" t="s">
        <v>1054</v>
      </c>
      <c r="C69" s="398" t="s">
        <v>2544</v>
      </c>
      <c r="D69" s="411"/>
      <c r="E69" s="411"/>
      <c r="F69" s="781" t="s">
        <v>1189</v>
      </c>
      <c r="H69" s="1347">
        <v>2</v>
      </c>
      <c r="K69" s="820" t="s">
        <v>687</v>
      </c>
      <c r="L69" s="820"/>
      <c r="P69" s="414">
        <f>IF('Part VI-Revenues &amp; Expenses'!$M$62=0,0,$H69/'Part VI-Revenues &amp; Expenses'!$M$62)</f>
        <v>2.5000000000000001E-2</v>
      </c>
    </row>
    <row r="70" spans="1:16" s="386" customFormat="1" ht="3" customHeight="1">
      <c r="A70" s="687"/>
      <c r="B70" s="687"/>
      <c r="D70" s="781"/>
      <c r="E70" s="781"/>
      <c r="F70" s="781"/>
      <c r="I70" s="790"/>
      <c r="K70" s="782"/>
      <c r="L70" s="782"/>
      <c r="M70" s="790"/>
      <c r="P70" s="790"/>
    </row>
    <row r="71" spans="1:16" s="386" customFormat="1" ht="13.15" customHeight="1">
      <c r="A71" s="687"/>
      <c r="B71" s="687" t="s">
        <v>2830</v>
      </c>
      <c r="C71" s="398" t="s">
        <v>1714</v>
      </c>
      <c r="D71" s="411"/>
      <c r="E71" s="411"/>
      <c r="F71" s="781" t="s">
        <v>1715</v>
      </c>
      <c r="H71" s="1347">
        <v>0</v>
      </c>
      <c r="K71" s="820" t="s">
        <v>687</v>
      </c>
      <c r="L71" s="820"/>
      <c r="P71" s="414">
        <f>IF('Part VI-Revenues &amp; Expenses'!$M$62=0,0,$H71/'Part VI-Revenues &amp; Expenses'!$M$62)</f>
        <v>0</v>
      </c>
    </row>
    <row r="72" spans="1:16" s="386" customFormat="1" ht="9" customHeight="1">
      <c r="A72" s="687"/>
      <c r="B72" s="687"/>
      <c r="D72" s="781"/>
      <c r="E72" s="781"/>
      <c r="F72" s="781"/>
      <c r="G72" s="781"/>
      <c r="I72" s="790"/>
      <c r="J72" s="790"/>
      <c r="K72" s="790"/>
      <c r="L72" s="790"/>
      <c r="M72" s="790"/>
      <c r="N72" s="787"/>
      <c r="P72" s="397"/>
    </row>
    <row r="73" spans="1:16" s="386" customFormat="1" ht="13.15" customHeight="1">
      <c r="A73" s="415" t="s">
        <v>1160</v>
      </c>
      <c r="B73" s="687"/>
      <c r="C73" s="784" t="s">
        <v>3133</v>
      </c>
      <c r="D73" s="781"/>
      <c r="E73" s="781"/>
      <c r="F73" s="781"/>
      <c r="G73" s="781"/>
      <c r="H73" s="781"/>
      <c r="I73" s="790"/>
      <c r="M73" s="790"/>
      <c r="N73" s="787"/>
      <c r="P73" s="397"/>
    </row>
    <row r="74" spans="1:16" s="386" customFormat="1" ht="3" customHeight="1">
      <c r="A74" s="687"/>
      <c r="B74" s="687"/>
      <c r="C74" s="784"/>
      <c r="D74" s="781"/>
      <c r="E74" s="781"/>
      <c r="F74" s="781"/>
      <c r="L74" s="790"/>
      <c r="M74" s="790"/>
      <c r="N74" s="787"/>
      <c r="P74" s="397"/>
    </row>
    <row r="75" spans="1:16" s="386" customFormat="1" ht="13.15" customHeight="1">
      <c r="A75" s="687"/>
      <c r="B75" s="687" t="s">
        <v>2694</v>
      </c>
      <c r="C75" s="350" t="s">
        <v>3132</v>
      </c>
      <c r="D75" s="781"/>
      <c r="E75" s="781"/>
      <c r="F75" s="781"/>
      <c r="H75" s="1350" t="s">
        <v>1264</v>
      </c>
      <c r="I75" s="1351"/>
      <c r="J75" s="1352"/>
      <c r="M75" s="790"/>
      <c r="N75" s="787"/>
      <c r="P75" s="397"/>
    </row>
    <row r="76" spans="1:16" s="386" customFormat="1" ht="3" customHeight="1">
      <c r="A76" s="687"/>
      <c r="B76" s="687"/>
      <c r="D76" s="781"/>
      <c r="E76" s="781"/>
      <c r="F76" s="781"/>
      <c r="G76" s="781"/>
      <c r="I76" s="790"/>
      <c r="J76" s="790"/>
      <c r="K76" s="790"/>
      <c r="L76" s="790"/>
      <c r="M76" s="790"/>
      <c r="N76" s="787"/>
      <c r="P76" s="397"/>
    </row>
    <row r="77" spans="1:16" s="386" customFormat="1" ht="13.15" customHeight="1">
      <c r="B77" s="687" t="s">
        <v>2697</v>
      </c>
      <c r="C77" s="389" t="s">
        <v>1991</v>
      </c>
      <c r="K77" s="392" t="s">
        <v>1263</v>
      </c>
      <c r="N77" s="416"/>
      <c r="P77" s="1308" t="s">
        <v>4074</v>
      </c>
    </row>
    <row r="78" spans="1:16" s="386" customFormat="1" ht="9" customHeight="1">
      <c r="A78" s="687"/>
      <c r="B78" s="687"/>
      <c r="C78" s="389"/>
      <c r="D78" s="781"/>
      <c r="E78" s="781"/>
      <c r="F78" s="781"/>
      <c r="G78" s="781"/>
      <c r="I78" s="790"/>
      <c r="J78" s="790"/>
      <c r="K78" s="790"/>
      <c r="L78" s="790"/>
      <c r="M78" s="790"/>
      <c r="N78" s="787"/>
      <c r="P78" s="397"/>
    </row>
    <row r="79" spans="1:16" s="386" customFormat="1" ht="13.15" customHeight="1">
      <c r="A79" s="415" t="s">
        <v>322</v>
      </c>
      <c r="B79" s="687"/>
      <c r="C79" s="784" t="s">
        <v>2755</v>
      </c>
      <c r="D79" s="781"/>
    </row>
    <row r="80" spans="1:16" s="386" customFormat="1" ht="3" customHeight="1">
      <c r="A80" s="687"/>
      <c r="B80" s="687"/>
      <c r="D80" s="781"/>
      <c r="N80" s="787"/>
      <c r="P80" s="397"/>
    </row>
    <row r="81" spans="1:16" s="386" customFormat="1" ht="13.15" customHeight="1">
      <c r="A81" s="415"/>
      <c r="B81" s="687" t="s">
        <v>2694</v>
      </c>
      <c r="C81" s="389" t="s">
        <v>3638</v>
      </c>
      <c r="F81" s="411" t="s">
        <v>3397</v>
      </c>
      <c r="H81" s="1308" t="s">
        <v>4073</v>
      </c>
      <c r="I81" s="394" t="s">
        <v>3396</v>
      </c>
      <c r="J81" s="1308" t="s">
        <v>4074</v>
      </c>
      <c r="L81" s="394" t="s">
        <v>565</v>
      </c>
      <c r="M81" s="1308" t="s">
        <v>4074</v>
      </c>
    </row>
    <row r="82" spans="1:16" s="386" customFormat="1" ht="3" customHeight="1">
      <c r="A82" s="687"/>
      <c r="B82" s="687"/>
      <c r="C82" s="784"/>
      <c r="F82" s="781"/>
      <c r="H82" s="781"/>
      <c r="J82" s="790"/>
      <c r="K82" s="790"/>
      <c r="L82" s="790"/>
      <c r="M82" s="790"/>
      <c r="N82" s="790"/>
      <c r="P82" s="397"/>
    </row>
    <row r="83" spans="1:16" s="386" customFormat="1" ht="13.15" customHeight="1">
      <c r="A83" s="415"/>
      <c r="B83" s="687" t="s">
        <v>2697</v>
      </c>
      <c r="C83" s="389" t="s">
        <v>3639</v>
      </c>
      <c r="F83" s="782" t="s">
        <v>3533</v>
      </c>
      <c r="H83" s="1308" t="s">
        <v>4074</v>
      </c>
      <c r="I83" s="672" t="s">
        <v>3640</v>
      </c>
      <c r="J83" s="790"/>
      <c r="K83" s="790"/>
      <c r="L83" s="790"/>
      <c r="M83" s="790"/>
      <c r="N83" s="790"/>
      <c r="O83" s="790"/>
    </row>
    <row r="84" spans="1:16" s="386" customFormat="1" ht="3" customHeight="1">
      <c r="A84" s="687"/>
      <c r="B84" s="687"/>
      <c r="D84" s="781"/>
      <c r="E84" s="781"/>
      <c r="F84" s="781"/>
      <c r="G84" s="781"/>
      <c r="I84" s="790"/>
      <c r="J84" s="790"/>
      <c r="K84" s="790"/>
      <c r="L84" s="790"/>
      <c r="M84" s="790"/>
      <c r="N84" s="787"/>
      <c r="P84" s="397"/>
    </row>
    <row r="85" spans="1:16" s="386" customFormat="1" ht="9" customHeight="1">
      <c r="A85" s="687"/>
      <c r="B85" s="687"/>
      <c r="D85" s="404"/>
      <c r="E85" s="787"/>
      <c r="I85" s="404"/>
      <c r="J85" s="396"/>
      <c r="K85" s="787"/>
      <c r="P85" s="397"/>
    </row>
    <row r="86" spans="1:16" s="386" customFormat="1" ht="13.15" customHeight="1">
      <c r="A86" s="415" t="s">
        <v>463</v>
      </c>
      <c r="B86" s="687"/>
      <c r="C86" s="409" t="s">
        <v>1604</v>
      </c>
      <c r="D86" s="787"/>
      <c r="E86" s="787"/>
      <c r="F86" s="787"/>
      <c r="G86" s="787"/>
      <c r="H86" s="787"/>
      <c r="I86" s="404"/>
      <c r="J86" s="396"/>
      <c r="K86" s="787"/>
      <c r="P86" s="397"/>
    </row>
    <row r="87" spans="1:16" s="386" customFormat="1" ht="3" customHeight="1">
      <c r="A87" s="415"/>
      <c r="B87" s="687"/>
      <c r="C87" s="409"/>
      <c r="D87" s="787"/>
      <c r="E87" s="787"/>
      <c r="F87" s="787"/>
      <c r="G87" s="787"/>
      <c r="H87" s="787"/>
      <c r="I87" s="404"/>
      <c r="J87" s="396"/>
      <c r="K87" s="787"/>
    </row>
    <row r="88" spans="1:16" s="386" customFormat="1" ht="13.15" customHeight="1">
      <c r="A88" s="687"/>
      <c r="B88" s="687"/>
      <c r="C88" s="396" t="s">
        <v>719</v>
      </c>
      <c r="D88" s="787"/>
      <c r="E88" s="1294"/>
      <c r="F88" s="1295"/>
      <c r="G88" s="1295"/>
      <c r="H88" s="1295"/>
      <c r="I88" s="1295"/>
      <c r="J88" s="1295"/>
      <c r="K88" s="1295"/>
      <c r="L88" s="1296"/>
      <c r="M88" s="844" t="s">
        <v>720</v>
      </c>
      <c r="N88" s="844"/>
      <c r="O88" s="1353"/>
      <c r="P88" s="1354"/>
    </row>
    <row r="89" spans="1:16" s="386" customFormat="1" ht="13.15" customHeight="1">
      <c r="C89" s="392" t="s">
        <v>1424</v>
      </c>
      <c r="D89" s="400"/>
      <c r="E89" s="1294"/>
      <c r="F89" s="1295"/>
      <c r="G89" s="1295"/>
      <c r="H89" s="1295"/>
      <c r="I89" s="1295"/>
      <c r="J89" s="1295"/>
      <c r="K89" s="1295"/>
      <c r="L89" s="1296"/>
      <c r="M89" s="844" t="s">
        <v>1201</v>
      </c>
      <c r="N89" s="844"/>
      <c r="O89" s="1309"/>
      <c r="P89" s="1311"/>
    </row>
    <row r="90" spans="1:16" s="386" customFormat="1" ht="13.15" customHeight="1">
      <c r="C90" s="392" t="s">
        <v>798</v>
      </c>
      <c r="E90" s="1294"/>
      <c r="F90" s="1355"/>
      <c r="G90" s="1356"/>
      <c r="H90" s="779" t="s">
        <v>2495</v>
      </c>
      <c r="I90" s="1308"/>
      <c r="J90" s="417" t="s">
        <v>2953</v>
      </c>
      <c r="K90" s="1305"/>
      <c r="L90" s="1356"/>
      <c r="M90" s="353"/>
      <c r="N90" s="353"/>
      <c r="O90" s="353"/>
      <c r="P90" s="353"/>
    </row>
    <row r="91" spans="1:16" s="386" customFormat="1" ht="13.15" customHeight="1">
      <c r="C91" s="386" t="s">
        <v>2912</v>
      </c>
      <c r="E91" s="1294"/>
      <c r="F91" s="1355"/>
      <c r="G91" s="1356"/>
      <c r="H91" s="790" t="s">
        <v>2691</v>
      </c>
      <c r="I91" s="1294"/>
      <c r="J91" s="1355"/>
      <c r="K91" s="1356"/>
      <c r="L91" s="798" t="s">
        <v>2695</v>
      </c>
      <c r="M91" s="1294"/>
      <c r="N91" s="1355"/>
      <c r="O91" s="1355"/>
      <c r="P91" s="1356"/>
    </row>
    <row r="92" spans="1:16" s="386" customFormat="1" ht="13.15" customHeight="1">
      <c r="C92" s="392" t="s">
        <v>2911</v>
      </c>
      <c r="E92" s="1302"/>
      <c r="F92" s="1307"/>
      <c r="G92" s="1303"/>
      <c r="H92" s="790" t="s">
        <v>2498</v>
      </c>
      <c r="I92" s="1341"/>
      <c r="J92" s="1356"/>
      <c r="K92" s="417" t="s">
        <v>2499</v>
      </c>
      <c r="L92" s="1341"/>
      <c r="M92" s="1356"/>
      <c r="N92" s="417" t="s">
        <v>2690</v>
      </c>
      <c r="O92" s="1341"/>
      <c r="P92" s="1356"/>
    </row>
    <row r="93" spans="1:16" s="386" customFormat="1" ht="3" customHeight="1">
      <c r="A93" s="687"/>
      <c r="B93" s="687"/>
      <c r="G93" s="404"/>
      <c r="H93" s="790"/>
      <c r="I93" s="790"/>
      <c r="M93" s="397"/>
    </row>
    <row r="94" spans="1:16" s="386" customFormat="1" ht="13.15" customHeight="1">
      <c r="A94" s="415" t="s">
        <v>396</v>
      </c>
      <c r="B94" s="687"/>
      <c r="C94" s="784" t="s">
        <v>2350</v>
      </c>
      <c r="D94" s="404"/>
      <c r="E94" s="404"/>
      <c r="F94" s="790"/>
      <c r="G94" s="790"/>
      <c r="H94" s="790"/>
      <c r="I94" s="790"/>
      <c r="J94" s="404"/>
      <c r="K94" s="790"/>
      <c r="L94" s="790"/>
      <c r="N94" s="787"/>
      <c r="O94" s="787"/>
      <c r="P94" s="397"/>
    </row>
    <row r="95" spans="1:16" s="386" customFormat="1" ht="3.6" customHeight="1">
      <c r="A95" s="415"/>
      <c r="B95" s="687"/>
      <c r="C95" s="784"/>
      <c r="D95" s="404"/>
      <c r="E95" s="404"/>
      <c r="F95" s="790"/>
      <c r="G95" s="790"/>
      <c r="H95" s="790"/>
      <c r="I95" s="790"/>
      <c r="J95" s="404"/>
      <c r="K95" s="790"/>
      <c r="L95" s="790"/>
      <c r="N95" s="787"/>
      <c r="O95" s="787"/>
      <c r="P95" s="397"/>
    </row>
    <row r="96" spans="1:16" s="386" customFormat="1" ht="13.15" customHeight="1">
      <c r="C96" s="411" t="s">
        <v>2869</v>
      </c>
      <c r="D96" s="418"/>
      <c r="E96" s="418"/>
      <c r="F96" s="418"/>
      <c r="G96" s="418"/>
      <c r="H96" s="418"/>
      <c r="I96" s="418"/>
      <c r="J96" s="418"/>
      <c r="K96" s="418"/>
      <c r="L96" s="418"/>
      <c r="M96" s="418"/>
      <c r="N96" s="418"/>
      <c r="O96" s="418"/>
      <c r="P96" s="418"/>
    </row>
    <row r="97" spans="1:16" s="386" customFormat="1" ht="4.9000000000000004" customHeight="1">
      <c r="A97" s="687"/>
      <c r="B97" s="687"/>
      <c r="C97" s="419"/>
      <c r="D97" s="419"/>
      <c r="E97" s="419"/>
      <c r="F97" s="419"/>
      <c r="G97" s="419"/>
      <c r="H97" s="419"/>
      <c r="I97" s="419"/>
      <c r="J97" s="419"/>
      <c r="K97" s="419"/>
      <c r="L97" s="419"/>
      <c r="M97" s="419"/>
      <c r="N97" s="419"/>
      <c r="O97" s="419"/>
      <c r="P97" s="419"/>
    </row>
    <row r="98" spans="1:16" s="386" customFormat="1" ht="13.15" customHeight="1">
      <c r="A98" s="687"/>
      <c r="B98" s="687" t="s">
        <v>2694</v>
      </c>
      <c r="C98" s="784" t="s">
        <v>1852</v>
      </c>
      <c r="D98" s="781"/>
      <c r="E98" s="781"/>
      <c r="F98" s="790"/>
      <c r="G98" s="790"/>
      <c r="H98" s="1357">
        <v>2</v>
      </c>
      <c r="N98" s="787"/>
      <c r="O98" s="787"/>
    </row>
    <row r="99" spans="1:16" s="386" customFormat="1" ht="3.6" customHeight="1">
      <c r="A99" s="687"/>
      <c r="B99" s="687"/>
      <c r="C99" s="419"/>
      <c r="D99" s="419"/>
      <c r="E99" s="419"/>
      <c r="F99" s="419"/>
      <c r="G99" s="419"/>
      <c r="H99" s="419"/>
      <c r="J99" s="419"/>
      <c r="M99" s="419"/>
      <c r="N99" s="419"/>
      <c r="O99" s="419"/>
    </row>
    <row r="100" spans="1:16" s="386" customFormat="1" ht="13.15" customHeight="1">
      <c r="A100" s="687"/>
      <c r="B100" s="687" t="s">
        <v>2697</v>
      </c>
      <c r="C100" s="784" t="s">
        <v>451</v>
      </c>
      <c r="D100" s="781"/>
      <c r="E100" s="781"/>
      <c r="F100" s="790"/>
      <c r="G100" s="790"/>
      <c r="H100" s="1358">
        <v>1343792</v>
      </c>
      <c r="J100" s="404"/>
      <c r="K100" s="782"/>
      <c r="N100" s="787"/>
    </row>
    <row r="101" spans="1:16" s="386" customFormat="1" ht="3.6" customHeight="1">
      <c r="A101" s="687"/>
      <c r="B101" s="687"/>
      <c r="C101" s="419"/>
      <c r="D101" s="419"/>
      <c r="E101" s="419"/>
      <c r="F101" s="419"/>
      <c r="G101" s="419"/>
      <c r="H101" s="419"/>
      <c r="I101" s="419"/>
      <c r="J101" s="419"/>
      <c r="K101" s="419"/>
      <c r="M101" s="419"/>
      <c r="N101" s="419"/>
      <c r="O101" s="419"/>
      <c r="P101" s="419"/>
    </row>
    <row r="102" spans="1:16" s="386" customFormat="1" ht="13.15" customHeight="1">
      <c r="B102" s="687" t="s">
        <v>1054</v>
      </c>
      <c r="C102" s="784" t="s">
        <v>332</v>
      </c>
      <c r="D102" s="781"/>
      <c r="E102" s="781"/>
      <c r="F102" s="790"/>
      <c r="G102" s="790"/>
      <c r="H102" s="790"/>
      <c r="I102" s="790"/>
      <c r="J102" s="404"/>
      <c r="K102" s="790"/>
      <c r="L102" s="790"/>
      <c r="N102" s="787"/>
      <c r="O102" s="787"/>
    </row>
    <row r="103" spans="1:16" s="386" customFormat="1" ht="13.15" customHeight="1">
      <c r="B103" s="687"/>
      <c r="C103" s="781" t="s">
        <v>2850</v>
      </c>
      <c r="D103" s="781"/>
      <c r="F103" s="781" t="s">
        <v>1546</v>
      </c>
      <c r="G103" s="790"/>
      <c r="H103" s="790"/>
      <c r="I103" s="790"/>
      <c r="J103" s="781" t="s">
        <v>2850</v>
      </c>
      <c r="K103" s="781"/>
      <c r="M103" s="781" t="s">
        <v>1546</v>
      </c>
      <c r="N103" s="790"/>
      <c r="O103" s="790"/>
      <c r="P103" s="790"/>
    </row>
    <row r="104" spans="1:16" s="386" customFormat="1" ht="13.15" customHeight="1">
      <c r="A104" s="687"/>
      <c r="B104" s="687"/>
      <c r="C104" s="1359" t="s">
        <v>4114</v>
      </c>
      <c r="D104" s="1360"/>
      <c r="E104" s="1360"/>
      <c r="F104" s="1360" t="s">
        <v>4113</v>
      </c>
      <c r="G104" s="1360"/>
      <c r="H104" s="1360"/>
      <c r="I104" s="1361"/>
      <c r="J104" s="1359">
        <v>6</v>
      </c>
      <c r="K104" s="1360"/>
      <c r="L104" s="1360"/>
      <c r="M104" s="1360"/>
      <c r="N104" s="1360"/>
      <c r="O104" s="1360"/>
      <c r="P104" s="1361"/>
    </row>
    <row r="105" spans="1:16" s="386" customFormat="1" ht="13.15" customHeight="1">
      <c r="A105" s="687"/>
      <c r="B105" s="687"/>
      <c r="C105" s="1362" t="s">
        <v>4114</v>
      </c>
      <c r="D105" s="1363"/>
      <c r="E105" s="1363"/>
      <c r="F105" s="1363" t="s">
        <v>4104</v>
      </c>
      <c r="G105" s="1363"/>
      <c r="H105" s="1363"/>
      <c r="I105" s="1364"/>
      <c r="J105" s="1362">
        <v>7</v>
      </c>
      <c r="K105" s="1363"/>
      <c r="L105" s="1363"/>
      <c r="M105" s="1363"/>
      <c r="N105" s="1363"/>
      <c r="O105" s="1363"/>
      <c r="P105" s="1364"/>
    </row>
    <row r="106" spans="1:16" s="386" customFormat="1" ht="13.15" customHeight="1">
      <c r="A106" s="687"/>
      <c r="B106" s="687"/>
      <c r="C106" s="1362">
        <v>3</v>
      </c>
      <c r="D106" s="1363"/>
      <c r="E106" s="1363"/>
      <c r="F106" s="1363"/>
      <c r="G106" s="1363"/>
      <c r="H106" s="1363"/>
      <c r="I106" s="1364"/>
      <c r="J106" s="1362">
        <v>8</v>
      </c>
      <c r="K106" s="1363"/>
      <c r="L106" s="1363"/>
      <c r="M106" s="1363"/>
      <c r="N106" s="1363"/>
      <c r="O106" s="1363"/>
      <c r="P106" s="1364"/>
    </row>
    <row r="107" spans="1:16" s="386" customFormat="1" ht="13.15" customHeight="1">
      <c r="A107" s="687"/>
      <c r="B107" s="687"/>
      <c r="C107" s="1362">
        <v>4</v>
      </c>
      <c r="D107" s="1363"/>
      <c r="E107" s="1363"/>
      <c r="F107" s="1363"/>
      <c r="G107" s="1363"/>
      <c r="H107" s="1363"/>
      <c r="I107" s="1364"/>
      <c r="J107" s="1362">
        <v>9</v>
      </c>
      <c r="K107" s="1363"/>
      <c r="L107" s="1363"/>
      <c r="M107" s="1363"/>
      <c r="N107" s="1363"/>
      <c r="O107" s="1363"/>
      <c r="P107" s="1364"/>
    </row>
    <row r="108" spans="1:16" s="386" customFormat="1" ht="13.15" customHeight="1">
      <c r="A108" s="687"/>
      <c r="B108" s="687"/>
      <c r="C108" s="1365">
        <v>5</v>
      </c>
      <c r="D108" s="1366"/>
      <c r="E108" s="1366"/>
      <c r="F108" s="1366"/>
      <c r="G108" s="1366"/>
      <c r="H108" s="1366"/>
      <c r="I108" s="1367"/>
      <c r="J108" s="1365">
        <v>10</v>
      </c>
      <c r="K108" s="1366"/>
      <c r="L108" s="1366"/>
      <c r="M108" s="1366"/>
      <c r="N108" s="1366"/>
      <c r="O108" s="1366"/>
      <c r="P108" s="1367"/>
    </row>
    <row r="109" spans="1:16" s="386" customFormat="1" ht="4.9000000000000004" customHeight="1">
      <c r="A109" s="687"/>
      <c r="B109" s="687"/>
      <c r="C109" s="419"/>
      <c r="D109" s="419"/>
      <c r="E109" s="419"/>
      <c r="F109" s="419"/>
      <c r="G109" s="419"/>
      <c r="H109" s="419"/>
      <c r="I109" s="419"/>
      <c r="J109" s="419"/>
      <c r="K109" s="419"/>
      <c r="L109" s="419"/>
      <c r="M109" s="419"/>
      <c r="N109" s="419"/>
      <c r="O109" s="419"/>
      <c r="P109" s="419"/>
    </row>
    <row r="110" spans="1:16" s="386" customFormat="1" ht="13.15" customHeight="1">
      <c r="A110" s="687"/>
      <c r="B110" s="687" t="s">
        <v>2830</v>
      </c>
      <c r="C110" s="843" t="s">
        <v>2551</v>
      </c>
      <c r="D110" s="843"/>
      <c r="E110" s="843"/>
      <c r="F110" s="843"/>
      <c r="G110" s="843"/>
      <c r="H110" s="843"/>
      <c r="I110" s="843"/>
      <c r="J110" s="843"/>
      <c r="K110" s="843"/>
      <c r="L110" s="843"/>
      <c r="M110" s="843"/>
      <c r="N110" s="843"/>
      <c r="O110" s="843"/>
      <c r="P110" s="843"/>
    </row>
    <row r="111" spans="1:16" s="386" customFormat="1" ht="13.15" customHeight="1">
      <c r="A111" s="687"/>
      <c r="B111" s="687"/>
      <c r="C111" s="843"/>
      <c r="D111" s="843"/>
      <c r="E111" s="843"/>
      <c r="F111" s="843"/>
      <c r="G111" s="843"/>
      <c r="H111" s="843"/>
      <c r="I111" s="843"/>
      <c r="J111" s="843"/>
      <c r="K111" s="843"/>
      <c r="L111" s="843"/>
      <c r="M111" s="843"/>
      <c r="N111" s="843"/>
      <c r="O111" s="843"/>
      <c r="P111" s="843"/>
    </row>
    <row r="112" spans="1:16" s="386" customFormat="1" ht="13.15" customHeight="1">
      <c r="B112" s="687"/>
      <c r="C112" s="781" t="s">
        <v>2850</v>
      </c>
      <c r="D112" s="781"/>
      <c r="F112" s="781" t="s">
        <v>1546</v>
      </c>
      <c r="G112" s="790"/>
      <c r="H112" s="790"/>
      <c r="I112" s="790"/>
      <c r="J112" s="781" t="s">
        <v>2850</v>
      </c>
      <c r="K112" s="781"/>
      <c r="M112" s="781" t="s">
        <v>1546</v>
      </c>
      <c r="N112" s="790"/>
      <c r="O112" s="790"/>
      <c r="P112" s="790"/>
    </row>
    <row r="113" spans="1:16" s="386" customFormat="1" ht="13.15" customHeight="1">
      <c r="A113" s="687"/>
      <c r="B113" s="687"/>
      <c r="C113" s="1359">
        <v>1</v>
      </c>
      <c r="D113" s="1360"/>
      <c r="E113" s="1360"/>
      <c r="F113" s="1360"/>
      <c r="G113" s="1360"/>
      <c r="H113" s="1360"/>
      <c r="I113" s="1361"/>
      <c r="J113" s="1359">
        <v>6</v>
      </c>
      <c r="K113" s="1360"/>
      <c r="L113" s="1360"/>
      <c r="M113" s="1360"/>
      <c r="N113" s="1360"/>
      <c r="O113" s="1360"/>
      <c r="P113" s="1361"/>
    </row>
    <row r="114" spans="1:16" s="386" customFormat="1" ht="13.15" customHeight="1">
      <c r="A114" s="687"/>
      <c r="B114" s="687"/>
      <c r="C114" s="1362">
        <v>2</v>
      </c>
      <c r="D114" s="1363"/>
      <c r="E114" s="1363"/>
      <c r="F114" s="1363"/>
      <c r="G114" s="1363"/>
      <c r="H114" s="1363"/>
      <c r="I114" s="1364"/>
      <c r="J114" s="1362">
        <v>7</v>
      </c>
      <c r="K114" s="1363"/>
      <c r="L114" s="1363"/>
      <c r="M114" s="1363"/>
      <c r="N114" s="1363"/>
      <c r="O114" s="1363"/>
      <c r="P114" s="1364"/>
    </row>
    <row r="115" spans="1:16" s="386" customFormat="1" ht="12.75" customHeight="1">
      <c r="A115" s="687"/>
      <c r="B115" s="687"/>
      <c r="C115" s="1362">
        <v>3</v>
      </c>
      <c r="D115" s="1363"/>
      <c r="E115" s="1363"/>
      <c r="F115" s="1363"/>
      <c r="G115" s="1363"/>
      <c r="H115" s="1363"/>
      <c r="I115" s="1364"/>
      <c r="J115" s="1362">
        <v>8</v>
      </c>
      <c r="K115" s="1363"/>
      <c r="L115" s="1363"/>
      <c r="M115" s="1363"/>
      <c r="N115" s="1363"/>
      <c r="O115" s="1363"/>
      <c r="P115" s="1364"/>
    </row>
    <row r="116" spans="1:16" s="386" customFormat="1" ht="13.15" customHeight="1">
      <c r="A116" s="687"/>
      <c r="B116" s="687"/>
      <c r="C116" s="1362">
        <v>4</v>
      </c>
      <c r="D116" s="1363"/>
      <c r="E116" s="1363"/>
      <c r="F116" s="1363"/>
      <c r="G116" s="1363"/>
      <c r="H116" s="1363"/>
      <c r="I116" s="1364"/>
      <c r="J116" s="1362">
        <v>9</v>
      </c>
      <c r="K116" s="1363"/>
      <c r="L116" s="1363"/>
      <c r="M116" s="1363"/>
      <c r="N116" s="1363"/>
      <c r="O116" s="1363"/>
      <c r="P116" s="1364"/>
    </row>
    <row r="117" spans="1:16" s="386" customFormat="1" ht="13.15" customHeight="1">
      <c r="A117" s="687"/>
      <c r="B117" s="687"/>
      <c r="C117" s="1365">
        <v>5</v>
      </c>
      <c r="D117" s="1366"/>
      <c r="E117" s="1366"/>
      <c r="F117" s="1366"/>
      <c r="G117" s="1366"/>
      <c r="H117" s="1366"/>
      <c r="I117" s="1367"/>
      <c r="J117" s="1365">
        <v>10</v>
      </c>
      <c r="K117" s="1366"/>
      <c r="L117" s="1366"/>
      <c r="M117" s="1366"/>
      <c r="N117" s="1366"/>
      <c r="O117" s="1366"/>
      <c r="P117" s="1367"/>
    </row>
    <row r="118" spans="1:16" s="386" customFormat="1" ht="6.6" customHeight="1">
      <c r="A118" s="687"/>
      <c r="B118" s="687"/>
      <c r="C118" s="781"/>
      <c r="D118" s="781"/>
      <c r="E118" s="781"/>
      <c r="F118" s="790"/>
      <c r="G118" s="790"/>
      <c r="H118" s="790"/>
      <c r="I118" s="790"/>
      <c r="J118" s="404"/>
      <c r="K118" s="790"/>
      <c r="L118" s="790"/>
      <c r="N118" s="787"/>
      <c r="O118" s="787"/>
      <c r="P118" s="397"/>
    </row>
    <row r="119" spans="1:16" s="386" customFormat="1" ht="13.15" customHeight="1">
      <c r="A119" s="415" t="s">
        <v>397</v>
      </c>
      <c r="B119" s="687"/>
      <c r="C119" s="412" t="s">
        <v>3184</v>
      </c>
      <c r="D119" s="412"/>
      <c r="E119" s="412"/>
      <c r="F119" s="412"/>
      <c r="H119" s="1308" t="s">
        <v>4074</v>
      </c>
      <c r="M119" s="790"/>
      <c r="N119" s="787"/>
      <c r="O119" s="787"/>
      <c r="P119" s="397"/>
    </row>
    <row r="120" spans="1:16" s="386" customFormat="1" ht="3" customHeight="1">
      <c r="A120" s="415"/>
      <c r="B120" s="687"/>
      <c r="C120" s="784"/>
      <c r="D120" s="784"/>
      <c r="E120" s="784"/>
      <c r="F120" s="784"/>
      <c r="G120" s="790"/>
      <c r="M120" s="790"/>
      <c r="N120" s="787"/>
      <c r="O120" s="787"/>
    </row>
    <row r="121" spans="1:16" s="386" customFormat="1" ht="13.15" customHeight="1">
      <c r="A121" s="687"/>
      <c r="B121" s="687" t="s">
        <v>2694</v>
      </c>
      <c r="C121" s="393" t="s">
        <v>2403</v>
      </c>
      <c r="H121" s="1308"/>
      <c r="M121" s="790"/>
      <c r="N121" s="787"/>
      <c r="O121" s="787"/>
      <c r="P121" s="397"/>
    </row>
    <row r="122" spans="1:16" s="386" customFormat="1" ht="13.15" customHeight="1">
      <c r="A122" s="687"/>
      <c r="B122" s="687"/>
      <c r="C122" s="781" t="s">
        <v>3186</v>
      </c>
      <c r="D122" s="781"/>
      <c r="E122" s="781"/>
      <c r="F122" s="790"/>
      <c r="H122" s="1368"/>
      <c r="N122" s="787"/>
      <c r="O122" s="787"/>
      <c r="P122" s="397"/>
    </row>
    <row r="123" spans="1:16" s="386" customFormat="1" ht="13.15" customHeight="1">
      <c r="A123" s="687"/>
      <c r="B123" s="687"/>
      <c r="C123" s="420" t="s">
        <v>2402</v>
      </c>
      <c r="D123" s="392"/>
      <c r="H123" s="1294"/>
      <c r="I123" s="1296"/>
      <c r="P123" s="397"/>
    </row>
    <row r="124" spans="1:16" s="386" customFormat="1" ht="13.15" customHeight="1">
      <c r="A124" s="687"/>
      <c r="B124" s="687"/>
      <c r="C124" s="781" t="s">
        <v>3187</v>
      </c>
      <c r="D124" s="781"/>
      <c r="E124" s="781"/>
      <c r="F124" s="790"/>
      <c r="H124" s="1368"/>
      <c r="K124" s="353" t="s">
        <v>2972</v>
      </c>
      <c r="O124" s="1294" t="s">
        <v>617</v>
      </c>
      <c r="P124" s="1296"/>
    </row>
    <row r="125" spans="1:16" s="386" customFormat="1" ht="13.15" customHeight="1">
      <c r="A125" s="687"/>
      <c r="B125" s="687"/>
      <c r="C125" s="781" t="s">
        <v>3185</v>
      </c>
      <c r="F125" s="790"/>
      <c r="H125" s="1357"/>
      <c r="K125" s="353" t="s">
        <v>2973</v>
      </c>
      <c r="O125" s="1294" t="s">
        <v>617</v>
      </c>
      <c r="P125" s="1296"/>
    </row>
    <row r="126" spans="1:16" s="386" customFormat="1" ht="13.15" customHeight="1">
      <c r="A126" s="687"/>
      <c r="B126" s="687"/>
      <c r="C126" s="781" t="s">
        <v>2883</v>
      </c>
      <c r="D126" s="781"/>
      <c r="E126" s="781"/>
      <c r="F126" s="790"/>
      <c r="H126" s="1353"/>
      <c r="I126" s="1354"/>
      <c r="N126" s="787"/>
      <c r="O126" s="787"/>
      <c r="P126" s="397"/>
    </row>
    <row r="127" spans="1:16" s="386" customFormat="1" ht="3" customHeight="1">
      <c r="A127" s="687"/>
      <c r="B127" s="687"/>
      <c r="C127" s="781"/>
      <c r="D127" s="781"/>
      <c r="E127" s="781"/>
      <c r="F127" s="790"/>
      <c r="N127" s="787"/>
      <c r="O127" s="787"/>
      <c r="P127" s="397"/>
    </row>
    <row r="128" spans="1:16" s="386" customFormat="1" ht="13.15" customHeight="1">
      <c r="A128" s="687"/>
      <c r="B128" s="687" t="s">
        <v>2697</v>
      </c>
      <c r="C128" s="784" t="s">
        <v>3271</v>
      </c>
      <c r="D128" s="781"/>
      <c r="E128" s="781"/>
      <c r="F128" s="790"/>
      <c r="H128" s="1357"/>
      <c r="N128" s="787"/>
      <c r="O128" s="787"/>
      <c r="P128" s="397"/>
    </row>
    <row r="129" spans="1:16" s="386" customFormat="1" ht="3" customHeight="1">
      <c r="A129" s="687"/>
      <c r="B129" s="687"/>
      <c r="C129" s="781"/>
      <c r="D129" s="781"/>
      <c r="E129" s="781"/>
      <c r="F129" s="790"/>
      <c r="G129" s="790"/>
      <c r="M129" s="790"/>
      <c r="N129" s="787"/>
      <c r="O129" s="787"/>
      <c r="P129" s="397"/>
    </row>
    <row r="130" spans="1:16" s="386" customFormat="1" ht="13.15" customHeight="1">
      <c r="A130" s="687"/>
      <c r="B130" s="687" t="s">
        <v>1054</v>
      </c>
      <c r="C130" s="784" t="s">
        <v>3605</v>
      </c>
      <c r="D130" s="781"/>
      <c r="E130" s="781"/>
      <c r="F130" s="790"/>
      <c r="G130" s="790"/>
      <c r="N130" s="787"/>
      <c r="O130" s="787"/>
      <c r="P130" s="397"/>
    </row>
    <row r="131" spans="1:16" s="386" customFormat="1" ht="13.15" customHeight="1">
      <c r="A131" s="687"/>
      <c r="B131" s="687"/>
      <c r="C131" s="781" t="s">
        <v>911</v>
      </c>
      <c r="D131" s="781"/>
      <c r="E131" s="781"/>
      <c r="F131" s="790"/>
      <c r="G131" s="790"/>
      <c r="H131" s="1357"/>
      <c r="K131" s="781" t="s">
        <v>1992</v>
      </c>
      <c r="L131" s="781"/>
      <c r="M131" s="790"/>
      <c r="N131" s="790"/>
      <c r="O131" s="1357"/>
      <c r="P131" s="397"/>
    </row>
    <row r="132" spans="1:16" s="386" customFormat="1" ht="6" customHeight="1">
      <c r="A132" s="687"/>
      <c r="B132" s="687"/>
      <c r="C132" s="781"/>
      <c r="D132" s="781"/>
      <c r="E132" s="781"/>
      <c r="F132" s="790"/>
      <c r="G132" s="790"/>
      <c r="H132" s="790"/>
      <c r="I132" s="790"/>
      <c r="J132" s="404"/>
      <c r="K132" s="790"/>
      <c r="L132" s="790"/>
      <c r="N132" s="787"/>
      <c r="O132" s="787"/>
      <c r="P132" s="397"/>
    </row>
    <row r="133" spans="1:16" s="386" customFormat="1" ht="13.15" customHeight="1">
      <c r="A133" s="415" t="s">
        <v>398</v>
      </c>
      <c r="B133" s="687"/>
      <c r="C133" s="412" t="s">
        <v>1605</v>
      </c>
      <c r="D133" s="412"/>
      <c r="E133" s="412"/>
      <c r="F133" s="412"/>
      <c r="G133" s="790"/>
      <c r="H133" s="790"/>
      <c r="I133" s="790"/>
      <c r="J133" s="404"/>
      <c r="K133" s="790"/>
      <c r="L133" s="790"/>
      <c r="N133" s="787"/>
      <c r="O133" s="787"/>
      <c r="P133" s="397"/>
    </row>
    <row r="134" spans="1:16" s="386" customFormat="1" ht="1.9" customHeight="1">
      <c r="A134" s="415"/>
      <c r="B134" s="687"/>
      <c r="C134" s="784"/>
      <c r="D134" s="784"/>
      <c r="E134" s="784"/>
      <c r="F134" s="784"/>
      <c r="G134" s="790"/>
      <c r="H134" s="790"/>
      <c r="I134" s="790"/>
      <c r="J134" s="404"/>
      <c r="K134" s="790"/>
      <c r="L134" s="790"/>
      <c r="N134" s="787"/>
      <c r="O134" s="787"/>
    </row>
    <row r="135" spans="1:16" s="386" customFormat="1" ht="13.15" customHeight="1">
      <c r="A135" s="687"/>
      <c r="B135" s="687" t="s">
        <v>2694</v>
      </c>
      <c r="C135" s="403" t="s">
        <v>2522</v>
      </c>
      <c r="F135" s="790"/>
      <c r="G135" s="790"/>
      <c r="H135" s="790"/>
      <c r="I135" s="790"/>
      <c r="J135" s="404"/>
      <c r="K135" s="790"/>
      <c r="L135" s="790"/>
      <c r="N135" s="787"/>
      <c r="O135" s="787"/>
      <c r="P135" s="397"/>
    </row>
    <row r="136" spans="1:16" s="386" customFormat="1" ht="12.6" customHeight="1">
      <c r="A136" s="687"/>
      <c r="B136" s="687"/>
      <c r="C136" s="411" t="s">
        <v>1984</v>
      </c>
      <c r="D136" s="404"/>
      <c r="E136" s="404"/>
      <c r="F136" s="790"/>
      <c r="G136" s="790"/>
      <c r="H136" s="790"/>
      <c r="I136" s="790"/>
      <c r="K136" s="1357" t="s">
        <v>4073</v>
      </c>
      <c r="N136" s="787"/>
      <c r="O136" s="787"/>
      <c r="P136" s="397"/>
    </row>
    <row r="137" spans="1:16" s="386" customFormat="1" ht="12.6" customHeight="1">
      <c r="A137" s="687"/>
      <c r="B137" s="687"/>
      <c r="C137" s="386" t="s">
        <v>795</v>
      </c>
      <c r="K137" s="1347">
        <v>25</v>
      </c>
      <c r="L137" s="392" t="s">
        <v>2491</v>
      </c>
      <c r="P137" s="421">
        <f>IF('Part VI-Revenues &amp; Expenses'!$M$60=0,0,$K137/'Part VI-Revenues &amp; Expenses'!$M$60)</f>
        <v>0.3125</v>
      </c>
    </row>
    <row r="138" spans="1:16" s="386" customFormat="1" ht="12.6" customHeight="1">
      <c r="A138" s="687"/>
      <c r="B138" s="687"/>
      <c r="C138" s="386" t="s">
        <v>2884</v>
      </c>
      <c r="K138" s="1347">
        <v>50</v>
      </c>
      <c r="L138" s="392" t="s">
        <v>2491</v>
      </c>
      <c r="P138" s="421">
        <f>IF('Part VI-Revenues &amp; Expenses'!$M$60=0,0,$K138/'Part VI-Revenues &amp; Expenses'!$M$60)</f>
        <v>0.625</v>
      </c>
    </row>
    <row r="139" spans="1:16" s="386" customFormat="1" ht="12.6" customHeight="1">
      <c r="A139" s="687"/>
      <c r="B139" s="687"/>
      <c r="C139" s="386" t="s">
        <v>2492</v>
      </c>
      <c r="E139" s="1294" t="s">
        <v>4069</v>
      </c>
      <c r="F139" s="1295"/>
      <c r="G139" s="1295"/>
      <c r="H139" s="1295"/>
      <c r="I139" s="1295"/>
      <c r="J139" s="1295"/>
      <c r="K139" s="1296"/>
      <c r="L139" s="422" t="s">
        <v>2493</v>
      </c>
      <c r="M139" s="1294" t="s">
        <v>4067</v>
      </c>
      <c r="N139" s="1295"/>
      <c r="O139" s="1295"/>
      <c r="P139" s="1296"/>
    </row>
    <row r="140" spans="1:16" s="386" customFormat="1" ht="12.6" customHeight="1">
      <c r="A140" s="687"/>
      <c r="B140" s="687"/>
      <c r="C140" s="392" t="s">
        <v>2494</v>
      </c>
      <c r="D140" s="400"/>
      <c r="E140" s="1294" t="s">
        <v>4064</v>
      </c>
      <c r="F140" s="1295"/>
      <c r="G140" s="1295"/>
      <c r="H140" s="1295"/>
      <c r="I140" s="1295"/>
      <c r="J140" s="1295"/>
      <c r="K140" s="1369"/>
      <c r="L140" s="782" t="s">
        <v>2496</v>
      </c>
      <c r="M140" s="1309" t="s">
        <v>4066</v>
      </c>
      <c r="N140" s="1310"/>
      <c r="O140" s="1310"/>
      <c r="P140" s="1311"/>
    </row>
    <row r="141" spans="1:16" s="386" customFormat="1" ht="12.6" customHeight="1">
      <c r="A141" s="687"/>
      <c r="B141" s="687"/>
      <c r="C141" s="392" t="s">
        <v>798</v>
      </c>
      <c r="E141" s="1294" t="s">
        <v>214</v>
      </c>
      <c r="F141" s="1295"/>
      <c r="G141" s="1295"/>
      <c r="H141" s="1296"/>
      <c r="I141" s="417" t="s">
        <v>2953</v>
      </c>
      <c r="J141" s="1305">
        <v>300302612</v>
      </c>
      <c r="K141" s="1306"/>
      <c r="L141" s="422" t="s">
        <v>2499</v>
      </c>
      <c r="M141" s="1302">
        <v>4042702558</v>
      </c>
      <c r="N141" s="1307"/>
      <c r="O141" s="1303"/>
    </row>
    <row r="142" spans="1:16" s="386" customFormat="1" ht="12.6" customHeight="1">
      <c r="A142" s="687"/>
      <c r="B142" s="687"/>
      <c r="C142" s="392" t="s">
        <v>2497</v>
      </c>
      <c r="E142" s="1302">
        <v>4042702558</v>
      </c>
      <c r="F142" s="1307"/>
      <c r="G142" s="1303"/>
      <c r="H142" s="423" t="s">
        <v>2498</v>
      </c>
      <c r="I142" s="1302">
        <v>4042702546</v>
      </c>
      <c r="J142" s="1307"/>
      <c r="K142" s="1303"/>
      <c r="L142" s="424" t="s">
        <v>2690</v>
      </c>
      <c r="M142" s="1302">
        <v>4043160631</v>
      </c>
      <c r="N142" s="1307"/>
      <c r="O142" s="1303"/>
    </row>
    <row r="143" spans="1:16" s="386" customFormat="1" ht="6" customHeight="1">
      <c r="A143" s="687"/>
      <c r="B143" s="687"/>
      <c r="C143" s="392"/>
      <c r="E143" s="425"/>
      <c r="F143" s="425"/>
      <c r="G143" s="425"/>
      <c r="H143" s="790"/>
      <c r="I143" s="425"/>
      <c r="J143" s="425"/>
      <c r="K143" s="790"/>
      <c r="L143" s="425"/>
      <c r="M143" s="425"/>
      <c r="N143" s="790"/>
      <c r="O143" s="425"/>
      <c r="P143" s="425"/>
    </row>
    <row r="144" spans="1:16" s="386" customFormat="1" ht="12.6" customHeight="1">
      <c r="A144" s="687"/>
      <c r="B144" s="687" t="s">
        <v>2697</v>
      </c>
      <c r="C144" s="784" t="s">
        <v>3618</v>
      </c>
      <c r="D144" s="784"/>
      <c r="E144" s="784"/>
      <c r="F144" s="784"/>
      <c r="G144" s="784"/>
      <c r="I144" s="1357" t="s">
        <v>4074</v>
      </c>
      <c r="J144" s="839" t="s">
        <v>1067</v>
      </c>
      <c r="K144" s="840"/>
      <c r="L144" s="1357"/>
      <c r="M144" s="836" t="s">
        <v>3056</v>
      </c>
      <c r="N144" s="837"/>
      <c r="O144" s="838"/>
      <c r="P144" s="1368"/>
    </row>
    <row r="145" spans="1:16" s="386" customFormat="1" ht="6" customHeight="1">
      <c r="A145" s="687"/>
      <c r="B145" s="687"/>
      <c r="C145" s="784"/>
      <c r="D145" s="784"/>
      <c r="E145" s="389"/>
      <c r="F145" s="784"/>
      <c r="G145" s="784"/>
      <c r="J145" s="396"/>
      <c r="K145" s="426"/>
      <c r="M145" s="787"/>
      <c r="O145" s="790"/>
      <c r="P145" s="397"/>
    </row>
    <row r="146" spans="1:16" s="386" customFormat="1" ht="12.6" customHeight="1">
      <c r="A146" s="687"/>
      <c r="B146" s="687"/>
      <c r="C146" s="784" t="s">
        <v>3619</v>
      </c>
      <c r="D146" s="784"/>
      <c r="E146" s="784"/>
      <c r="F146" s="784"/>
      <c r="G146" s="784"/>
      <c r="I146" s="1357" t="s">
        <v>4073</v>
      </c>
      <c r="J146" s="839" t="s">
        <v>1067</v>
      </c>
      <c r="K146" s="840"/>
      <c r="L146" s="1357">
        <v>2030</v>
      </c>
      <c r="M146" s="836" t="s">
        <v>3056</v>
      </c>
      <c r="N146" s="837"/>
      <c r="O146" s="838"/>
      <c r="P146" s="1368">
        <v>5</v>
      </c>
    </row>
    <row r="147" spans="1:16" s="386" customFormat="1" ht="6" customHeight="1">
      <c r="A147" s="687"/>
      <c r="B147" s="687"/>
      <c r="C147" s="784"/>
      <c r="D147" s="784"/>
      <c r="E147" s="389"/>
      <c r="F147" s="784"/>
      <c r="G147" s="784"/>
      <c r="J147" s="396"/>
      <c r="K147" s="426"/>
      <c r="M147" s="787"/>
      <c r="O147" s="790"/>
      <c r="P147" s="397"/>
    </row>
    <row r="148" spans="1:16" s="386" customFormat="1" ht="12.6" customHeight="1">
      <c r="A148" s="687"/>
      <c r="B148" s="687" t="s">
        <v>1054</v>
      </c>
      <c r="C148" s="784" t="s">
        <v>2451</v>
      </c>
      <c r="D148" s="784"/>
      <c r="E148" s="784"/>
      <c r="F148" s="784"/>
      <c r="G148" s="784"/>
      <c r="I148" s="1357" t="s">
        <v>4074</v>
      </c>
      <c r="L148" s="353"/>
      <c r="M148" s="353"/>
      <c r="P148" s="397"/>
    </row>
    <row r="149" spans="1:16" s="386" customFormat="1" ht="6" customHeight="1">
      <c r="A149" s="687"/>
      <c r="B149" s="687"/>
      <c r="C149" s="392"/>
      <c r="E149" s="425"/>
      <c r="F149" s="425"/>
      <c r="G149" s="425"/>
      <c r="I149" s="425"/>
      <c r="J149" s="425"/>
      <c r="K149" s="790"/>
      <c r="L149" s="425"/>
      <c r="M149" s="425"/>
      <c r="N149" s="790"/>
      <c r="O149" s="425"/>
      <c r="P149" s="425"/>
    </row>
    <row r="150" spans="1:16" s="386" customFormat="1" ht="12.6" customHeight="1">
      <c r="A150" s="687"/>
      <c r="B150" s="687" t="s">
        <v>2830</v>
      </c>
      <c r="C150" s="825" t="s">
        <v>2689</v>
      </c>
      <c r="D150" s="825"/>
      <c r="E150" s="825"/>
      <c r="F150" s="825"/>
      <c r="G150" s="784"/>
      <c r="I150" s="1357" t="s">
        <v>4074</v>
      </c>
      <c r="J150" s="428" t="s">
        <v>3937</v>
      </c>
      <c r="L150" s="824" t="s">
        <v>1924</v>
      </c>
      <c r="M150" s="824"/>
      <c r="N150" s="784"/>
      <c r="O150" s="784"/>
      <c r="P150" s="1370"/>
    </row>
    <row r="151" spans="1:16" s="386" customFormat="1" ht="12.6" customHeight="1">
      <c r="B151" s="687"/>
      <c r="L151" s="820" t="s">
        <v>1190</v>
      </c>
      <c r="M151" s="820"/>
      <c r="N151" s="784"/>
      <c r="O151" s="784"/>
      <c r="P151" s="1370"/>
    </row>
    <row r="152" spans="1:16" s="386" customFormat="1" ht="12.6" customHeight="1">
      <c r="A152" s="687"/>
      <c r="B152" s="687"/>
      <c r="L152" s="820" t="s">
        <v>2487</v>
      </c>
      <c r="M152" s="820"/>
      <c r="N152" s="784"/>
      <c r="O152" s="784"/>
      <c r="P152" s="427" t="str">
        <f>IF(P150="","",P151/P150)</f>
        <v/>
      </c>
    </row>
    <row r="153" spans="1:16" s="386" customFormat="1" ht="13.15" customHeight="1">
      <c r="A153" s="687"/>
      <c r="B153" s="687" t="s">
        <v>2428</v>
      </c>
      <c r="C153" s="350" t="s">
        <v>2075</v>
      </c>
      <c r="D153" s="781"/>
      <c r="E153" s="781"/>
      <c r="F153" s="781"/>
      <c r="G153" s="781"/>
      <c r="H153" s="790"/>
      <c r="J153" s="396"/>
      <c r="K153" s="404"/>
      <c r="M153" s="787"/>
      <c r="O153" s="790"/>
      <c r="P153" s="397"/>
    </row>
    <row r="154" spans="1:16" s="386" customFormat="1" ht="12.6" customHeight="1">
      <c r="A154" s="687"/>
      <c r="B154" s="687"/>
      <c r="C154" s="787" t="s">
        <v>2933</v>
      </c>
      <c r="D154" s="398"/>
      <c r="E154" s="787"/>
      <c r="F154" s="787"/>
      <c r="I154" s="1357" t="s">
        <v>4074</v>
      </c>
      <c r="L154" s="787" t="s">
        <v>3672</v>
      </c>
      <c r="M154" s="787"/>
      <c r="P154" s="1357" t="s">
        <v>4074</v>
      </c>
    </row>
    <row r="155" spans="1:16" s="386" customFormat="1" ht="12.6" customHeight="1">
      <c r="A155" s="687"/>
      <c r="B155" s="687"/>
      <c r="C155" s="787" t="s">
        <v>2935</v>
      </c>
      <c r="I155" s="1357" t="s">
        <v>4074</v>
      </c>
      <c r="L155" s="787" t="s">
        <v>2076</v>
      </c>
      <c r="M155" s="787"/>
      <c r="N155" s="787"/>
      <c r="P155" s="1357" t="s">
        <v>4074</v>
      </c>
    </row>
    <row r="156" spans="1:16" s="386" customFormat="1" ht="12.6" customHeight="1">
      <c r="A156" s="687"/>
      <c r="C156" s="787" t="s">
        <v>3671</v>
      </c>
      <c r="I156" s="1357" t="s">
        <v>4074</v>
      </c>
      <c r="L156" s="787" t="s">
        <v>1995</v>
      </c>
      <c r="M156" s="787"/>
      <c r="N156" s="787"/>
      <c r="P156" s="1357" t="s">
        <v>4074</v>
      </c>
    </row>
    <row r="157" spans="1:16" s="386" customFormat="1" ht="12.6" customHeight="1">
      <c r="A157" s="687"/>
      <c r="B157" s="687"/>
      <c r="C157" s="787" t="s">
        <v>1716</v>
      </c>
      <c r="D157" s="429"/>
      <c r="I157" s="1357" t="s">
        <v>4074</v>
      </c>
      <c r="K157" s="398"/>
      <c r="L157" s="787" t="s">
        <v>3590</v>
      </c>
      <c r="N157" s="1371"/>
      <c r="O157" s="1372"/>
      <c r="P157" s="1357"/>
    </row>
    <row r="158" spans="1:16" s="386" customFormat="1" ht="12.6" customHeight="1">
      <c r="A158" s="687"/>
      <c r="B158" s="389"/>
      <c r="C158" s="787" t="s">
        <v>2506</v>
      </c>
      <c r="I158" s="1357" t="s">
        <v>4074</v>
      </c>
      <c r="J158" s="428" t="s">
        <v>3938</v>
      </c>
      <c r="O158" s="1373"/>
      <c r="P158" s="1374"/>
    </row>
    <row r="159" spans="1:16" s="386" customFormat="1" ht="12.6" customHeight="1">
      <c r="A159" s="687"/>
      <c r="B159" s="687"/>
      <c r="C159" s="787" t="s">
        <v>3670</v>
      </c>
      <c r="I159" s="1357" t="s">
        <v>4074</v>
      </c>
      <c r="J159" s="428" t="s">
        <v>3938</v>
      </c>
      <c r="O159" s="1373"/>
      <c r="P159" s="1374"/>
    </row>
    <row r="160" spans="1:16" s="386" customFormat="1" ht="3" customHeight="1">
      <c r="A160" s="687"/>
      <c r="B160" s="687"/>
      <c r="P160" s="396"/>
    </row>
    <row r="161" spans="1:21" s="386" customFormat="1" ht="13.15" customHeight="1">
      <c r="B161" s="687" t="s">
        <v>2429</v>
      </c>
      <c r="C161" s="393" t="s">
        <v>1044</v>
      </c>
    </row>
    <row r="162" spans="1:21" s="386" customFormat="1" ht="12.6" customHeight="1">
      <c r="A162" s="687"/>
      <c r="B162" s="687"/>
      <c r="C162" s="392" t="s">
        <v>819</v>
      </c>
      <c r="D162" s="781"/>
      <c r="E162" s="781"/>
      <c r="F162" s="790"/>
      <c r="G162" s="790"/>
      <c r="H162" s="1353"/>
      <c r="I162" s="1354"/>
      <c r="N162" s="787"/>
      <c r="O162" s="787"/>
      <c r="P162" s="397"/>
    </row>
    <row r="163" spans="1:21" s="386" customFormat="1" ht="12.6" customHeight="1">
      <c r="A163" s="687"/>
      <c r="B163" s="687"/>
      <c r="C163" s="392" t="s">
        <v>305</v>
      </c>
      <c r="D163" s="781"/>
      <c r="E163" s="781"/>
      <c r="F163" s="790"/>
      <c r="G163" s="790"/>
      <c r="H163" s="1353"/>
      <c r="I163" s="1354"/>
      <c r="N163" s="787"/>
      <c r="O163" s="787"/>
      <c r="P163" s="397"/>
    </row>
    <row r="164" spans="1:21" s="386" customFormat="1" ht="12.6" customHeight="1">
      <c r="A164" s="687"/>
      <c r="B164" s="687"/>
      <c r="C164" s="392" t="s">
        <v>3023</v>
      </c>
      <c r="D164" s="781"/>
      <c r="E164" s="781"/>
      <c r="F164" s="790"/>
      <c r="G164" s="790"/>
      <c r="H164" s="1353">
        <v>42278</v>
      </c>
      <c r="I164" s="1354"/>
      <c r="N164" s="787"/>
      <c r="O164" s="787"/>
      <c r="P164" s="397"/>
    </row>
    <row r="165" spans="1:21" s="386" customFormat="1" ht="6" customHeight="1">
      <c r="B165" s="389"/>
      <c r="C165" s="787"/>
      <c r="H165" s="787"/>
      <c r="L165" s="406"/>
      <c r="M165" s="406"/>
      <c r="N165" s="406"/>
      <c r="O165" s="406"/>
      <c r="P165" s="394"/>
    </row>
    <row r="166" spans="1:21" ht="12" customHeight="1">
      <c r="A166" s="415" t="s">
        <v>2418</v>
      </c>
      <c r="C166" s="415" t="s">
        <v>744</v>
      </c>
      <c r="K166" s="415" t="s">
        <v>2978</v>
      </c>
      <c r="L166" s="415" t="s">
        <v>83</v>
      </c>
    </row>
    <row r="167" spans="1:21" ht="181.5" customHeight="1">
      <c r="A167" s="1375" t="s">
        <v>4169</v>
      </c>
      <c r="B167" s="1376"/>
      <c r="C167" s="1376"/>
      <c r="D167" s="1376"/>
      <c r="E167" s="1376"/>
      <c r="F167" s="1376"/>
      <c r="G167" s="1376"/>
      <c r="H167" s="1376"/>
      <c r="I167" s="1376"/>
      <c r="J167" s="1377"/>
      <c r="K167" s="1378"/>
      <c r="L167" s="1379"/>
      <c r="M167" s="1379"/>
      <c r="N167" s="1379"/>
      <c r="O167" s="1379"/>
      <c r="P167" s="1380"/>
      <c r="Q167" s="817" t="s">
        <v>3595</v>
      </c>
      <c r="R167" s="817"/>
      <c r="S167" s="817"/>
      <c r="T167" s="817"/>
      <c r="U167" s="817"/>
    </row>
    <row r="168" spans="1:21" ht="12" customHeight="1">
      <c r="Q168" s="817"/>
      <c r="R168" s="817"/>
      <c r="S168" s="817"/>
      <c r="T168" s="817"/>
      <c r="U168" s="817"/>
    </row>
    <row r="175" spans="1:21" s="723" customFormat="1" ht="12" customHeight="1">
      <c r="B175" s="722"/>
    </row>
    <row r="176" spans="1:21" s="723" customFormat="1" ht="22.9" customHeight="1">
      <c r="B176" s="724" t="s">
        <v>2495</v>
      </c>
      <c r="C176" s="724" t="s">
        <v>1628</v>
      </c>
      <c r="D176" s="724" t="s">
        <v>1629</v>
      </c>
      <c r="E176" s="724" t="s">
        <v>1630</v>
      </c>
      <c r="F176" s="724" t="s">
        <v>1563</v>
      </c>
      <c r="G176" s="724" t="s">
        <v>460</v>
      </c>
      <c r="H176" s="725" t="s">
        <v>1571</v>
      </c>
      <c r="I176" s="726"/>
      <c r="J176" s="724" t="s">
        <v>3161</v>
      </c>
      <c r="K176" s="724"/>
      <c r="L176" s="727"/>
      <c r="M176" s="728"/>
      <c r="N176" s="728" t="s">
        <v>798</v>
      </c>
      <c r="O176" s="729" t="s">
        <v>799</v>
      </c>
      <c r="P176" s="728" t="s">
        <v>2857</v>
      </c>
      <c r="T176" s="730" t="s">
        <v>545</v>
      </c>
      <c r="U176" s="729" t="s">
        <v>799</v>
      </c>
    </row>
    <row r="177" spans="2:21" s="723" customFormat="1" ht="12" customHeight="1">
      <c r="B177" s="626" t="s">
        <v>1232</v>
      </c>
      <c r="C177" s="626" t="s">
        <v>1631</v>
      </c>
      <c r="D177" s="626" t="s">
        <v>1632</v>
      </c>
      <c r="E177" s="731" t="s">
        <v>1633</v>
      </c>
      <c r="F177" s="731" t="s">
        <v>3411</v>
      </c>
      <c r="G177" s="732" t="s">
        <v>1572</v>
      </c>
      <c r="H177" s="733" t="s">
        <v>458</v>
      </c>
      <c r="I177" s="734"/>
      <c r="J177" s="735" t="s">
        <v>1979</v>
      </c>
      <c r="K177" s="736"/>
      <c r="L177" s="727"/>
      <c r="M177" s="728"/>
      <c r="N177" s="737" t="s">
        <v>3162</v>
      </c>
      <c r="O177" s="737" t="s">
        <v>2661</v>
      </c>
      <c r="P177" s="626" t="s">
        <v>2078</v>
      </c>
      <c r="T177" s="737" t="s">
        <v>1653</v>
      </c>
      <c r="U177" s="737" t="s">
        <v>1515</v>
      </c>
    </row>
    <row r="178" spans="2:21" s="723" customFormat="1" ht="12" customHeight="1">
      <c r="B178" s="626" t="s">
        <v>1233</v>
      </c>
      <c r="C178" s="626" t="s">
        <v>2472</v>
      </c>
      <c r="D178" s="626" t="s">
        <v>1632</v>
      </c>
      <c r="E178" s="731" t="s">
        <v>2473</v>
      </c>
      <c r="F178" s="731" t="s">
        <v>3411</v>
      </c>
      <c r="G178" s="732" t="s">
        <v>1573</v>
      </c>
      <c r="H178" s="733" t="s">
        <v>458</v>
      </c>
      <c r="I178" s="734"/>
      <c r="J178" s="735" t="s">
        <v>1981</v>
      </c>
      <c r="K178" s="736"/>
      <c r="L178" s="727"/>
      <c r="M178" s="728"/>
      <c r="N178" s="737" t="s">
        <v>1980</v>
      </c>
      <c r="O178" s="737" t="s">
        <v>3267</v>
      </c>
      <c r="P178" s="626" t="s">
        <v>2079</v>
      </c>
      <c r="T178" s="737" t="s">
        <v>715</v>
      </c>
      <c r="U178" s="737" t="s">
        <v>176</v>
      </c>
    </row>
    <row r="179" spans="2:21" s="723" customFormat="1" ht="12" customHeight="1">
      <c r="B179" s="626" t="s">
        <v>1234</v>
      </c>
      <c r="C179" s="626" t="s">
        <v>2474</v>
      </c>
      <c r="D179" s="626" t="s">
        <v>1632</v>
      </c>
      <c r="E179" s="731" t="s">
        <v>2475</v>
      </c>
      <c r="F179" s="731" t="s">
        <v>3411</v>
      </c>
      <c r="G179" s="732" t="s">
        <v>1574</v>
      </c>
      <c r="H179" s="733" t="s">
        <v>458</v>
      </c>
      <c r="I179" s="734"/>
      <c r="J179" s="735" t="s">
        <v>589</v>
      </c>
      <c r="K179" s="736"/>
      <c r="L179" s="727"/>
      <c r="M179" s="728"/>
      <c r="N179" s="737" t="s">
        <v>1341</v>
      </c>
      <c r="O179" s="737" t="s">
        <v>1748</v>
      </c>
      <c r="P179" s="626" t="s">
        <v>2080</v>
      </c>
      <c r="T179" s="737" t="s">
        <v>1300</v>
      </c>
      <c r="U179" s="737" t="s">
        <v>1511</v>
      </c>
    </row>
    <row r="180" spans="2:21" s="723" customFormat="1" ht="12" customHeight="1">
      <c r="B180" s="626" t="s">
        <v>1235</v>
      </c>
      <c r="C180" s="626" t="s">
        <v>2476</v>
      </c>
      <c r="D180" s="626" t="s">
        <v>1632</v>
      </c>
      <c r="E180" s="738" t="s">
        <v>2477</v>
      </c>
      <c r="F180" s="738" t="s">
        <v>3412</v>
      </c>
      <c r="G180" s="732" t="s">
        <v>1575</v>
      </c>
      <c r="H180" s="733" t="s">
        <v>459</v>
      </c>
      <c r="I180" s="739"/>
      <c r="J180" s="735" t="s">
        <v>2795</v>
      </c>
      <c r="K180" s="736"/>
      <c r="L180" s="727"/>
      <c r="M180" s="728"/>
      <c r="N180" s="737" t="s">
        <v>590</v>
      </c>
      <c r="O180" s="737" t="s">
        <v>3317</v>
      </c>
      <c r="P180" s="626" t="s">
        <v>2081</v>
      </c>
      <c r="T180" s="737" t="s">
        <v>2072</v>
      </c>
      <c r="U180" s="737" t="s">
        <v>3316</v>
      </c>
    </row>
    <row r="181" spans="2:21" s="723" customFormat="1" ht="12" customHeight="1">
      <c r="B181" s="626" t="s">
        <v>1236</v>
      </c>
      <c r="C181" s="626" t="s">
        <v>2478</v>
      </c>
      <c r="D181" s="626" t="s">
        <v>1769</v>
      </c>
      <c r="E181" s="738" t="s">
        <v>172</v>
      </c>
      <c r="F181" s="738" t="s">
        <v>3411</v>
      </c>
      <c r="G181" s="732" t="s">
        <v>1576</v>
      </c>
      <c r="H181" s="733" t="s">
        <v>458</v>
      </c>
      <c r="I181" s="739"/>
      <c r="J181" s="735" t="s">
        <v>2797</v>
      </c>
      <c r="K181" s="736"/>
      <c r="L181" s="727"/>
      <c r="M181" s="728"/>
      <c r="N181" s="737" t="s">
        <v>2796</v>
      </c>
      <c r="O181" s="737" t="s">
        <v>364</v>
      </c>
      <c r="P181" s="626" t="s">
        <v>2082</v>
      </c>
      <c r="T181" s="737" t="s">
        <v>2514</v>
      </c>
      <c r="U181" s="737" t="s">
        <v>116</v>
      </c>
    </row>
    <row r="182" spans="2:21" s="723" customFormat="1" ht="12" customHeight="1">
      <c r="B182" s="626" t="s">
        <v>1237</v>
      </c>
      <c r="C182" s="626" t="s">
        <v>1744</v>
      </c>
      <c r="D182" s="626" t="s">
        <v>1745</v>
      </c>
      <c r="E182" s="731" t="s">
        <v>1746</v>
      </c>
      <c r="F182" s="731" t="s">
        <v>3411</v>
      </c>
      <c r="G182" s="732" t="s">
        <v>2523</v>
      </c>
      <c r="H182" s="733" t="s">
        <v>458</v>
      </c>
      <c r="I182" s="734"/>
      <c r="J182" s="735" t="s">
        <v>2799</v>
      </c>
      <c r="K182" s="736"/>
      <c r="L182" s="727"/>
      <c r="M182" s="728"/>
      <c r="N182" s="737" t="s">
        <v>2798</v>
      </c>
      <c r="O182" s="737" t="s">
        <v>201</v>
      </c>
      <c r="P182" s="626" t="s">
        <v>2083</v>
      </c>
      <c r="T182" s="737" t="s">
        <v>2840</v>
      </c>
      <c r="U182" s="737" t="s">
        <v>112</v>
      </c>
    </row>
    <row r="183" spans="2:21" s="723" customFormat="1" ht="12" customHeight="1">
      <c r="B183" s="626" t="s">
        <v>1238</v>
      </c>
      <c r="C183" s="626" t="s">
        <v>1747</v>
      </c>
      <c r="D183" s="626" t="s">
        <v>1769</v>
      </c>
      <c r="E183" s="738" t="s">
        <v>1152</v>
      </c>
      <c r="F183" s="738" t="s">
        <v>3412</v>
      </c>
      <c r="G183" s="732" t="s">
        <v>3373</v>
      </c>
      <c r="H183" s="733" t="s">
        <v>459</v>
      </c>
      <c r="I183" s="739"/>
      <c r="J183" s="735" t="s">
        <v>2801</v>
      </c>
      <c r="K183" s="736"/>
      <c r="L183" s="727"/>
      <c r="M183" s="728"/>
      <c r="N183" s="737" t="s">
        <v>2800</v>
      </c>
      <c r="O183" s="737" t="s">
        <v>118</v>
      </c>
      <c r="P183" s="626" t="s">
        <v>2084</v>
      </c>
      <c r="T183" s="737" t="s">
        <v>329</v>
      </c>
      <c r="U183" s="737" t="s">
        <v>116</v>
      </c>
    </row>
    <row r="184" spans="2:21" s="723" customFormat="1" ht="12" customHeight="1">
      <c r="B184" s="626" t="s">
        <v>1239</v>
      </c>
      <c r="C184" s="626" t="s">
        <v>1748</v>
      </c>
      <c r="D184" s="626" t="s">
        <v>1745</v>
      </c>
      <c r="E184" s="738" t="s">
        <v>1152</v>
      </c>
      <c r="F184" s="738" t="s">
        <v>3412</v>
      </c>
      <c r="G184" s="732" t="s">
        <v>3373</v>
      </c>
      <c r="H184" s="733" t="s">
        <v>459</v>
      </c>
      <c r="I184" s="739"/>
      <c r="J184" s="735" t="s">
        <v>2803</v>
      </c>
      <c r="K184" s="736"/>
      <c r="L184" s="727"/>
      <c r="M184" s="728"/>
      <c r="N184" s="737" t="s">
        <v>2802</v>
      </c>
      <c r="O184" s="737" t="s">
        <v>1751</v>
      </c>
      <c r="P184" s="626" t="s">
        <v>2085</v>
      </c>
      <c r="Q184" s="732"/>
    </row>
    <row r="185" spans="2:21" s="723" customFormat="1" ht="12" customHeight="1">
      <c r="B185" s="626" t="s">
        <v>1240</v>
      </c>
      <c r="C185" s="626" t="s">
        <v>1749</v>
      </c>
      <c r="D185" s="626" t="s">
        <v>1632</v>
      </c>
      <c r="E185" s="731" t="s">
        <v>1750</v>
      </c>
      <c r="F185" s="731" t="s">
        <v>3411</v>
      </c>
      <c r="G185" s="732" t="s">
        <v>3374</v>
      </c>
      <c r="H185" s="733" t="s">
        <v>458</v>
      </c>
      <c r="I185" s="734"/>
      <c r="J185" s="735" t="s">
        <v>2673</v>
      </c>
      <c r="K185" s="627"/>
      <c r="L185" s="727"/>
      <c r="M185" s="728"/>
      <c r="N185" s="737" t="s">
        <v>2477</v>
      </c>
      <c r="O185" s="737" t="s">
        <v>1352</v>
      </c>
      <c r="P185" s="626" t="s">
        <v>2086</v>
      </c>
      <c r="Q185" s="732"/>
    </row>
    <row r="186" spans="2:21" s="723" customFormat="1" ht="12" customHeight="1">
      <c r="B186" s="626" t="s">
        <v>1241</v>
      </c>
      <c r="C186" s="626" t="s">
        <v>1751</v>
      </c>
      <c r="D186" s="626" t="s">
        <v>1632</v>
      </c>
      <c r="E186" s="731" t="s">
        <v>1752</v>
      </c>
      <c r="F186" s="731" t="s">
        <v>3411</v>
      </c>
      <c r="G186" s="732" t="s">
        <v>3375</v>
      </c>
      <c r="H186" s="733" t="s">
        <v>458</v>
      </c>
      <c r="I186" s="734"/>
      <c r="J186" s="735" t="s">
        <v>197</v>
      </c>
      <c r="K186" s="627"/>
      <c r="L186" s="626"/>
      <c r="M186" s="728"/>
      <c r="N186" s="737" t="s">
        <v>2674</v>
      </c>
      <c r="O186" s="737" t="s">
        <v>550</v>
      </c>
      <c r="P186" s="626" t="s">
        <v>2087</v>
      </c>
      <c r="Q186" s="732"/>
    </row>
    <row r="187" spans="2:21" s="723" customFormat="1" ht="12" customHeight="1">
      <c r="B187" s="626" t="s">
        <v>1242</v>
      </c>
      <c r="C187" s="626" t="s">
        <v>1753</v>
      </c>
      <c r="D187" s="626" t="s">
        <v>1769</v>
      </c>
      <c r="E187" s="738" t="s">
        <v>1754</v>
      </c>
      <c r="F187" s="738" t="s">
        <v>3412</v>
      </c>
      <c r="G187" s="732" t="s">
        <v>3376</v>
      </c>
      <c r="H187" s="733" t="s">
        <v>459</v>
      </c>
      <c r="I187" s="739"/>
      <c r="J187" s="735" t="s">
        <v>199</v>
      </c>
      <c r="K187" s="627"/>
      <c r="L187" s="727"/>
      <c r="M187" s="728"/>
      <c r="N187" s="737" t="s">
        <v>198</v>
      </c>
      <c r="O187" s="737" t="s">
        <v>1902</v>
      </c>
      <c r="P187" s="626" t="s">
        <v>2088</v>
      </c>
      <c r="Q187" s="732"/>
    </row>
    <row r="188" spans="2:21" s="723" customFormat="1" ht="12" customHeight="1">
      <c r="B188" s="626" t="s">
        <v>1243</v>
      </c>
      <c r="C188" s="626" t="s">
        <v>1755</v>
      </c>
      <c r="D188" s="626" t="s">
        <v>1632</v>
      </c>
      <c r="E188" s="738" t="s">
        <v>1756</v>
      </c>
      <c r="F188" s="738" t="s">
        <v>3411</v>
      </c>
      <c r="G188" s="732" t="s">
        <v>3377</v>
      </c>
      <c r="H188" s="733" t="s">
        <v>458</v>
      </c>
      <c r="I188" s="739"/>
      <c r="J188" s="735" t="s">
        <v>570</v>
      </c>
      <c r="K188" s="736"/>
      <c r="L188" s="727"/>
      <c r="M188" s="728"/>
      <c r="N188" s="737" t="s">
        <v>200</v>
      </c>
      <c r="O188" s="737" t="s">
        <v>3158</v>
      </c>
      <c r="P188" s="626" t="s">
        <v>2089</v>
      </c>
      <c r="Q188" s="732"/>
    </row>
    <row r="189" spans="2:21" s="723" customFormat="1" ht="12" customHeight="1">
      <c r="B189" s="626" t="s">
        <v>1244</v>
      </c>
      <c r="C189" s="626" t="s">
        <v>1757</v>
      </c>
      <c r="D189" s="626" t="s">
        <v>1632</v>
      </c>
      <c r="E189" s="731" t="s">
        <v>12</v>
      </c>
      <c r="F189" s="731" t="s">
        <v>3412</v>
      </c>
      <c r="G189" s="732" t="s">
        <v>3378</v>
      </c>
      <c r="H189" s="733" t="s">
        <v>459</v>
      </c>
      <c r="I189" s="734"/>
      <c r="J189" s="735" t="s">
        <v>572</v>
      </c>
      <c r="K189" s="736"/>
      <c r="L189" s="727"/>
      <c r="M189" s="728"/>
      <c r="N189" s="737" t="s">
        <v>571</v>
      </c>
      <c r="O189" s="737" t="s">
        <v>2474</v>
      </c>
      <c r="P189" s="626" t="s">
        <v>2090</v>
      </c>
      <c r="Q189" s="732"/>
    </row>
    <row r="190" spans="2:21" s="723" customFormat="1" ht="12" customHeight="1">
      <c r="B190" s="626" t="s">
        <v>1245</v>
      </c>
      <c r="C190" s="626" t="s">
        <v>1758</v>
      </c>
      <c r="D190" s="626" t="s">
        <v>1632</v>
      </c>
      <c r="E190" s="731" t="s">
        <v>2386</v>
      </c>
      <c r="F190" s="731" t="s">
        <v>3412</v>
      </c>
      <c r="G190" s="732" t="s">
        <v>3379</v>
      </c>
      <c r="H190" s="733" t="s">
        <v>459</v>
      </c>
      <c r="I190" s="734"/>
      <c r="J190" s="735" t="s">
        <v>574</v>
      </c>
      <c r="K190" s="736"/>
      <c r="L190" s="727"/>
      <c r="M190" s="728"/>
      <c r="N190" s="737" t="s">
        <v>573</v>
      </c>
      <c r="O190" s="737" t="s">
        <v>1627</v>
      </c>
      <c r="P190" s="626" t="s">
        <v>2091</v>
      </c>
      <c r="Q190" s="732"/>
    </row>
    <row r="191" spans="2:21" s="723" customFormat="1" ht="12" customHeight="1">
      <c r="B191" s="626" t="s">
        <v>1246</v>
      </c>
      <c r="C191" s="626" t="s">
        <v>1759</v>
      </c>
      <c r="D191" s="626" t="s">
        <v>1632</v>
      </c>
      <c r="E191" s="738" t="s">
        <v>1760</v>
      </c>
      <c r="F191" s="738" t="s">
        <v>3412</v>
      </c>
      <c r="G191" s="732" t="s">
        <v>1909</v>
      </c>
      <c r="H191" s="733" t="s">
        <v>459</v>
      </c>
      <c r="I191" s="739"/>
      <c r="J191" s="735" t="s">
        <v>576</v>
      </c>
      <c r="K191" s="736"/>
      <c r="L191" s="727"/>
      <c r="M191" s="728"/>
      <c r="N191" s="737" t="s">
        <v>575</v>
      </c>
      <c r="O191" s="737" t="s">
        <v>201</v>
      </c>
      <c r="P191" s="626" t="s">
        <v>2092</v>
      </c>
      <c r="Q191" s="732"/>
    </row>
    <row r="192" spans="2:21" s="723" customFormat="1" ht="12" customHeight="1">
      <c r="B192" s="626" t="s">
        <v>1247</v>
      </c>
      <c r="C192" s="626" t="s">
        <v>1761</v>
      </c>
      <c r="D192" s="626" t="s">
        <v>1632</v>
      </c>
      <c r="E192" s="738" t="s">
        <v>1762</v>
      </c>
      <c r="F192" s="738" t="s">
        <v>3411</v>
      </c>
      <c r="G192" s="732" t="s">
        <v>3394</v>
      </c>
      <c r="H192" s="733" t="s">
        <v>458</v>
      </c>
      <c r="I192" s="739"/>
      <c r="J192" s="735" t="s">
        <v>2989</v>
      </c>
      <c r="K192" s="736"/>
      <c r="L192" s="727"/>
      <c r="M192" s="728"/>
      <c r="N192" s="737" t="s">
        <v>577</v>
      </c>
      <c r="O192" s="737" t="s">
        <v>128</v>
      </c>
      <c r="P192" s="626" t="s">
        <v>2093</v>
      </c>
      <c r="Q192" s="732"/>
    </row>
    <row r="193" spans="2:17" s="723" customFormat="1" ht="12" customHeight="1">
      <c r="B193" s="626" t="s">
        <v>1248</v>
      </c>
      <c r="C193" s="626" t="s">
        <v>1763</v>
      </c>
      <c r="D193" s="626" t="s">
        <v>1769</v>
      </c>
      <c r="E193" s="738" t="s">
        <v>1153</v>
      </c>
      <c r="F193" s="738" t="s">
        <v>3412</v>
      </c>
      <c r="G193" s="732" t="s">
        <v>3395</v>
      </c>
      <c r="H193" s="733" t="s">
        <v>459</v>
      </c>
      <c r="I193" s="739"/>
      <c r="J193" s="735" t="s">
        <v>2991</v>
      </c>
      <c r="K193" s="736"/>
      <c r="L193" s="727"/>
      <c r="M193" s="728"/>
      <c r="N193" s="737" t="s">
        <v>2990</v>
      </c>
      <c r="O193" s="737" t="s">
        <v>3268</v>
      </c>
      <c r="P193" s="626" t="s">
        <v>2094</v>
      </c>
      <c r="Q193" s="732"/>
    </row>
    <row r="194" spans="2:17" s="723" customFormat="1" ht="12" customHeight="1">
      <c r="B194" s="626" t="s">
        <v>1249</v>
      </c>
      <c r="C194" s="626" t="s">
        <v>1765</v>
      </c>
      <c r="D194" s="626" t="s">
        <v>1769</v>
      </c>
      <c r="E194" s="738" t="s">
        <v>1441</v>
      </c>
      <c r="F194" s="738" t="s">
        <v>3412</v>
      </c>
      <c r="G194" s="732" t="s">
        <v>1682</v>
      </c>
      <c r="H194" s="733" t="s">
        <v>459</v>
      </c>
      <c r="I194" s="739"/>
      <c r="J194" s="735" t="s">
        <v>402</v>
      </c>
      <c r="K194" s="736"/>
      <c r="L194" s="727"/>
      <c r="M194" s="728"/>
      <c r="N194" s="737" t="s">
        <v>2552</v>
      </c>
      <c r="O194" s="737" t="s">
        <v>2895</v>
      </c>
      <c r="P194" s="626" t="s">
        <v>2095</v>
      </c>
      <c r="Q194" s="732"/>
    </row>
    <row r="195" spans="2:17" s="723" customFormat="1" ht="12" customHeight="1">
      <c r="B195" s="626" t="s">
        <v>1250</v>
      </c>
      <c r="C195" s="626" t="s">
        <v>1766</v>
      </c>
      <c r="D195" s="626" t="s">
        <v>1632</v>
      </c>
      <c r="E195" s="731" t="s">
        <v>1767</v>
      </c>
      <c r="F195" s="731" t="s">
        <v>3411</v>
      </c>
      <c r="G195" s="732" t="s">
        <v>1683</v>
      </c>
      <c r="H195" s="733" t="s">
        <v>458</v>
      </c>
      <c r="I195" s="734"/>
      <c r="J195" s="735" t="s">
        <v>404</v>
      </c>
      <c r="K195" s="736"/>
      <c r="L195" s="727"/>
      <c r="M195" s="728"/>
      <c r="N195" s="737" t="s">
        <v>403</v>
      </c>
      <c r="O195" s="737" t="s">
        <v>2895</v>
      </c>
      <c r="P195" s="626" t="s">
        <v>2096</v>
      </c>
      <c r="Q195" s="732"/>
    </row>
    <row r="196" spans="2:17" s="723" customFormat="1" ht="12" customHeight="1">
      <c r="B196" s="626" t="s">
        <v>1251</v>
      </c>
      <c r="C196" s="626" t="s">
        <v>1768</v>
      </c>
      <c r="D196" s="626" t="s">
        <v>1632</v>
      </c>
      <c r="E196" s="738" t="s">
        <v>1035</v>
      </c>
      <c r="F196" s="738" t="s">
        <v>3411</v>
      </c>
      <c r="G196" s="732" t="s">
        <v>1684</v>
      </c>
      <c r="H196" s="733" t="s">
        <v>458</v>
      </c>
      <c r="I196" s="739"/>
      <c r="J196" s="735" t="s">
        <v>3342</v>
      </c>
      <c r="K196" s="736"/>
      <c r="L196" s="727"/>
      <c r="M196" s="728"/>
      <c r="N196" s="737" t="s">
        <v>3343</v>
      </c>
      <c r="O196" s="737" t="s">
        <v>3321</v>
      </c>
      <c r="P196" s="626" t="s">
        <v>2097</v>
      </c>
      <c r="Q196" s="732"/>
    </row>
    <row r="197" spans="2:17" s="723" customFormat="1" ht="12" customHeight="1">
      <c r="B197" s="626" t="s">
        <v>1252</v>
      </c>
      <c r="C197" s="626" t="s">
        <v>1036</v>
      </c>
      <c r="D197" s="626" t="s">
        <v>1632</v>
      </c>
      <c r="E197" s="731" t="s">
        <v>1037</v>
      </c>
      <c r="F197" s="731" t="s">
        <v>3411</v>
      </c>
      <c r="G197" s="732" t="s">
        <v>2401</v>
      </c>
      <c r="H197" s="733" t="s">
        <v>458</v>
      </c>
      <c r="I197" s="734"/>
      <c r="J197" s="735" t="s">
        <v>3344</v>
      </c>
      <c r="K197" s="736"/>
      <c r="L197" s="727"/>
      <c r="M197" s="728"/>
      <c r="N197" s="737" t="s">
        <v>3345</v>
      </c>
      <c r="O197" s="737" t="s">
        <v>1505</v>
      </c>
      <c r="P197" s="626" t="s">
        <v>2098</v>
      </c>
      <c r="Q197" s="732"/>
    </row>
    <row r="198" spans="2:17" s="723" customFormat="1" ht="12" customHeight="1">
      <c r="B198" s="626" t="s">
        <v>1253</v>
      </c>
      <c r="C198" s="626" t="s">
        <v>1038</v>
      </c>
      <c r="D198" s="626" t="s">
        <v>1769</v>
      </c>
      <c r="E198" s="738" t="s">
        <v>1152</v>
      </c>
      <c r="F198" s="738" t="s">
        <v>3412</v>
      </c>
      <c r="G198" s="732" t="s">
        <v>3373</v>
      </c>
      <c r="H198" s="733" t="s">
        <v>459</v>
      </c>
      <c r="I198" s="739"/>
      <c r="J198" s="735" t="s">
        <v>3346</v>
      </c>
      <c r="K198" s="736"/>
      <c r="L198" s="727"/>
      <c r="M198" s="728"/>
      <c r="N198" s="737" t="s">
        <v>3347</v>
      </c>
      <c r="O198" s="737" t="s">
        <v>355</v>
      </c>
      <c r="P198" s="626" t="s">
        <v>2099</v>
      </c>
      <c r="Q198" s="732"/>
    </row>
    <row r="199" spans="2:17" s="723" customFormat="1" ht="12" customHeight="1">
      <c r="B199" s="626" t="s">
        <v>1254</v>
      </c>
      <c r="C199" s="626" t="s">
        <v>1977</v>
      </c>
      <c r="D199" s="626" t="s">
        <v>1745</v>
      </c>
      <c r="E199" s="738" t="s">
        <v>1978</v>
      </c>
      <c r="F199" s="738" t="s">
        <v>3412</v>
      </c>
      <c r="G199" s="732" t="s">
        <v>2370</v>
      </c>
      <c r="H199" s="733" t="s">
        <v>459</v>
      </c>
      <c r="I199" s="739"/>
      <c r="J199" s="735" t="s">
        <v>3348</v>
      </c>
      <c r="K199" s="736"/>
      <c r="L199" s="727"/>
      <c r="M199" s="728"/>
      <c r="N199" s="737" t="s">
        <v>3349</v>
      </c>
      <c r="O199" s="737" t="s">
        <v>3265</v>
      </c>
      <c r="P199" s="626" t="s">
        <v>2100</v>
      </c>
      <c r="Q199" s="732"/>
    </row>
    <row r="200" spans="2:17" s="723" customFormat="1" ht="12" customHeight="1">
      <c r="B200" s="626" t="s">
        <v>1255</v>
      </c>
      <c r="C200" s="626" t="s">
        <v>173</v>
      </c>
      <c r="D200" s="626" t="s">
        <v>1632</v>
      </c>
      <c r="E200" s="731" t="s">
        <v>174</v>
      </c>
      <c r="F200" s="731" t="s">
        <v>3411</v>
      </c>
      <c r="G200" s="732" t="s">
        <v>2371</v>
      </c>
      <c r="H200" s="733" t="s">
        <v>458</v>
      </c>
      <c r="I200" s="734"/>
      <c r="J200" s="735" t="s">
        <v>3350</v>
      </c>
      <c r="K200" s="736"/>
      <c r="L200" s="727"/>
      <c r="M200" s="728"/>
      <c r="N200" s="737" t="s">
        <v>3351</v>
      </c>
      <c r="O200" s="737" t="s">
        <v>1766</v>
      </c>
      <c r="P200" s="626" t="s">
        <v>2101</v>
      </c>
      <c r="Q200" s="732"/>
    </row>
    <row r="201" spans="2:17" s="723" customFormat="1" ht="12" customHeight="1">
      <c r="B201" s="626" t="s">
        <v>1256</v>
      </c>
      <c r="C201" s="626" t="s">
        <v>175</v>
      </c>
      <c r="D201" s="626" t="s">
        <v>1632</v>
      </c>
      <c r="E201" s="738" t="s">
        <v>1760</v>
      </c>
      <c r="F201" s="738" t="s">
        <v>3412</v>
      </c>
      <c r="G201" s="732" t="s">
        <v>1909</v>
      </c>
      <c r="H201" s="733" t="s">
        <v>459</v>
      </c>
      <c r="I201" s="739"/>
      <c r="J201" s="735" t="s">
        <v>3352</v>
      </c>
      <c r="K201" s="736"/>
      <c r="L201" s="727"/>
      <c r="M201" s="728"/>
      <c r="N201" s="737" t="s">
        <v>3354</v>
      </c>
      <c r="O201" s="737" t="s">
        <v>3388</v>
      </c>
      <c r="P201" s="626" t="s">
        <v>2102</v>
      </c>
      <c r="Q201" s="732"/>
    </row>
    <row r="202" spans="2:17" s="723" customFormat="1" ht="12" customHeight="1">
      <c r="B202" s="626" t="s">
        <v>1776</v>
      </c>
      <c r="C202" s="626" t="s">
        <v>176</v>
      </c>
      <c r="D202" s="626" t="s">
        <v>1769</v>
      </c>
      <c r="E202" s="738" t="s">
        <v>177</v>
      </c>
      <c r="F202" s="738" t="s">
        <v>3412</v>
      </c>
      <c r="G202" s="732" t="s">
        <v>2372</v>
      </c>
      <c r="H202" s="733" t="s">
        <v>459</v>
      </c>
      <c r="I202" s="739"/>
      <c r="J202" s="735" t="s">
        <v>3353</v>
      </c>
      <c r="K202" s="736"/>
      <c r="L202" s="727"/>
      <c r="M202" s="728"/>
      <c r="N202" s="737" t="s">
        <v>3356</v>
      </c>
      <c r="O202" s="737" t="s">
        <v>2626</v>
      </c>
      <c r="P202" s="626" t="s">
        <v>2103</v>
      </c>
      <c r="Q202" s="732"/>
    </row>
    <row r="203" spans="2:17" s="723" customFormat="1" ht="12" customHeight="1">
      <c r="B203" s="626" t="s">
        <v>1777</v>
      </c>
      <c r="C203" s="626" t="s">
        <v>178</v>
      </c>
      <c r="D203" s="626" t="s">
        <v>1745</v>
      </c>
      <c r="E203" s="731" t="s">
        <v>179</v>
      </c>
      <c r="F203" s="731" t="s">
        <v>3411</v>
      </c>
      <c r="G203" s="732" t="s">
        <v>2373</v>
      </c>
      <c r="H203" s="733" t="s">
        <v>458</v>
      </c>
      <c r="I203" s="734"/>
      <c r="J203" s="735" t="s">
        <v>3355</v>
      </c>
      <c r="K203" s="736"/>
      <c r="L203" s="727"/>
      <c r="M203" s="728"/>
      <c r="N203" s="737" t="s">
        <v>182</v>
      </c>
      <c r="O203" s="737" t="s">
        <v>181</v>
      </c>
      <c r="P203" s="1381" t="s">
        <v>1218</v>
      </c>
    </row>
    <row r="204" spans="2:17" s="723" customFormat="1" ht="12" customHeight="1">
      <c r="B204" s="626" t="s">
        <v>1778</v>
      </c>
      <c r="C204" s="626" t="s">
        <v>180</v>
      </c>
      <c r="D204" s="626" t="s">
        <v>1745</v>
      </c>
      <c r="E204" s="738" t="s">
        <v>1152</v>
      </c>
      <c r="F204" s="738" t="s">
        <v>3412</v>
      </c>
      <c r="G204" s="732" t="s">
        <v>3373</v>
      </c>
      <c r="H204" s="733" t="s">
        <v>459</v>
      </c>
      <c r="I204" s="739"/>
      <c r="J204" s="735" t="s">
        <v>452</v>
      </c>
      <c r="K204" s="736"/>
      <c r="L204" s="727"/>
      <c r="M204" s="728"/>
      <c r="N204" s="737" t="s">
        <v>1626</v>
      </c>
      <c r="O204" s="737" t="s">
        <v>1627</v>
      </c>
      <c r="P204" s="626" t="s">
        <v>2104</v>
      </c>
      <c r="Q204" s="732"/>
    </row>
    <row r="205" spans="2:17" s="723" customFormat="1" ht="12" customHeight="1">
      <c r="B205" s="626" t="s">
        <v>1779</v>
      </c>
      <c r="C205" s="626" t="s">
        <v>181</v>
      </c>
      <c r="D205" s="626" t="s">
        <v>1769</v>
      </c>
      <c r="E205" s="731" t="s">
        <v>2757</v>
      </c>
      <c r="F205" s="731" t="s">
        <v>3412</v>
      </c>
      <c r="G205" s="732" t="s">
        <v>800</v>
      </c>
      <c r="H205" s="733" t="s">
        <v>459</v>
      </c>
      <c r="I205" s="734"/>
      <c r="J205" s="735" t="s">
        <v>453</v>
      </c>
      <c r="K205" s="736"/>
      <c r="L205" s="626"/>
      <c r="M205" s="728"/>
      <c r="N205" s="737" t="s">
        <v>1170</v>
      </c>
      <c r="O205" s="737" t="s">
        <v>214</v>
      </c>
      <c r="P205" s="626" t="s">
        <v>2105</v>
      </c>
      <c r="Q205" s="732"/>
    </row>
    <row r="206" spans="2:17" s="723" customFormat="1" ht="12" customHeight="1">
      <c r="B206" s="626" t="s">
        <v>1780</v>
      </c>
      <c r="C206" s="626" t="s">
        <v>3262</v>
      </c>
      <c r="D206" s="626" t="s">
        <v>1632</v>
      </c>
      <c r="E206" s="731" t="s">
        <v>3263</v>
      </c>
      <c r="F206" s="731" t="s">
        <v>3411</v>
      </c>
      <c r="G206" s="732" t="s">
        <v>801</v>
      </c>
      <c r="H206" s="733" t="s">
        <v>458</v>
      </c>
      <c r="I206" s="734"/>
      <c r="J206" s="735" t="s">
        <v>1169</v>
      </c>
      <c r="K206" s="627"/>
      <c r="L206" s="727"/>
      <c r="M206" s="728"/>
      <c r="N206" s="737" t="s">
        <v>2786</v>
      </c>
      <c r="O206" s="737" t="s">
        <v>1747</v>
      </c>
      <c r="P206" s="626" t="s">
        <v>2106</v>
      </c>
      <c r="Q206" s="732"/>
    </row>
    <row r="207" spans="2:17" s="723" customFormat="1" ht="12" customHeight="1">
      <c r="B207" s="626" t="s">
        <v>1781</v>
      </c>
      <c r="C207" s="626" t="s">
        <v>3264</v>
      </c>
      <c r="D207" s="626" t="s">
        <v>1769</v>
      </c>
      <c r="E207" s="738" t="s">
        <v>1152</v>
      </c>
      <c r="F207" s="738" t="s">
        <v>3412</v>
      </c>
      <c r="G207" s="732" t="s">
        <v>3373</v>
      </c>
      <c r="H207" s="733" t="s">
        <v>459</v>
      </c>
      <c r="I207" s="739"/>
      <c r="J207" s="735" t="s">
        <v>1171</v>
      </c>
      <c r="K207" s="627"/>
      <c r="L207" s="727"/>
      <c r="M207" s="728"/>
      <c r="N207" s="737" t="s">
        <v>1764</v>
      </c>
      <c r="O207" s="737" t="s">
        <v>1517</v>
      </c>
      <c r="P207" s="1381" t="s">
        <v>1218</v>
      </c>
    </row>
    <row r="208" spans="2:17" s="723" customFormat="1" ht="12" customHeight="1">
      <c r="B208" s="626" t="s">
        <v>1782</v>
      </c>
      <c r="C208" s="626" t="s">
        <v>3265</v>
      </c>
      <c r="D208" s="626" t="s">
        <v>1632</v>
      </c>
      <c r="E208" s="731" t="s">
        <v>3266</v>
      </c>
      <c r="F208" s="731" t="s">
        <v>3411</v>
      </c>
      <c r="G208" s="732" t="s">
        <v>802</v>
      </c>
      <c r="H208" s="733" t="s">
        <v>458</v>
      </c>
      <c r="I208" s="734"/>
      <c r="J208" s="735" t="s">
        <v>2787</v>
      </c>
      <c r="K208" s="627"/>
      <c r="L208" s="727"/>
      <c r="M208" s="728"/>
      <c r="N208" s="737" t="s">
        <v>2789</v>
      </c>
      <c r="O208" s="737" t="s">
        <v>3267</v>
      </c>
      <c r="P208" s="626" t="s">
        <v>2107</v>
      </c>
      <c r="Q208" s="732"/>
    </row>
    <row r="209" spans="2:19" s="723" customFormat="1" ht="12" customHeight="1">
      <c r="B209" s="626" t="s">
        <v>1783</v>
      </c>
      <c r="C209" s="626" t="s">
        <v>3267</v>
      </c>
      <c r="D209" s="626" t="s">
        <v>1745</v>
      </c>
      <c r="E209" s="738" t="s">
        <v>1152</v>
      </c>
      <c r="F209" s="738" t="s">
        <v>3412</v>
      </c>
      <c r="G209" s="732" t="s">
        <v>3373</v>
      </c>
      <c r="H209" s="733" t="s">
        <v>459</v>
      </c>
      <c r="I209" s="739"/>
      <c r="J209" s="735" t="s">
        <v>2788</v>
      </c>
      <c r="K209" s="627"/>
      <c r="L209" s="727"/>
      <c r="M209" s="728"/>
      <c r="N209" s="737" t="s">
        <v>2711</v>
      </c>
      <c r="O209" s="737" t="s">
        <v>2891</v>
      </c>
      <c r="P209" s="626" t="s">
        <v>2108</v>
      </c>
      <c r="Q209" s="732"/>
    </row>
    <row r="210" spans="2:19" s="723" customFormat="1" ht="12" customHeight="1">
      <c r="B210" s="626" t="s">
        <v>1784</v>
      </c>
      <c r="C210" s="626" t="s">
        <v>3268</v>
      </c>
      <c r="D210" s="626" t="s">
        <v>1632</v>
      </c>
      <c r="E210" s="731" t="s">
        <v>3269</v>
      </c>
      <c r="F210" s="731" t="s">
        <v>3411</v>
      </c>
      <c r="G210" s="732" t="s">
        <v>803</v>
      </c>
      <c r="H210" s="733" t="s">
        <v>458</v>
      </c>
      <c r="I210" s="734"/>
      <c r="J210" s="735" t="s">
        <v>2790</v>
      </c>
      <c r="K210" s="627"/>
      <c r="L210" s="727"/>
      <c r="M210" s="728"/>
      <c r="N210" s="737" t="s">
        <v>2791</v>
      </c>
      <c r="O210" s="737" t="s">
        <v>360</v>
      </c>
      <c r="P210" s="626" t="s">
        <v>2109</v>
      </c>
      <c r="Q210" s="732"/>
    </row>
    <row r="211" spans="2:19" s="723" customFormat="1" ht="12" customHeight="1">
      <c r="B211" s="626" t="s">
        <v>1785</v>
      </c>
      <c r="C211" s="626" t="s">
        <v>3270</v>
      </c>
      <c r="D211" s="626" t="s">
        <v>1632</v>
      </c>
      <c r="E211" s="731" t="s">
        <v>3315</v>
      </c>
      <c r="F211" s="731" t="s">
        <v>3411</v>
      </c>
      <c r="G211" s="732" t="s">
        <v>804</v>
      </c>
      <c r="H211" s="733" t="s">
        <v>458</v>
      </c>
      <c r="I211" s="734"/>
      <c r="J211" s="735" t="s">
        <v>2821</v>
      </c>
      <c r="K211" s="627"/>
      <c r="L211" s="727"/>
      <c r="M211" s="728"/>
      <c r="N211" s="737" t="s">
        <v>2822</v>
      </c>
      <c r="O211" s="737" t="s">
        <v>808</v>
      </c>
      <c r="P211" s="626" t="s">
        <v>2110</v>
      </c>
      <c r="Q211" s="732"/>
    </row>
    <row r="212" spans="2:19" s="723" customFormat="1" ht="12" customHeight="1">
      <c r="B212" s="626" t="s">
        <v>1786</v>
      </c>
      <c r="C212" s="626" t="s">
        <v>3316</v>
      </c>
      <c r="D212" s="626" t="s">
        <v>1769</v>
      </c>
      <c r="E212" s="738" t="s">
        <v>1153</v>
      </c>
      <c r="F212" s="738" t="s">
        <v>3412</v>
      </c>
      <c r="G212" s="732" t="s">
        <v>3395</v>
      </c>
      <c r="H212" s="733" t="s">
        <v>459</v>
      </c>
      <c r="I212" s="739"/>
      <c r="J212" s="735" t="s">
        <v>2823</v>
      </c>
      <c r="K212" s="627"/>
      <c r="L212" s="727"/>
      <c r="M212" s="728"/>
      <c r="N212" s="737" t="s">
        <v>2824</v>
      </c>
      <c r="O212" s="737" t="s">
        <v>2236</v>
      </c>
      <c r="P212" s="626" t="s">
        <v>2111</v>
      </c>
      <c r="Q212" s="732"/>
    </row>
    <row r="213" spans="2:19" s="723" customFormat="1" ht="12" customHeight="1">
      <c r="B213" s="626" t="s">
        <v>1787</v>
      </c>
      <c r="C213" s="626" t="s">
        <v>3317</v>
      </c>
      <c r="D213" s="626" t="s">
        <v>1632</v>
      </c>
      <c r="E213" s="731" t="s">
        <v>3318</v>
      </c>
      <c r="F213" s="731" t="s">
        <v>3411</v>
      </c>
      <c r="G213" s="732" t="s">
        <v>805</v>
      </c>
      <c r="H213" s="733" t="s">
        <v>458</v>
      </c>
      <c r="I213" s="734"/>
      <c r="J213" s="735" t="s">
        <v>2825</v>
      </c>
      <c r="K213" s="627"/>
      <c r="L213" s="727"/>
      <c r="M213" s="728"/>
      <c r="N213" s="737" t="s">
        <v>2826</v>
      </c>
      <c r="O213" s="737" t="s">
        <v>214</v>
      </c>
      <c r="P213" s="626" t="s">
        <v>2112</v>
      </c>
      <c r="Q213" s="732"/>
    </row>
    <row r="214" spans="2:19" s="723" customFormat="1" ht="12" customHeight="1">
      <c r="B214" s="626" t="s">
        <v>1788</v>
      </c>
      <c r="C214" s="626" t="s">
        <v>3319</v>
      </c>
      <c r="D214" s="626" t="s">
        <v>1769</v>
      </c>
      <c r="E214" s="738" t="s">
        <v>1152</v>
      </c>
      <c r="F214" s="738" t="s">
        <v>3412</v>
      </c>
      <c r="G214" s="732" t="s">
        <v>3373</v>
      </c>
      <c r="H214" s="733" t="s">
        <v>459</v>
      </c>
      <c r="I214" s="739"/>
      <c r="J214" s="735" t="s">
        <v>2827</v>
      </c>
      <c r="K214" s="627"/>
      <c r="L214" s="727"/>
      <c r="M214" s="728"/>
      <c r="N214" s="737" t="s">
        <v>2478</v>
      </c>
      <c r="O214" s="737" t="s">
        <v>128</v>
      </c>
      <c r="P214" s="626" t="s">
        <v>2113</v>
      </c>
      <c r="Q214" s="732"/>
    </row>
    <row r="215" spans="2:19" s="723" customFormat="1" ht="12" customHeight="1">
      <c r="B215" s="626" t="s">
        <v>1789</v>
      </c>
      <c r="C215" s="626" t="s">
        <v>3320</v>
      </c>
      <c r="D215" s="626" t="s">
        <v>1769</v>
      </c>
      <c r="E215" s="738" t="s">
        <v>1754</v>
      </c>
      <c r="F215" s="738" t="s">
        <v>3412</v>
      </c>
      <c r="G215" s="732" t="s">
        <v>3376</v>
      </c>
      <c r="H215" s="733" t="s">
        <v>459</v>
      </c>
      <c r="I215" s="739"/>
      <c r="J215" s="735" t="s">
        <v>3336</v>
      </c>
      <c r="K215" s="627"/>
      <c r="L215" s="727"/>
      <c r="M215" s="728"/>
      <c r="N215" s="737" t="s">
        <v>3337</v>
      </c>
      <c r="O215" s="737" t="s">
        <v>180</v>
      </c>
      <c r="P215" s="626" t="s">
        <v>2114</v>
      </c>
      <c r="Q215" s="732"/>
    </row>
    <row r="216" spans="2:19" s="723" customFormat="1" ht="12" customHeight="1">
      <c r="B216" s="626" t="s">
        <v>1790</v>
      </c>
      <c r="C216" s="626" t="s">
        <v>3321</v>
      </c>
      <c r="D216" s="626" t="s">
        <v>1632</v>
      </c>
      <c r="E216" s="731" t="s">
        <v>211</v>
      </c>
      <c r="F216" s="731" t="s">
        <v>3411</v>
      </c>
      <c r="G216" s="732" t="s">
        <v>806</v>
      </c>
      <c r="H216" s="733" t="s">
        <v>458</v>
      </c>
      <c r="I216" s="734"/>
      <c r="J216" s="735" t="s">
        <v>1406</v>
      </c>
      <c r="K216" s="627"/>
      <c r="L216" s="727"/>
      <c r="M216" s="728"/>
      <c r="N216" s="737" t="s">
        <v>1407</v>
      </c>
      <c r="O216" s="737" t="s">
        <v>550</v>
      </c>
      <c r="P216" s="626" t="s">
        <v>2115</v>
      </c>
      <c r="Q216" s="732"/>
    </row>
    <row r="217" spans="2:19" s="723" customFormat="1" ht="12" customHeight="1">
      <c r="B217" s="626" t="s">
        <v>1791</v>
      </c>
      <c r="C217" s="626" t="s">
        <v>212</v>
      </c>
      <c r="D217" s="626" t="s">
        <v>1745</v>
      </c>
      <c r="E217" s="738" t="s">
        <v>1978</v>
      </c>
      <c r="F217" s="738" t="s">
        <v>3412</v>
      </c>
      <c r="G217" s="732" t="s">
        <v>2370</v>
      </c>
      <c r="H217" s="733" t="s">
        <v>459</v>
      </c>
      <c r="I217" s="739"/>
      <c r="J217" s="735" t="s">
        <v>2714</v>
      </c>
      <c r="K217" s="627"/>
      <c r="L217" s="727"/>
      <c r="M217" s="728"/>
      <c r="N217" s="737" t="s">
        <v>1748</v>
      </c>
      <c r="O217" s="737" t="s">
        <v>360</v>
      </c>
      <c r="P217" s="626" t="s">
        <v>2116</v>
      </c>
      <c r="Q217" s="732"/>
    </row>
    <row r="218" spans="2:19" s="723" customFormat="1" ht="12" customHeight="1">
      <c r="B218" s="626" t="s">
        <v>1792</v>
      </c>
      <c r="C218" s="626" t="s">
        <v>213</v>
      </c>
      <c r="D218" s="626" t="s">
        <v>1745</v>
      </c>
      <c r="E218" s="738" t="s">
        <v>1152</v>
      </c>
      <c r="F218" s="738" t="s">
        <v>3412</v>
      </c>
      <c r="G218" s="732" t="s">
        <v>3373</v>
      </c>
      <c r="H218" s="733" t="s">
        <v>459</v>
      </c>
      <c r="I218" s="739"/>
      <c r="J218" s="735" t="s">
        <v>16</v>
      </c>
      <c r="K218" s="627"/>
      <c r="L218" s="727"/>
      <c r="M218" s="728"/>
      <c r="N218" s="737" t="s">
        <v>17</v>
      </c>
      <c r="O218" s="737" t="s">
        <v>2347</v>
      </c>
      <c r="P218" s="626" t="s">
        <v>2117</v>
      </c>
      <c r="Q218" s="732"/>
    </row>
    <row r="219" spans="2:19" s="723" customFormat="1" ht="12" customHeight="1">
      <c r="B219" s="626" t="s">
        <v>1793</v>
      </c>
      <c r="C219" s="626" t="s">
        <v>214</v>
      </c>
      <c r="D219" s="626" t="s">
        <v>1632</v>
      </c>
      <c r="E219" s="731" t="s">
        <v>215</v>
      </c>
      <c r="F219" s="731" t="s">
        <v>3411</v>
      </c>
      <c r="G219" s="732" t="s">
        <v>807</v>
      </c>
      <c r="H219" s="733" t="s">
        <v>458</v>
      </c>
      <c r="I219" s="734"/>
      <c r="J219" s="735" t="s">
        <v>2962</v>
      </c>
      <c r="K219" s="627"/>
      <c r="L219" s="727"/>
      <c r="M219" s="728"/>
      <c r="N219" s="737" t="s">
        <v>2963</v>
      </c>
      <c r="O219" s="737" t="s">
        <v>1631</v>
      </c>
      <c r="P219" s="626" t="s">
        <v>2118</v>
      </c>
      <c r="Q219" s="732"/>
    </row>
    <row r="220" spans="2:19" s="723" customFormat="1" ht="12" customHeight="1">
      <c r="B220" s="626" t="s">
        <v>1794</v>
      </c>
      <c r="C220" s="626" t="s">
        <v>216</v>
      </c>
      <c r="D220" s="626" t="s">
        <v>1769</v>
      </c>
      <c r="E220" s="738" t="s">
        <v>1152</v>
      </c>
      <c r="F220" s="738" t="s">
        <v>3412</v>
      </c>
      <c r="G220" s="732" t="s">
        <v>3373</v>
      </c>
      <c r="H220" s="733" t="s">
        <v>459</v>
      </c>
      <c r="I220" s="739"/>
      <c r="J220" s="735" t="s">
        <v>2964</v>
      </c>
      <c r="K220" s="627"/>
      <c r="L220" s="727"/>
      <c r="M220" s="728"/>
      <c r="N220" s="737" t="s">
        <v>2965</v>
      </c>
      <c r="O220" s="737" t="s">
        <v>2971</v>
      </c>
      <c r="P220" s="626" t="s">
        <v>2119</v>
      </c>
      <c r="Q220" s="732"/>
    </row>
    <row r="221" spans="2:19" s="723" customFormat="1" ht="12" customHeight="1">
      <c r="B221" s="626" t="s">
        <v>1795</v>
      </c>
      <c r="C221" s="626" t="s">
        <v>217</v>
      </c>
      <c r="D221" s="626" t="s">
        <v>1632</v>
      </c>
      <c r="E221" s="731" t="s">
        <v>1349</v>
      </c>
      <c r="F221" s="731" t="s">
        <v>3411</v>
      </c>
      <c r="G221" s="732" t="s">
        <v>2669</v>
      </c>
      <c r="H221" s="733" t="s">
        <v>458</v>
      </c>
      <c r="I221" s="734"/>
      <c r="J221" s="735" t="s">
        <v>2966</v>
      </c>
      <c r="K221" s="627"/>
      <c r="L221" s="727"/>
      <c r="M221" s="728"/>
      <c r="N221" s="626" t="s">
        <v>3358</v>
      </c>
      <c r="O221" s="626" t="s">
        <v>808</v>
      </c>
      <c r="P221" s="1382" t="s">
        <v>2856</v>
      </c>
      <c r="Q221" s="732"/>
      <c r="R221" s="626"/>
      <c r="S221" s="626"/>
    </row>
    <row r="222" spans="2:19" s="723" customFormat="1" ht="12" customHeight="1">
      <c r="B222" s="626" t="s">
        <v>1796</v>
      </c>
      <c r="C222" s="626" t="s">
        <v>1350</v>
      </c>
      <c r="D222" s="626" t="s">
        <v>1632</v>
      </c>
      <c r="E222" s="731" t="s">
        <v>1351</v>
      </c>
      <c r="F222" s="731" t="s">
        <v>3411</v>
      </c>
      <c r="G222" s="732" t="s">
        <v>2670</v>
      </c>
      <c r="H222" s="733" t="s">
        <v>458</v>
      </c>
      <c r="I222" s="734"/>
      <c r="J222" s="735" t="s">
        <v>2996</v>
      </c>
      <c r="K222" s="627"/>
      <c r="L222" s="727"/>
      <c r="M222" s="728"/>
      <c r="N222" s="737" t="s">
        <v>2967</v>
      </c>
      <c r="O222" s="737" t="s">
        <v>127</v>
      </c>
      <c r="P222" s="626" t="s">
        <v>2120</v>
      </c>
      <c r="Q222" s="732"/>
      <c r="R222" s="626"/>
      <c r="S222" s="626"/>
    </row>
    <row r="223" spans="2:19" s="723" customFormat="1" ht="12" customHeight="1">
      <c r="B223" s="626" t="s">
        <v>1797</v>
      </c>
      <c r="C223" s="626" t="s">
        <v>1352</v>
      </c>
      <c r="D223" s="626" t="s">
        <v>1632</v>
      </c>
      <c r="E223" s="738" t="s">
        <v>2477</v>
      </c>
      <c r="F223" s="738" t="s">
        <v>3412</v>
      </c>
      <c r="G223" s="732" t="s">
        <v>1575</v>
      </c>
      <c r="H223" s="733" t="s">
        <v>459</v>
      </c>
      <c r="I223" s="739"/>
      <c r="J223" s="735" t="s">
        <v>2468</v>
      </c>
      <c r="K223" s="627"/>
      <c r="L223" s="727"/>
      <c r="M223" s="728"/>
      <c r="N223" s="737" t="s">
        <v>2443</v>
      </c>
      <c r="O223" s="737" t="s">
        <v>3270</v>
      </c>
      <c r="P223" s="626" t="s">
        <v>2121</v>
      </c>
      <c r="Q223" s="732"/>
      <c r="R223" s="626"/>
      <c r="S223" s="626"/>
    </row>
    <row r="224" spans="2:19" s="723" customFormat="1" ht="12" customHeight="1">
      <c r="B224" s="626" t="s">
        <v>1798</v>
      </c>
      <c r="C224" s="626" t="s">
        <v>1268</v>
      </c>
      <c r="D224" s="626" t="s">
        <v>1769</v>
      </c>
      <c r="E224" s="738" t="s">
        <v>1152</v>
      </c>
      <c r="F224" s="738" t="s">
        <v>3412</v>
      </c>
      <c r="G224" s="732" t="s">
        <v>3373</v>
      </c>
      <c r="H224" s="733" t="s">
        <v>459</v>
      </c>
      <c r="I224" s="739"/>
      <c r="J224" s="735" t="s">
        <v>2470</v>
      </c>
      <c r="K224" s="627"/>
      <c r="L224" s="727"/>
      <c r="M224" s="728"/>
      <c r="N224" s="737" t="s">
        <v>2469</v>
      </c>
      <c r="O224" s="737" t="s">
        <v>1747</v>
      </c>
      <c r="P224" s="626" t="s">
        <v>2122</v>
      </c>
      <c r="Q224" s="732"/>
      <c r="R224" s="626"/>
      <c r="S224" s="626"/>
    </row>
    <row r="225" spans="2:17" s="723" customFormat="1" ht="12" customHeight="1">
      <c r="B225" s="626" t="s">
        <v>1799</v>
      </c>
      <c r="C225" s="626" t="s">
        <v>1269</v>
      </c>
      <c r="D225" s="626" t="s">
        <v>1632</v>
      </c>
      <c r="E225" s="731" t="s">
        <v>1270</v>
      </c>
      <c r="F225" s="731" t="s">
        <v>3411</v>
      </c>
      <c r="G225" s="732" t="s">
        <v>2671</v>
      </c>
      <c r="H225" s="733" t="s">
        <v>458</v>
      </c>
      <c r="I225" s="734"/>
      <c r="J225" s="735" t="s">
        <v>2875</v>
      </c>
      <c r="K225" s="627"/>
      <c r="L225" s="727"/>
      <c r="M225" s="728"/>
      <c r="N225" s="737" t="s">
        <v>2471</v>
      </c>
      <c r="O225" s="737" t="s">
        <v>2720</v>
      </c>
      <c r="P225" s="626" t="s">
        <v>2123</v>
      </c>
    </row>
    <row r="226" spans="2:17" s="723" customFormat="1" ht="12" customHeight="1">
      <c r="B226" s="626" t="s">
        <v>1800</v>
      </c>
      <c r="C226" s="626" t="s">
        <v>1271</v>
      </c>
      <c r="D226" s="626" t="s">
        <v>1632</v>
      </c>
      <c r="E226" s="731" t="s">
        <v>2386</v>
      </c>
      <c r="F226" s="731" t="s">
        <v>3412</v>
      </c>
      <c r="G226" s="732" t="s">
        <v>3379</v>
      </c>
      <c r="H226" s="733" t="s">
        <v>459</v>
      </c>
      <c r="I226" s="734"/>
      <c r="J226" s="735" t="s">
        <v>2876</v>
      </c>
      <c r="K226" s="627"/>
      <c r="L226" s="727"/>
      <c r="M226" s="728"/>
      <c r="N226" s="737" t="s">
        <v>1219</v>
      </c>
      <c r="O226" s="737" t="s">
        <v>3385</v>
      </c>
      <c r="P226" s="1381" t="s">
        <v>1218</v>
      </c>
    </row>
    <row r="227" spans="2:17" s="723" customFormat="1" ht="12" customHeight="1">
      <c r="B227" s="626" t="s">
        <v>1801</v>
      </c>
      <c r="C227" s="626" t="s">
        <v>1272</v>
      </c>
      <c r="D227" s="626" t="s">
        <v>1632</v>
      </c>
      <c r="E227" s="738" t="s">
        <v>1760</v>
      </c>
      <c r="F227" s="738" t="s">
        <v>3412</v>
      </c>
      <c r="G227" s="732" t="s">
        <v>1909</v>
      </c>
      <c r="H227" s="733" t="s">
        <v>459</v>
      </c>
      <c r="I227" s="739"/>
      <c r="J227" s="735" t="s">
        <v>3210</v>
      </c>
      <c r="K227" s="736"/>
      <c r="L227" s="727"/>
      <c r="M227" s="728"/>
      <c r="N227" s="737" t="s">
        <v>2877</v>
      </c>
      <c r="O227" s="737" t="s">
        <v>3387</v>
      </c>
      <c r="P227" s="626" t="s">
        <v>2124</v>
      </c>
      <c r="Q227" s="732"/>
    </row>
    <row r="228" spans="2:17" s="723" customFormat="1" ht="12" customHeight="1">
      <c r="B228" s="740"/>
      <c r="C228" s="626" t="s">
        <v>1273</v>
      </c>
      <c r="D228" s="626" t="s">
        <v>1769</v>
      </c>
      <c r="E228" s="731" t="s">
        <v>1274</v>
      </c>
      <c r="F228" s="731" t="s">
        <v>3411</v>
      </c>
      <c r="G228" s="732" t="s">
        <v>1770</v>
      </c>
      <c r="H228" s="733" t="s">
        <v>458</v>
      </c>
      <c r="I228" s="734"/>
      <c r="J228" s="735" t="s">
        <v>3212</v>
      </c>
      <c r="K228" s="736"/>
      <c r="L228" s="727"/>
      <c r="M228" s="728"/>
      <c r="N228" s="737" t="s">
        <v>3211</v>
      </c>
      <c r="O228" s="737" t="s">
        <v>1502</v>
      </c>
      <c r="P228" s="626" t="s">
        <v>2125</v>
      </c>
      <c r="Q228" s="732"/>
    </row>
    <row r="229" spans="2:17" s="723" customFormat="1" ht="12" customHeight="1">
      <c r="B229" s="740"/>
      <c r="C229" s="626" t="s">
        <v>2969</v>
      </c>
      <c r="D229" s="626" t="s">
        <v>1632</v>
      </c>
      <c r="E229" s="731" t="s">
        <v>2970</v>
      </c>
      <c r="F229" s="731" t="s">
        <v>3411</v>
      </c>
      <c r="G229" s="732" t="s">
        <v>1771</v>
      </c>
      <c r="H229" s="733" t="s">
        <v>458</v>
      </c>
      <c r="I229" s="734"/>
      <c r="J229" s="735" t="s">
        <v>3214</v>
      </c>
      <c r="K229" s="736"/>
      <c r="L229" s="727"/>
      <c r="M229" s="728"/>
      <c r="N229" s="626" t="s">
        <v>3359</v>
      </c>
      <c r="O229" s="626" t="s">
        <v>351</v>
      </c>
      <c r="P229" s="1382" t="s">
        <v>2856</v>
      </c>
      <c r="Q229" s="732"/>
    </row>
    <row r="230" spans="2:17" s="723" customFormat="1" ht="12" customHeight="1">
      <c r="B230" s="740"/>
      <c r="C230" s="626" t="s">
        <v>2971</v>
      </c>
      <c r="D230" s="626" t="s">
        <v>1632</v>
      </c>
      <c r="E230" s="731" t="s">
        <v>840</v>
      </c>
      <c r="F230" s="731" t="s">
        <v>3411</v>
      </c>
      <c r="G230" s="732" t="s">
        <v>1772</v>
      </c>
      <c r="H230" s="733" t="s">
        <v>458</v>
      </c>
      <c r="I230" s="734"/>
      <c r="J230" s="735" t="s">
        <v>3216</v>
      </c>
      <c r="K230" s="736"/>
      <c r="L230" s="727"/>
      <c r="M230" s="728"/>
      <c r="N230" s="737" t="s">
        <v>3213</v>
      </c>
      <c r="O230" s="737" t="s">
        <v>2629</v>
      </c>
      <c r="P230" s="626" t="s">
        <v>2126</v>
      </c>
      <c r="Q230" s="732"/>
    </row>
    <row r="231" spans="2:17" s="723" customFormat="1" ht="12" customHeight="1">
      <c r="B231" s="740"/>
      <c r="C231" s="626" t="s">
        <v>841</v>
      </c>
      <c r="D231" s="626" t="s">
        <v>1745</v>
      </c>
      <c r="E231" s="731" t="s">
        <v>842</v>
      </c>
      <c r="F231" s="731" t="s">
        <v>3411</v>
      </c>
      <c r="G231" s="732" t="s">
        <v>1773</v>
      </c>
      <c r="H231" s="733" t="s">
        <v>458</v>
      </c>
      <c r="I231" s="734"/>
      <c r="J231" s="735" t="s">
        <v>3217</v>
      </c>
      <c r="K231" s="736"/>
      <c r="L231" s="727"/>
      <c r="M231" s="728"/>
      <c r="N231" s="737" t="s">
        <v>3215</v>
      </c>
      <c r="O231" s="737" t="s">
        <v>1269</v>
      </c>
      <c r="P231" s="626" t="s">
        <v>2127</v>
      </c>
      <c r="Q231" s="732"/>
    </row>
    <row r="232" spans="2:17" s="723" customFormat="1" ht="12" customHeight="1">
      <c r="B232" s="740"/>
      <c r="C232" s="626" t="s">
        <v>843</v>
      </c>
      <c r="D232" s="626" t="s">
        <v>1769</v>
      </c>
      <c r="E232" s="738" t="s">
        <v>1152</v>
      </c>
      <c r="F232" s="738" t="s">
        <v>3412</v>
      </c>
      <c r="G232" s="732" t="s">
        <v>3373</v>
      </c>
      <c r="H232" s="733" t="s">
        <v>459</v>
      </c>
      <c r="I232" s="739"/>
      <c r="J232" s="735" t="s">
        <v>2954</v>
      </c>
      <c r="K232" s="736"/>
      <c r="L232" s="727"/>
      <c r="M232" s="728"/>
      <c r="N232" s="737" t="s">
        <v>3218</v>
      </c>
      <c r="O232" s="737" t="s">
        <v>175</v>
      </c>
      <c r="P232" s="626" t="s">
        <v>2128</v>
      </c>
      <c r="Q232" s="732"/>
    </row>
    <row r="233" spans="2:17" s="723" customFormat="1" ht="12" customHeight="1">
      <c r="B233" s="740"/>
      <c r="C233" s="626" t="s">
        <v>844</v>
      </c>
      <c r="D233" s="626" t="s">
        <v>1745</v>
      </c>
      <c r="E233" s="738" t="s">
        <v>2995</v>
      </c>
      <c r="F233" s="738" t="s">
        <v>3412</v>
      </c>
      <c r="G233" s="732" t="s">
        <v>1774</v>
      </c>
      <c r="H233" s="733" t="s">
        <v>459</v>
      </c>
      <c r="I233" s="739"/>
      <c r="J233" s="735" t="s">
        <v>897</v>
      </c>
      <c r="K233" s="736"/>
      <c r="L233" s="727"/>
      <c r="M233" s="728"/>
      <c r="N233" s="737" t="s">
        <v>2955</v>
      </c>
      <c r="O233" s="737" t="s">
        <v>841</v>
      </c>
      <c r="P233" s="626" t="s">
        <v>2129</v>
      </c>
      <c r="Q233" s="732"/>
    </row>
    <row r="234" spans="2:17" s="723" customFormat="1" ht="12" customHeight="1">
      <c r="B234" s="740"/>
      <c r="C234" s="626" t="s">
        <v>845</v>
      </c>
      <c r="D234" s="626" t="s">
        <v>1745</v>
      </c>
      <c r="E234" s="738" t="s">
        <v>1152</v>
      </c>
      <c r="F234" s="738" t="s">
        <v>3412</v>
      </c>
      <c r="G234" s="732" t="s">
        <v>3373</v>
      </c>
      <c r="H234" s="733" t="s">
        <v>459</v>
      </c>
      <c r="I234" s="739"/>
      <c r="J234" s="735" t="s">
        <v>899</v>
      </c>
      <c r="K234" s="736"/>
      <c r="L234" s="727"/>
      <c r="M234" s="728"/>
      <c r="N234" s="737" t="s">
        <v>898</v>
      </c>
      <c r="O234" s="737" t="s">
        <v>3262</v>
      </c>
      <c r="P234" s="626" t="s">
        <v>2130</v>
      </c>
      <c r="Q234" s="732"/>
    </row>
    <row r="235" spans="2:17" s="723" customFormat="1" ht="12" customHeight="1">
      <c r="B235" s="740"/>
      <c r="C235" s="626" t="s">
        <v>846</v>
      </c>
      <c r="D235" s="626" t="s">
        <v>1745</v>
      </c>
      <c r="E235" s="738" t="s">
        <v>847</v>
      </c>
      <c r="F235" s="738" t="s">
        <v>3411</v>
      </c>
      <c r="G235" s="732" t="s">
        <v>1775</v>
      </c>
      <c r="H235" s="733" t="s">
        <v>458</v>
      </c>
      <c r="I235" s="739"/>
      <c r="J235" s="735" t="s">
        <v>901</v>
      </c>
      <c r="K235" s="736"/>
      <c r="L235" s="727"/>
      <c r="M235" s="728"/>
      <c r="N235" s="737" t="s">
        <v>900</v>
      </c>
      <c r="O235" s="737" t="s">
        <v>1517</v>
      </c>
      <c r="P235" s="626" t="s">
        <v>2131</v>
      </c>
      <c r="Q235" s="732"/>
    </row>
    <row r="236" spans="2:17" s="723" customFormat="1" ht="12" customHeight="1">
      <c r="B236" s="740"/>
      <c r="C236" s="626" t="s">
        <v>1627</v>
      </c>
      <c r="D236" s="626" t="s">
        <v>1769</v>
      </c>
      <c r="E236" s="738" t="s">
        <v>1152</v>
      </c>
      <c r="F236" s="738" t="s">
        <v>3412</v>
      </c>
      <c r="G236" s="732" t="s">
        <v>3373</v>
      </c>
      <c r="H236" s="733" t="s">
        <v>459</v>
      </c>
      <c r="I236" s="739"/>
      <c r="J236" s="735" t="s">
        <v>903</v>
      </c>
      <c r="K236" s="736"/>
      <c r="L236" s="727"/>
      <c r="M236" s="728"/>
      <c r="N236" s="737" t="s">
        <v>902</v>
      </c>
      <c r="O236" s="737" t="s">
        <v>3387</v>
      </c>
      <c r="P236" s="626" t="s">
        <v>2132</v>
      </c>
      <c r="Q236" s="732"/>
    </row>
    <row r="237" spans="2:17" s="723" customFormat="1" ht="12" customHeight="1">
      <c r="B237" s="740"/>
      <c r="C237" s="626" t="s">
        <v>848</v>
      </c>
      <c r="D237" s="626" t="s">
        <v>1745</v>
      </c>
      <c r="E237" s="731" t="s">
        <v>849</v>
      </c>
      <c r="F237" s="731" t="s">
        <v>3411</v>
      </c>
      <c r="G237" s="732" t="s">
        <v>262</v>
      </c>
      <c r="H237" s="733" t="s">
        <v>458</v>
      </c>
      <c r="I237" s="734"/>
      <c r="J237" s="735" t="s">
        <v>2945</v>
      </c>
      <c r="K237" s="736"/>
      <c r="L237" s="727"/>
      <c r="M237" s="728"/>
      <c r="N237" s="626" t="s">
        <v>3360</v>
      </c>
      <c r="O237" s="626" t="s">
        <v>3264</v>
      </c>
      <c r="P237" s="1382" t="s">
        <v>2856</v>
      </c>
      <c r="Q237" s="732"/>
    </row>
    <row r="238" spans="2:17" s="723" customFormat="1" ht="12" customHeight="1">
      <c r="B238" s="740"/>
      <c r="C238" s="626" t="s">
        <v>850</v>
      </c>
      <c r="D238" s="626" t="s">
        <v>1769</v>
      </c>
      <c r="E238" s="738" t="s">
        <v>851</v>
      </c>
      <c r="F238" s="738" t="s">
        <v>3411</v>
      </c>
      <c r="G238" s="732" t="s">
        <v>263</v>
      </c>
      <c r="H238" s="733" t="s">
        <v>458</v>
      </c>
      <c r="I238" s="739"/>
      <c r="J238" s="735" t="s">
        <v>2946</v>
      </c>
      <c r="K238" s="736"/>
      <c r="L238" s="727"/>
      <c r="M238" s="728"/>
      <c r="N238" s="737" t="s">
        <v>2947</v>
      </c>
      <c r="O238" s="737" t="s">
        <v>2347</v>
      </c>
      <c r="P238" s="626" t="s">
        <v>2133</v>
      </c>
      <c r="Q238" s="732"/>
    </row>
    <row r="239" spans="2:17" s="723" customFormat="1" ht="12" customHeight="1">
      <c r="B239" s="740"/>
      <c r="C239" s="626" t="s">
        <v>852</v>
      </c>
      <c r="D239" s="626" t="s">
        <v>1632</v>
      </c>
      <c r="E239" s="731" t="s">
        <v>12</v>
      </c>
      <c r="F239" s="731" t="s">
        <v>3412</v>
      </c>
      <c r="G239" s="732" t="s">
        <v>3378</v>
      </c>
      <c r="H239" s="733" t="s">
        <v>459</v>
      </c>
      <c r="I239" s="734"/>
      <c r="J239" s="735" t="s">
        <v>2948</v>
      </c>
      <c r="K239" s="736"/>
      <c r="L239" s="727"/>
      <c r="M239" s="728"/>
      <c r="N239" s="737" t="s">
        <v>2949</v>
      </c>
      <c r="O239" s="737" t="s">
        <v>3381</v>
      </c>
      <c r="P239" s="626" t="s">
        <v>2134</v>
      </c>
      <c r="Q239" s="732"/>
    </row>
    <row r="240" spans="2:17" s="723" customFormat="1" ht="12" customHeight="1">
      <c r="B240" s="740"/>
      <c r="C240" s="626" t="s">
        <v>853</v>
      </c>
      <c r="D240" s="626" t="s">
        <v>1745</v>
      </c>
      <c r="E240" s="731" t="s">
        <v>854</v>
      </c>
      <c r="F240" s="731" t="s">
        <v>3411</v>
      </c>
      <c r="G240" s="732" t="s">
        <v>264</v>
      </c>
      <c r="H240" s="733" t="s">
        <v>458</v>
      </c>
      <c r="I240" s="734"/>
      <c r="J240" s="735" t="s">
        <v>870</v>
      </c>
      <c r="K240" s="736"/>
      <c r="L240" s="727"/>
      <c r="M240" s="728"/>
      <c r="N240" s="737" t="s">
        <v>871</v>
      </c>
      <c r="O240" s="737" t="s">
        <v>1038</v>
      </c>
      <c r="P240" s="626" t="s">
        <v>2135</v>
      </c>
      <c r="Q240" s="732"/>
    </row>
    <row r="241" spans="2:17" s="723" customFormat="1" ht="12" customHeight="1">
      <c r="B241" s="740"/>
      <c r="C241" s="626" t="s">
        <v>855</v>
      </c>
      <c r="D241" s="626" t="s">
        <v>1632</v>
      </c>
      <c r="E241" s="731" t="s">
        <v>856</v>
      </c>
      <c r="F241" s="731" t="s">
        <v>3411</v>
      </c>
      <c r="G241" s="732" t="s">
        <v>438</v>
      </c>
      <c r="H241" s="733" t="s">
        <v>458</v>
      </c>
      <c r="I241" s="734"/>
      <c r="J241" s="735" t="s">
        <v>1182</v>
      </c>
      <c r="K241" s="736"/>
      <c r="L241" s="727"/>
      <c r="M241" s="728"/>
      <c r="N241" s="737" t="s">
        <v>2997</v>
      </c>
      <c r="O241" s="737" t="s">
        <v>348</v>
      </c>
      <c r="P241" s="626" t="s">
        <v>2136</v>
      </c>
      <c r="Q241" s="732"/>
    </row>
    <row r="242" spans="2:17" s="723" customFormat="1" ht="12" customHeight="1">
      <c r="B242" s="740"/>
      <c r="C242" s="626" t="s">
        <v>857</v>
      </c>
      <c r="D242" s="626" t="s">
        <v>1769</v>
      </c>
      <c r="E242" s="731" t="s">
        <v>858</v>
      </c>
      <c r="F242" s="731" t="s">
        <v>3411</v>
      </c>
      <c r="G242" s="732" t="s">
        <v>439</v>
      </c>
      <c r="H242" s="733" t="s">
        <v>458</v>
      </c>
      <c r="I242" s="734"/>
      <c r="J242" s="735" t="s">
        <v>2998</v>
      </c>
      <c r="K242" s="736"/>
      <c r="L242" s="727"/>
      <c r="M242" s="728"/>
      <c r="N242" s="737" t="s">
        <v>3062</v>
      </c>
      <c r="O242" s="737" t="s">
        <v>1273</v>
      </c>
      <c r="P242" s="626" t="s">
        <v>2137</v>
      </c>
      <c r="Q242" s="732"/>
    </row>
    <row r="243" spans="2:17" s="723" customFormat="1" ht="12" customHeight="1">
      <c r="B243" s="740"/>
      <c r="C243" s="626" t="s">
        <v>127</v>
      </c>
      <c r="D243" s="626" t="s">
        <v>1769</v>
      </c>
      <c r="E243" s="738" t="s">
        <v>1152</v>
      </c>
      <c r="F243" s="738" t="s">
        <v>3412</v>
      </c>
      <c r="G243" s="732" t="s">
        <v>3373</v>
      </c>
      <c r="H243" s="733" t="s">
        <v>459</v>
      </c>
      <c r="I243" s="739"/>
      <c r="J243" s="735" t="s">
        <v>3028</v>
      </c>
      <c r="K243" s="736"/>
      <c r="L243" s="727"/>
      <c r="M243" s="728"/>
      <c r="N243" s="737" t="s">
        <v>50</v>
      </c>
      <c r="O243" s="737" t="s">
        <v>355</v>
      </c>
      <c r="P243" s="626" t="s">
        <v>2138</v>
      </c>
      <c r="Q243" s="732"/>
    </row>
    <row r="244" spans="2:17" s="723" customFormat="1" ht="12" customHeight="1">
      <c r="B244" s="740"/>
      <c r="C244" s="626" t="s">
        <v>128</v>
      </c>
      <c r="D244" s="626" t="s">
        <v>1745</v>
      </c>
      <c r="E244" s="731" t="s">
        <v>129</v>
      </c>
      <c r="F244" s="731" t="s">
        <v>3411</v>
      </c>
      <c r="G244" s="732" t="s">
        <v>440</v>
      </c>
      <c r="H244" s="733" t="s">
        <v>458</v>
      </c>
      <c r="I244" s="734"/>
      <c r="J244" s="735" t="s">
        <v>49</v>
      </c>
      <c r="K244" s="736"/>
      <c r="L244" s="727"/>
      <c r="M244" s="728"/>
      <c r="N244" s="737" t="s">
        <v>814</v>
      </c>
      <c r="O244" s="737" t="s">
        <v>3389</v>
      </c>
      <c r="P244" s="626" t="s">
        <v>2139</v>
      </c>
      <c r="Q244" s="732"/>
    </row>
    <row r="245" spans="2:17" s="723" customFormat="1" ht="12" customHeight="1">
      <c r="B245" s="740"/>
      <c r="C245" s="626" t="s">
        <v>343</v>
      </c>
      <c r="D245" s="626" t="s">
        <v>1745</v>
      </c>
      <c r="E245" s="731" t="s">
        <v>1642</v>
      </c>
      <c r="F245" s="731" t="s">
        <v>3412</v>
      </c>
      <c r="G245" s="732" t="s">
        <v>441</v>
      </c>
      <c r="H245" s="733" t="s">
        <v>459</v>
      </c>
      <c r="I245" s="734"/>
      <c r="J245" s="735" t="s">
        <v>813</v>
      </c>
      <c r="K245" s="736"/>
      <c r="L245" s="727"/>
      <c r="M245" s="728"/>
      <c r="N245" s="737" t="s">
        <v>335</v>
      </c>
      <c r="O245" s="737" t="s">
        <v>346</v>
      </c>
      <c r="P245" s="626" t="s">
        <v>2140</v>
      </c>
      <c r="Q245" s="732"/>
    </row>
    <row r="246" spans="2:17" s="723" customFormat="1" ht="12" customHeight="1">
      <c r="B246" s="740"/>
      <c r="C246" s="627" t="s">
        <v>344</v>
      </c>
      <c r="D246" s="626" t="s">
        <v>1769</v>
      </c>
      <c r="E246" s="731" t="s">
        <v>345</v>
      </c>
      <c r="F246" s="731" t="s">
        <v>3411</v>
      </c>
      <c r="G246" s="732" t="s">
        <v>442</v>
      </c>
      <c r="H246" s="733" t="s">
        <v>458</v>
      </c>
      <c r="I246" s="734"/>
      <c r="J246" s="735" t="s">
        <v>334</v>
      </c>
      <c r="K246" s="736"/>
      <c r="L246" s="727"/>
      <c r="M246" s="728"/>
      <c r="N246" s="737" t="s">
        <v>3124</v>
      </c>
      <c r="O246" s="737" t="s">
        <v>214</v>
      </c>
      <c r="P246" s="626" t="s">
        <v>2141</v>
      </c>
      <c r="Q246" s="732"/>
    </row>
    <row r="247" spans="2:17" s="723" customFormat="1" ht="12" customHeight="1">
      <c r="B247" s="740"/>
      <c r="C247" s="626" t="s">
        <v>346</v>
      </c>
      <c r="D247" s="626" t="s">
        <v>1745</v>
      </c>
      <c r="E247" s="738" t="s">
        <v>1154</v>
      </c>
      <c r="F247" s="738" t="s">
        <v>3412</v>
      </c>
      <c r="G247" s="732" t="s">
        <v>443</v>
      </c>
      <c r="H247" s="733" t="s">
        <v>459</v>
      </c>
      <c r="I247" s="739"/>
      <c r="J247" s="735" t="s">
        <v>3123</v>
      </c>
      <c r="K247" s="736"/>
      <c r="L247" s="727"/>
      <c r="M247" s="728"/>
      <c r="N247" s="737" t="s">
        <v>3152</v>
      </c>
      <c r="O247" s="737" t="s">
        <v>2346</v>
      </c>
      <c r="P247" s="626" t="s">
        <v>2142</v>
      </c>
      <c r="Q247" s="732"/>
    </row>
    <row r="248" spans="2:17" s="723" customFormat="1" ht="12" customHeight="1">
      <c r="B248" s="740"/>
      <c r="C248" s="626" t="s">
        <v>347</v>
      </c>
      <c r="D248" s="626" t="s">
        <v>1769</v>
      </c>
      <c r="E248" s="738" t="s">
        <v>177</v>
      </c>
      <c r="F248" s="738" t="s">
        <v>3412</v>
      </c>
      <c r="G248" s="732" t="s">
        <v>2372</v>
      </c>
      <c r="H248" s="733" t="s">
        <v>459</v>
      </c>
      <c r="I248" s="739"/>
      <c r="J248" s="735" t="s">
        <v>3151</v>
      </c>
      <c r="K248" s="736"/>
      <c r="L248" s="727"/>
      <c r="M248" s="728"/>
      <c r="N248" s="737" t="s">
        <v>809</v>
      </c>
      <c r="O248" s="737" t="s">
        <v>1761</v>
      </c>
      <c r="P248" s="626" t="s">
        <v>2143</v>
      </c>
      <c r="Q248" s="732"/>
    </row>
    <row r="249" spans="2:17" s="723" customFormat="1" ht="12" customHeight="1">
      <c r="B249" s="740"/>
      <c r="C249" s="626" t="s">
        <v>348</v>
      </c>
      <c r="D249" s="626" t="s">
        <v>1769</v>
      </c>
      <c r="E249" s="731" t="s">
        <v>349</v>
      </c>
      <c r="F249" s="731" t="s">
        <v>3411</v>
      </c>
      <c r="G249" s="732" t="s">
        <v>444</v>
      </c>
      <c r="H249" s="733" t="s">
        <v>458</v>
      </c>
      <c r="I249" s="734"/>
      <c r="J249" s="735" t="s">
        <v>3153</v>
      </c>
      <c r="K249" s="736"/>
      <c r="L249" s="727"/>
      <c r="M249" s="728"/>
      <c r="N249" s="737" t="s">
        <v>1758</v>
      </c>
      <c r="O249" s="737" t="s">
        <v>843</v>
      </c>
      <c r="P249" s="626" t="s">
        <v>2144</v>
      </c>
      <c r="Q249" s="732"/>
    </row>
    <row r="250" spans="2:17" s="723" customFormat="1" ht="12" customHeight="1">
      <c r="B250" s="740"/>
      <c r="C250" s="626" t="s">
        <v>350</v>
      </c>
      <c r="D250" s="626" t="s">
        <v>1769</v>
      </c>
      <c r="E250" s="738" t="s">
        <v>1152</v>
      </c>
      <c r="F250" s="738" t="s">
        <v>3412</v>
      </c>
      <c r="G250" s="732" t="s">
        <v>3373</v>
      </c>
      <c r="H250" s="733" t="s">
        <v>459</v>
      </c>
      <c r="I250" s="739"/>
      <c r="J250" s="735" t="s">
        <v>3154</v>
      </c>
      <c r="K250" s="736"/>
      <c r="L250" s="727"/>
      <c r="M250" s="728"/>
      <c r="N250" s="737" t="s">
        <v>3116</v>
      </c>
      <c r="O250" s="737" t="s">
        <v>3268</v>
      </c>
      <c r="P250" s="626" t="s">
        <v>2145</v>
      </c>
      <c r="Q250" s="732"/>
    </row>
    <row r="251" spans="2:17" s="723" customFormat="1" ht="12" customHeight="1">
      <c r="B251" s="740"/>
      <c r="C251" s="626" t="s">
        <v>351</v>
      </c>
      <c r="D251" s="626" t="s">
        <v>1769</v>
      </c>
      <c r="E251" s="738" t="s">
        <v>1152</v>
      </c>
      <c r="F251" s="738" t="s">
        <v>3412</v>
      </c>
      <c r="G251" s="732" t="s">
        <v>3373</v>
      </c>
      <c r="H251" s="733" t="s">
        <v>459</v>
      </c>
      <c r="I251" s="739"/>
      <c r="J251" s="735" t="s">
        <v>3115</v>
      </c>
      <c r="K251" s="736"/>
      <c r="L251" s="727"/>
      <c r="M251" s="728"/>
      <c r="N251" s="737" t="s">
        <v>12</v>
      </c>
      <c r="O251" s="737" t="s">
        <v>852</v>
      </c>
      <c r="P251" s="626" t="s">
        <v>2146</v>
      </c>
      <c r="Q251" s="732"/>
    </row>
    <row r="252" spans="2:17" s="723" customFormat="1" ht="12" customHeight="1">
      <c r="B252" s="740"/>
      <c r="C252" s="626" t="s">
        <v>352</v>
      </c>
      <c r="D252" s="626" t="s">
        <v>1769</v>
      </c>
      <c r="E252" s="738" t="s">
        <v>2399</v>
      </c>
      <c r="F252" s="738" t="s">
        <v>3412</v>
      </c>
      <c r="G252" s="732" t="s">
        <v>445</v>
      </c>
      <c r="H252" s="733" t="s">
        <v>459</v>
      </c>
      <c r="I252" s="739"/>
      <c r="J252" s="735" t="s">
        <v>11</v>
      </c>
      <c r="K252" s="736"/>
      <c r="L252" s="727"/>
      <c r="M252" s="728"/>
      <c r="N252" s="737" t="s">
        <v>14</v>
      </c>
      <c r="O252" s="737" t="s">
        <v>346</v>
      </c>
      <c r="P252" s="627" t="s">
        <v>2147</v>
      </c>
      <c r="Q252" s="732"/>
    </row>
    <row r="253" spans="2:17" s="723" customFormat="1" ht="12" customHeight="1">
      <c r="B253" s="740"/>
      <c r="C253" s="626" t="s">
        <v>353</v>
      </c>
      <c r="D253" s="626" t="s">
        <v>1632</v>
      </c>
      <c r="E253" s="731" t="s">
        <v>354</v>
      </c>
      <c r="F253" s="731" t="s">
        <v>3411</v>
      </c>
      <c r="G253" s="732" t="s">
        <v>833</v>
      </c>
      <c r="H253" s="733" t="s">
        <v>458</v>
      </c>
      <c r="I253" s="734"/>
      <c r="J253" s="735" t="s">
        <v>13</v>
      </c>
      <c r="K253" s="736"/>
      <c r="L253" s="727"/>
      <c r="M253" s="728"/>
      <c r="N253" s="737" t="s">
        <v>61</v>
      </c>
      <c r="O253" s="737" t="s">
        <v>3381</v>
      </c>
      <c r="P253" s="626" t="s">
        <v>2148</v>
      </c>
      <c r="Q253" s="732"/>
    </row>
    <row r="254" spans="2:17" s="723" customFormat="1" ht="12" customHeight="1">
      <c r="B254" s="740"/>
      <c r="C254" s="626" t="s">
        <v>355</v>
      </c>
      <c r="D254" s="626" t="s">
        <v>1769</v>
      </c>
      <c r="E254" s="731" t="s">
        <v>356</v>
      </c>
      <c r="F254" s="731" t="s">
        <v>3411</v>
      </c>
      <c r="G254" s="732" t="s">
        <v>834</v>
      </c>
      <c r="H254" s="733" t="s">
        <v>458</v>
      </c>
      <c r="I254" s="734"/>
      <c r="J254" s="735" t="s">
        <v>60</v>
      </c>
      <c r="K254" s="736"/>
      <c r="L254" s="727"/>
      <c r="M254" s="728"/>
      <c r="N254" s="737" t="s">
        <v>63</v>
      </c>
      <c r="O254" s="737" t="s">
        <v>390</v>
      </c>
      <c r="P254" s="626" t="s">
        <v>2149</v>
      </c>
      <c r="Q254" s="732"/>
    </row>
    <row r="255" spans="2:17" s="723" customFormat="1" ht="12" customHeight="1">
      <c r="B255" s="740"/>
      <c r="C255" s="626" t="s">
        <v>357</v>
      </c>
      <c r="D255" s="626" t="s">
        <v>1769</v>
      </c>
      <c r="E255" s="738" t="s">
        <v>1152</v>
      </c>
      <c r="F255" s="738" t="s">
        <v>3412</v>
      </c>
      <c r="G255" s="732" t="s">
        <v>3373</v>
      </c>
      <c r="H255" s="733" t="s">
        <v>459</v>
      </c>
      <c r="I255" s="739"/>
      <c r="J255" s="735" t="s">
        <v>62</v>
      </c>
      <c r="K255" s="736"/>
      <c r="L255" s="727"/>
      <c r="M255" s="728"/>
      <c r="N255" s="737" t="s">
        <v>65</v>
      </c>
      <c r="O255" s="737" t="s">
        <v>127</v>
      </c>
      <c r="P255" s="626" t="s">
        <v>2150</v>
      </c>
      <c r="Q255" s="732"/>
    </row>
    <row r="256" spans="2:17" s="723" customFormat="1" ht="12" customHeight="1">
      <c r="B256" s="740"/>
      <c r="C256" s="626" t="s">
        <v>358</v>
      </c>
      <c r="D256" s="626" t="s">
        <v>1632</v>
      </c>
      <c r="E256" s="731" t="s">
        <v>359</v>
      </c>
      <c r="F256" s="731" t="s">
        <v>3411</v>
      </c>
      <c r="G256" s="732" t="s">
        <v>835</v>
      </c>
      <c r="H256" s="733" t="s">
        <v>458</v>
      </c>
      <c r="I256" s="734"/>
      <c r="J256" s="735" t="s">
        <v>64</v>
      </c>
      <c r="K256" s="736"/>
      <c r="L256" s="727"/>
      <c r="M256" s="728"/>
      <c r="N256" s="737" t="s">
        <v>385</v>
      </c>
      <c r="O256" s="737" t="s">
        <v>2903</v>
      </c>
      <c r="P256" s="626" t="s">
        <v>2151</v>
      </c>
      <c r="Q256" s="732"/>
    </row>
    <row r="257" spans="2:17" s="723" customFormat="1" ht="12" customHeight="1">
      <c r="B257" s="740"/>
      <c r="C257" s="626" t="s">
        <v>360</v>
      </c>
      <c r="D257" s="626" t="s">
        <v>1769</v>
      </c>
      <c r="E257" s="731" t="s">
        <v>361</v>
      </c>
      <c r="F257" s="731" t="s">
        <v>3411</v>
      </c>
      <c r="G257" s="732" t="s">
        <v>292</v>
      </c>
      <c r="H257" s="733" t="s">
        <v>458</v>
      </c>
      <c r="I257" s="734"/>
      <c r="J257" s="735" t="s">
        <v>384</v>
      </c>
      <c r="K257" s="736"/>
      <c r="L257" s="727"/>
      <c r="M257" s="728"/>
      <c r="N257" s="737" t="s">
        <v>387</v>
      </c>
      <c r="O257" s="737" t="s">
        <v>1350</v>
      </c>
      <c r="P257" s="626" t="s">
        <v>2152</v>
      </c>
      <c r="Q257" s="732"/>
    </row>
    <row r="258" spans="2:17" s="723" customFormat="1" ht="12" customHeight="1">
      <c r="B258" s="740"/>
      <c r="C258" s="626" t="s">
        <v>362</v>
      </c>
      <c r="D258" s="626" t="s">
        <v>1632</v>
      </c>
      <c r="E258" s="731" t="s">
        <v>363</v>
      </c>
      <c r="F258" s="731" t="s">
        <v>3411</v>
      </c>
      <c r="G258" s="732" t="s">
        <v>293</v>
      </c>
      <c r="H258" s="733" t="s">
        <v>458</v>
      </c>
      <c r="I258" s="734"/>
      <c r="J258" s="735" t="s">
        <v>386</v>
      </c>
      <c r="K258" s="736"/>
      <c r="L258" s="727"/>
      <c r="M258" s="728"/>
      <c r="N258" s="737" t="s">
        <v>389</v>
      </c>
      <c r="O258" s="737" t="s">
        <v>1499</v>
      </c>
      <c r="P258" s="626" t="s">
        <v>2153</v>
      </c>
      <c r="Q258" s="732"/>
    </row>
    <row r="259" spans="2:17" s="723" customFormat="1" ht="12" customHeight="1">
      <c r="B259" s="740"/>
      <c r="C259" s="626" t="s">
        <v>364</v>
      </c>
      <c r="D259" s="626" t="s">
        <v>1632</v>
      </c>
      <c r="E259" s="731" t="s">
        <v>365</v>
      </c>
      <c r="F259" s="731" t="s">
        <v>3411</v>
      </c>
      <c r="G259" s="732" t="s">
        <v>294</v>
      </c>
      <c r="H259" s="733" t="s">
        <v>458</v>
      </c>
      <c r="I259" s="734"/>
      <c r="J259" s="735" t="s">
        <v>388</v>
      </c>
      <c r="K259" s="736"/>
      <c r="L259" s="727"/>
      <c r="M259" s="728"/>
      <c r="N259" s="737" t="s">
        <v>810</v>
      </c>
      <c r="O259" s="737" t="s">
        <v>1899</v>
      </c>
      <c r="P259" s="626" t="s">
        <v>2154</v>
      </c>
      <c r="Q259" s="732"/>
    </row>
    <row r="260" spans="2:17" s="723" customFormat="1" ht="12" customHeight="1">
      <c r="B260" s="740"/>
      <c r="C260" s="626" t="s">
        <v>549</v>
      </c>
      <c r="D260" s="626" t="s">
        <v>1769</v>
      </c>
      <c r="E260" s="738" t="s">
        <v>1754</v>
      </c>
      <c r="F260" s="738" t="s">
        <v>3412</v>
      </c>
      <c r="G260" s="732" t="s">
        <v>3376</v>
      </c>
      <c r="H260" s="733" t="s">
        <v>459</v>
      </c>
      <c r="I260" s="739"/>
      <c r="J260" s="735" t="s">
        <v>3016</v>
      </c>
      <c r="K260" s="736"/>
      <c r="L260" s="727"/>
      <c r="M260" s="728"/>
      <c r="N260" s="737" t="s">
        <v>3017</v>
      </c>
      <c r="O260" s="737" t="s">
        <v>855</v>
      </c>
      <c r="P260" s="626" t="s">
        <v>2155</v>
      </c>
      <c r="Q260" s="732"/>
    </row>
    <row r="261" spans="2:17" s="723" customFormat="1" ht="12" customHeight="1">
      <c r="B261" s="740"/>
      <c r="C261" s="626" t="s">
        <v>550</v>
      </c>
      <c r="D261" s="626" t="s">
        <v>1769</v>
      </c>
      <c r="E261" s="738" t="s">
        <v>1155</v>
      </c>
      <c r="F261" s="738" t="s">
        <v>3412</v>
      </c>
      <c r="G261" s="732" t="s">
        <v>295</v>
      </c>
      <c r="H261" s="733" t="s">
        <v>459</v>
      </c>
      <c r="I261" s="739"/>
      <c r="J261" s="735" t="s">
        <v>3018</v>
      </c>
      <c r="K261" s="736"/>
      <c r="L261" s="727"/>
      <c r="M261" s="728"/>
      <c r="N261" s="737" t="s">
        <v>1766</v>
      </c>
      <c r="O261" s="737" t="s">
        <v>853</v>
      </c>
      <c r="P261" s="626" t="s">
        <v>2156</v>
      </c>
      <c r="Q261" s="732"/>
    </row>
    <row r="262" spans="2:17" s="723" customFormat="1" ht="12" customHeight="1">
      <c r="B262" s="740"/>
      <c r="C262" s="626" t="s">
        <v>1898</v>
      </c>
      <c r="D262" s="626" t="s">
        <v>1632</v>
      </c>
      <c r="E262" s="731" t="s">
        <v>2386</v>
      </c>
      <c r="F262" s="731" t="s">
        <v>3412</v>
      </c>
      <c r="G262" s="732" t="s">
        <v>3379</v>
      </c>
      <c r="H262" s="733" t="s">
        <v>459</v>
      </c>
      <c r="I262" s="734"/>
      <c r="J262" s="735" t="s">
        <v>3019</v>
      </c>
      <c r="K262" s="736"/>
      <c r="L262" s="727"/>
      <c r="M262" s="728"/>
      <c r="N262" s="737" t="s">
        <v>3021</v>
      </c>
      <c r="O262" s="737" t="s">
        <v>110</v>
      </c>
      <c r="P262" s="626" t="s">
        <v>2157</v>
      </c>
      <c r="Q262" s="732"/>
    </row>
    <row r="263" spans="2:17" s="723" customFormat="1" ht="12" customHeight="1">
      <c r="B263" s="740"/>
      <c r="C263" s="626" t="s">
        <v>1899</v>
      </c>
      <c r="D263" s="626" t="s">
        <v>1632</v>
      </c>
      <c r="E263" s="731" t="s">
        <v>1900</v>
      </c>
      <c r="F263" s="731" t="s">
        <v>3411</v>
      </c>
      <c r="G263" s="732" t="s">
        <v>296</v>
      </c>
      <c r="H263" s="733" t="s">
        <v>458</v>
      </c>
      <c r="I263" s="734"/>
      <c r="J263" s="735" t="s">
        <v>3020</v>
      </c>
      <c r="K263" s="736"/>
      <c r="L263" s="727"/>
      <c r="M263" s="728"/>
      <c r="N263" s="737" t="s">
        <v>2020</v>
      </c>
      <c r="O263" s="737" t="s">
        <v>2236</v>
      </c>
      <c r="P263" s="626" t="s">
        <v>2158</v>
      </c>
      <c r="Q263" s="732"/>
    </row>
    <row r="264" spans="2:17" s="723" customFormat="1" ht="12" customHeight="1">
      <c r="B264" s="740"/>
      <c r="C264" s="626" t="s">
        <v>1901</v>
      </c>
      <c r="D264" s="626" t="s">
        <v>1632</v>
      </c>
      <c r="E264" s="738" t="s">
        <v>2477</v>
      </c>
      <c r="F264" s="738" t="s">
        <v>3412</v>
      </c>
      <c r="G264" s="732" t="s">
        <v>1575</v>
      </c>
      <c r="H264" s="733" t="s">
        <v>459</v>
      </c>
      <c r="I264" s="739"/>
      <c r="J264" s="735" t="s">
        <v>2019</v>
      </c>
      <c r="K264" s="736"/>
      <c r="L264" s="727"/>
      <c r="M264" s="728"/>
      <c r="N264" s="737" t="s">
        <v>2022</v>
      </c>
      <c r="O264" s="737" t="s">
        <v>846</v>
      </c>
      <c r="P264" s="626" t="s">
        <v>2159</v>
      </c>
      <c r="Q264" s="732"/>
    </row>
    <row r="265" spans="2:17" s="723" customFormat="1" ht="12" customHeight="1">
      <c r="B265" s="740"/>
      <c r="C265" s="626" t="s">
        <v>1902</v>
      </c>
      <c r="D265" s="626" t="s">
        <v>1632</v>
      </c>
      <c r="E265" s="731" t="s">
        <v>1156</v>
      </c>
      <c r="F265" s="731" t="s">
        <v>3412</v>
      </c>
      <c r="G265" s="732" t="s">
        <v>297</v>
      </c>
      <c r="H265" s="733" t="s">
        <v>459</v>
      </c>
      <c r="I265" s="734"/>
      <c r="J265" s="735" t="s">
        <v>2021</v>
      </c>
      <c r="K265" s="736"/>
      <c r="L265" s="727"/>
      <c r="M265" s="728"/>
      <c r="N265" s="737" t="s">
        <v>2024</v>
      </c>
      <c r="O265" s="737" t="s">
        <v>180</v>
      </c>
      <c r="P265" s="626" t="s">
        <v>2160</v>
      </c>
      <c r="Q265" s="732"/>
    </row>
    <row r="266" spans="2:17" s="723" customFormat="1" ht="12" customHeight="1">
      <c r="B266" s="740"/>
      <c r="C266" s="626" t="s">
        <v>1903</v>
      </c>
      <c r="D266" s="626" t="s">
        <v>1769</v>
      </c>
      <c r="E266" s="731" t="s">
        <v>1904</v>
      </c>
      <c r="F266" s="731" t="s">
        <v>3411</v>
      </c>
      <c r="G266" s="732" t="s">
        <v>3310</v>
      </c>
      <c r="H266" s="733" t="s">
        <v>458</v>
      </c>
      <c r="I266" s="734"/>
      <c r="J266" s="735" t="s">
        <v>2023</v>
      </c>
      <c r="K266" s="736"/>
      <c r="L266" s="727"/>
      <c r="M266" s="728"/>
      <c r="N266" s="737" t="s">
        <v>2026</v>
      </c>
      <c r="O266" s="737" t="s">
        <v>1747</v>
      </c>
      <c r="P266" s="626" t="s">
        <v>2161</v>
      </c>
      <c r="Q266" s="732"/>
    </row>
    <row r="267" spans="2:17" s="723" customFormat="1" ht="12" customHeight="1">
      <c r="B267" s="740"/>
      <c r="C267" s="626" t="s">
        <v>1905</v>
      </c>
      <c r="D267" s="626" t="s">
        <v>1632</v>
      </c>
      <c r="E267" s="731" t="s">
        <v>1906</v>
      </c>
      <c r="F267" s="731" t="s">
        <v>3412</v>
      </c>
      <c r="G267" s="732" t="s">
        <v>881</v>
      </c>
      <c r="H267" s="733" t="s">
        <v>459</v>
      </c>
      <c r="I267" s="734"/>
      <c r="J267" s="735" t="s">
        <v>2025</v>
      </c>
      <c r="K267" s="736"/>
      <c r="L267" s="727"/>
      <c r="M267" s="728"/>
      <c r="N267" s="737" t="s">
        <v>2028</v>
      </c>
      <c r="O267" s="737" t="s">
        <v>196</v>
      </c>
      <c r="P267" s="626" t="s">
        <v>2162</v>
      </c>
      <c r="Q267" s="732"/>
    </row>
    <row r="268" spans="2:17" s="723" customFormat="1" ht="12" customHeight="1">
      <c r="B268" s="740"/>
      <c r="C268" s="626" t="s">
        <v>192</v>
      </c>
      <c r="D268" s="626" t="s">
        <v>1632</v>
      </c>
      <c r="E268" s="731" t="s">
        <v>2386</v>
      </c>
      <c r="F268" s="731" t="s">
        <v>3412</v>
      </c>
      <c r="G268" s="732" t="s">
        <v>3379</v>
      </c>
      <c r="H268" s="733" t="s">
        <v>459</v>
      </c>
      <c r="I268" s="734"/>
      <c r="J268" s="735" t="s">
        <v>2027</v>
      </c>
      <c r="K268" s="736"/>
      <c r="L268" s="727"/>
      <c r="M268" s="728"/>
      <c r="N268" s="737" t="s">
        <v>2437</v>
      </c>
      <c r="O268" s="737" t="s">
        <v>846</v>
      </c>
      <c r="P268" s="626" t="s">
        <v>2163</v>
      </c>
      <c r="Q268" s="732"/>
    </row>
    <row r="269" spans="2:17" s="723" customFormat="1" ht="12" customHeight="1">
      <c r="B269" s="740"/>
      <c r="C269" s="626" t="s">
        <v>193</v>
      </c>
      <c r="D269" s="626" t="s">
        <v>1745</v>
      </c>
      <c r="E269" s="738" t="s">
        <v>194</v>
      </c>
      <c r="F269" s="738" t="s">
        <v>3411</v>
      </c>
      <c r="G269" s="732" t="s">
        <v>882</v>
      </c>
      <c r="H269" s="733" t="s">
        <v>458</v>
      </c>
      <c r="I269" s="739"/>
      <c r="J269" s="735" t="s">
        <v>2436</v>
      </c>
      <c r="K269" s="736"/>
      <c r="L269" s="727"/>
      <c r="M269" s="728"/>
      <c r="N269" s="737" t="s">
        <v>2439</v>
      </c>
      <c r="O269" s="737" t="s">
        <v>1038</v>
      </c>
      <c r="P269" s="626" t="s">
        <v>2164</v>
      </c>
      <c r="Q269" s="732"/>
    </row>
    <row r="270" spans="2:17" s="723" customFormat="1" ht="12" customHeight="1">
      <c r="B270" s="740"/>
      <c r="C270" s="626" t="s">
        <v>1754</v>
      </c>
      <c r="D270" s="626" t="s">
        <v>1769</v>
      </c>
      <c r="E270" s="731" t="s">
        <v>195</v>
      </c>
      <c r="F270" s="731" t="s">
        <v>3411</v>
      </c>
      <c r="G270" s="732" t="s">
        <v>883</v>
      </c>
      <c r="H270" s="733" t="s">
        <v>458</v>
      </c>
      <c r="I270" s="734"/>
      <c r="J270" s="735" t="s">
        <v>2438</v>
      </c>
      <c r="K270" s="736"/>
      <c r="L270" s="727"/>
      <c r="M270" s="728"/>
      <c r="N270" s="737" t="s">
        <v>1425</v>
      </c>
      <c r="O270" s="737" t="s">
        <v>1748</v>
      </c>
      <c r="P270" s="626" t="s">
        <v>2165</v>
      </c>
      <c r="Q270" s="732"/>
    </row>
    <row r="271" spans="2:17" s="723" customFormat="1" ht="12" customHeight="1">
      <c r="B271" s="740"/>
      <c r="C271" s="626" t="s">
        <v>196</v>
      </c>
      <c r="D271" s="626" t="s">
        <v>1769</v>
      </c>
      <c r="E271" s="731" t="s">
        <v>2757</v>
      </c>
      <c r="F271" s="731" t="s">
        <v>3412</v>
      </c>
      <c r="G271" s="732" t="s">
        <v>800</v>
      </c>
      <c r="H271" s="733" t="s">
        <v>459</v>
      </c>
      <c r="I271" s="734"/>
      <c r="J271" s="735" t="s">
        <v>2440</v>
      </c>
      <c r="K271" s="736"/>
      <c r="L271" s="727"/>
      <c r="M271" s="728"/>
      <c r="N271" s="737" t="s">
        <v>1428</v>
      </c>
      <c r="O271" s="737" t="s">
        <v>844</v>
      </c>
      <c r="P271" s="626" t="s">
        <v>2166</v>
      </c>
      <c r="Q271" s="732"/>
    </row>
    <row r="272" spans="2:17" s="723" customFormat="1" ht="12" customHeight="1">
      <c r="B272" s="740"/>
      <c r="C272" s="626" t="s">
        <v>390</v>
      </c>
      <c r="D272" s="626" t="s">
        <v>1769</v>
      </c>
      <c r="E272" s="738" t="s">
        <v>177</v>
      </c>
      <c r="F272" s="738" t="s">
        <v>3412</v>
      </c>
      <c r="G272" s="732" t="s">
        <v>2372</v>
      </c>
      <c r="H272" s="733" t="s">
        <v>459</v>
      </c>
      <c r="I272" s="739"/>
      <c r="J272" s="735" t="s">
        <v>1426</v>
      </c>
      <c r="K272" s="736"/>
      <c r="L272" s="727"/>
      <c r="M272" s="728"/>
      <c r="N272" s="737" t="s">
        <v>260</v>
      </c>
      <c r="O272" s="737" t="s">
        <v>3317</v>
      </c>
      <c r="P272" s="626" t="s">
        <v>2167</v>
      </c>
      <c r="Q272" s="732"/>
    </row>
    <row r="273" spans="2:17" s="723" customFormat="1" ht="12" customHeight="1">
      <c r="B273" s="740"/>
      <c r="C273" s="626" t="s">
        <v>2584</v>
      </c>
      <c r="D273" s="626" t="s">
        <v>1769</v>
      </c>
      <c r="E273" s="738" t="s">
        <v>1153</v>
      </c>
      <c r="F273" s="738" t="s">
        <v>3412</v>
      </c>
      <c r="G273" s="732" t="s">
        <v>3395</v>
      </c>
      <c r="H273" s="733" t="s">
        <v>459</v>
      </c>
      <c r="I273" s="739"/>
      <c r="J273" s="735" t="s">
        <v>1427</v>
      </c>
      <c r="K273" s="736"/>
      <c r="L273" s="727"/>
      <c r="M273" s="728"/>
      <c r="N273" s="737" t="s">
        <v>2452</v>
      </c>
      <c r="O273" s="737" t="s">
        <v>1505</v>
      </c>
      <c r="P273" s="626" t="s">
        <v>2168</v>
      </c>
      <c r="Q273" s="732"/>
    </row>
    <row r="274" spans="2:17" s="723" customFormat="1" ht="12" customHeight="1">
      <c r="B274" s="740"/>
      <c r="C274" s="626" t="s">
        <v>2585</v>
      </c>
      <c r="D274" s="626" t="s">
        <v>1632</v>
      </c>
      <c r="E274" s="731" t="s">
        <v>12</v>
      </c>
      <c r="F274" s="731" t="s">
        <v>3412</v>
      </c>
      <c r="G274" s="732" t="s">
        <v>3378</v>
      </c>
      <c r="H274" s="733" t="s">
        <v>459</v>
      </c>
      <c r="I274" s="734"/>
      <c r="J274" s="735" t="s">
        <v>259</v>
      </c>
      <c r="K274" s="736"/>
      <c r="L274" s="727"/>
      <c r="M274" s="728"/>
      <c r="N274" s="737" t="s">
        <v>2775</v>
      </c>
      <c r="O274" s="737" t="s">
        <v>352</v>
      </c>
      <c r="P274" s="626" t="s">
        <v>2169</v>
      </c>
      <c r="Q274" s="732"/>
    </row>
    <row r="275" spans="2:17" s="723" customFormat="1" ht="12" customHeight="1">
      <c r="B275" s="740"/>
      <c r="C275" s="626" t="s">
        <v>2586</v>
      </c>
      <c r="D275" s="626" t="s">
        <v>1769</v>
      </c>
      <c r="E275" s="738" t="s">
        <v>1157</v>
      </c>
      <c r="F275" s="738" t="s">
        <v>3412</v>
      </c>
      <c r="G275" s="732" t="s">
        <v>884</v>
      </c>
      <c r="H275" s="733" t="s">
        <v>459</v>
      </c>
      <c r="I275" s="739"/>
      <c r="J275" s="735" t="s">
        <v>261</v>
      </c>
      <c r="K275" s="736"/>
      <c r="L275" s="727"/>
      <c r="M275" s="728"/>
      <c r="N275" s="737" t="s">
        <v>2777</v>
      </c>
      <c r="O275" s="737" t="s">
        <v>350</v>
      </c>
      <c r="P275" s="626" t="s">
        <v>2170</v>
      </c>
      <c r="Q275" s="732"/>
    </row>
    <row r="276" spans="2:17" s="723" customFormat="1" ht="12" customHeight="1">
      <c r="B276" s="740"/>
      <c r="C276" s="626" t="s">
        <v>2234</v>
      </c>
      <c r="D276" s="626" t="s">
        <v>1632</v>
      </c>
      <c r="E276" s="731" t="s">
        <v>2235</v>
      </c>
      <c r="F276" s="731" t="s">
        <v>3411</v>
      </c>
      <c r="G276" s="732" t="s">
        <v>885</v>
      </c>
      <c r="H276" s="733" t="s">
        <v>458</v>
      </c>
      <c r="I276" s="734"/>
      <c r="J276" s="735" t="s">
        <v>1688</v>
      </c>
      <c r="K276" s="736"/>
      <c r="L276" s="727"/>
      <c r="M276" s="728"/>
      <c r="N276" s="737" t="s">
        <v>2779</v>
      </c>
      <c r="O276" s="737" t="s">
        <v>808</v>
      </c>
      <c r="P276" s="626" t="s">
        <v>2171</v>
      </c>
      <c r="Q276" s="732"/>
    </row>
    <row r="277" spans="2:17" s="723" customFormat="1" ht="12" customHeight="1">
      <c r="B277" s="740"/>
      <c r="C277" s="626" t="s">
        <v>2236</v>
      </c>
      <c r="D277" s="626" t="s">
        <v>1632</v>
      </c>
      <c r="E277" s="731" t="s">
        <v>2237</v>
      </c>
      <c r="F277" s="731" t="s">
        <v>3411</v>
      </c>
      <c r="G277" s="732" t="s">
        <v>886</v>
      </c>
      <c r="H277" s="733" t="s">
        <v>458</v>
      </c>
      <c r="I277" s="734"/>
      <c r="J277" s="735" t="s">
        <v>2774</v>
      </c>
      <c r="K277" s="736"/>
      <c r="L277" s="727"/>
      <c r="M277" s="728"/>
      <c r="N277" s="737" t="s">
        <v>2781</v>
      </c>
      <c r="O277" s="737" t="s">
        <v>3383</v>
      </c>
      <c r="P277" s="626" t="s">
        <v>2172</v>
      </c>
      <c r="Q277" s="732"/>
    </row>
    <row r="278" spans="2:17" s="723" customFormat="1" ht="12" customHeight="1">
      <c r="B278" s="740"/>
      <c r="C278" s="626" t="s">
        <v>2238</v>
      </c>
      <c r="D278" s="626" t="s">
        <v>1769</v>
      </c>
      <c r="E278" s="738" t="s">
        <v>2756</v>
      </c>
      <c r="F278" s="738" t="s">
        <v>3412</v>
      </c>
      <c r="G278" s="732" t="s">
        <v>887</v>
      </c>
      <c r="H278" s="733" t="s">
        <v>459</v>
      </c>
      <c r="I278" s="739"/>
      <c r="J278" s="735" t="s">
        <v>2776</v>
      </c>
      <c r="K278" s="736"/>
      <c r="L278" s="727"/>
      <c r="M278" s="728"/>
      <c r="N278" s="737" t="s">
        <v>876</v>
      </c>
      <c r="O278" s="737" t="s">
        <v>1627</v>
      </c>
      <c r="P278" s="626" t="s">
        <v>2173</v>
      </c>
      <c r="Q278" s="732"/>
    </row>
    <row r="279" spans="2:17" s="723" customFormat="1" ht="12" customHeight="1">
      <c r="B279" s="740"/>
      <c r="C279" s="626" t="s">
        <v>201</v>
      </c>
      <c r="D279" s="626" t="s">
        <v>1632</v>
      </c>
      <c r="E279" s="731" t="s">
        <v>202</v>
      </c>
      <c r="F279" s="731" t="s">
        <v>3411</v>
      </c>
      <c r="G279" s="732" t="s">
        <v>888</v>
      </c>
      <c r="H279" s="733" t="s">
        <v>458</v>
      </c>
      <c r="I279" s="734"/>
      <c r="J279" s="735" t="s">
        <v>2778</v>
      </c>
      <c r="K279" s="736"/>
      <c r="L279" s="727"/>
      <c r="M279" s="728"/>
      <c r="N279" s="626" t="s">
        <v>3362</v>
      </c>
      <c r="O279" s="626" t="s">
        <v>2719</v>
      </c>
      <c r="P279" s="1382" t="s">
        <v>2856</v>
      </c>
      <c r="Q279" s="732"/>
    </row>
    <row r="280" spans="2:17" s="723" customFormat="1" ht="12" customHeight="1">
      <c r="B280" s="740"/>
      <c r="C280" s="626" t="s">
        <v>3381</v>
      </c>
      <c r="D280" s="626" t="s">
        <v>1769</v>
      </c>
      <c r="E280" s="738" t="s">
        <v>3382</v>
      </c>
      <c r="F280" s="738" t="s">
        <v>3411</v>
      </c>
      <c r="G280" s="732" t="s">
        <v>889</v>
      </c>
      <c r="H280" s="733" t="s">
        <v>458</v>
      </c>
      <c r="I280" s="739"/>
      <c r="J280" s="735" t="s">
        <v>2780</v>
      </c>
      <c r="K280" s="736"/>
      <c r="L280" s="727"/>
      <c r="M280" s="728"/>
      <c r="N280" s="737" t="s">
        <v>2783</v>
      </c>
      <c r="O280" s="737" t="s">
        <v>217</v>
      </c>
      <c r="P280" s="626" t="s">
        <v>2174</v>
      </c>
      <c r="Q280" s="732"/>
    </row>
    <row r="281" spans="2:17" s="723" customFormat="1" ht="12" customHeight="1">
      <c r="B281" s="740"/>
      <c r="C281" s="626" t="s">
        <v>3383</v>
      </c>
      <c r="D281" s="626" t="s">
        <v>1745</v>
      </c>
      <c r="E281" s="731" t="s">
        <v>3384</v>
      </c>
      <c r="F281" s="731" t="s">
        <v>3412</v>
      </c>
      <c r="G281" s="732" t="s">
        <v>2662</v>
      </c>
      <c r="H281" s="733" t="s">
        <v>459</v>
      </c>
      <c r="I281" s="734"/>
      <c r="J281" s="735" t="s">
        <v>2782</v>
      </c>
      <c r="K281" s="736"/>
      <c r="L281" s="727"/>
      <c r="M281" s="728"/>
      <c r="N281" s="737" t="s">
        <v>2785</v>
      </c>
      <c r="O281" s="737" t="s">
        <v>217</v>
      </c>
      <c r="P281" s="626" t="s">
        <v>2175</v>
      </c>
      <c r="Q281" s="732"/>
    </row>
    <row r="282" spans="2:17" s="723" customFormat="1" ht="12" customHeight="1">
      <c r="B282" s="740"/>
      <c r="C282" s="626" t="s">
        <v>3385</v>
      </c>
      <c r="D282" s="626" t="s">
        <v>1769</v>
      </c>
      <c r="E282" s="738" t="s">
        <v>177</v>
      </c>
      <c r="F282" s="738" t="s">
        <v>3412</v>
      </c>
      <c r="G282" s="732" t="s">
        <v>2372</v>
      </c>
      <c r="H282" s="733" t="s">
        <v>459</v>
      </c>
      <c r="I282" s="739"/>
      <c r="J282" s="735" t="s">
        <v>2784</v>
      </c>
      <c r="K282" s="736"/>
      <c r="L282" s="727"/>
      <c r="M282" s="728"/>
      <c r="N282" s="737" t="s">
        <v>862</v>
      </c>
      <c r="O282" s="737" t="s">
        <v>2719</v>
      </c>
      <c r="P282" s="626" t="s">
        <v>2176</v>
      </c>
      <c r="Q282" s="732"/>
    </row>
    <row r="283" spans="2:17" s="723" customFormat="1" ht="12" customHeight="1">
      <c r="B283" s="740"/>
      <c r="C283" s="626" t="s">
        <v>3386</v>
      </c>
      <c r="D283" s="626" t="s">
        <v>1769</v>
      </c>
      <c r="E283" s="738" t="s">
        <v>1152</v>
      </c>
      <c r="F283" s="738" t="s">
        <v>3412</v>
      </c>
      <c r="G283" s="732" t="s">
        <v>3373</v>
      </c>
      <c r="H283" s="733" t="s">
        <v>459</v>
      </c>
      <c r="I283" s="739"/>
      <c r="J283" s="735" t="s">
        <v>861</v>
      </c>
      <c r="K283" s="736"/>
      <c r="L283" s="727"/>
      <c r="M283" s="728"/>
      <c r="N283" s="737" t="s">
        <v>3061</v>
      </c>
      <c r="O283" s="737" t="s">
        <v>128</v>
      </c>
      <c r="P283" s="626" t="s">
        <v>2177</v>
      </c>
      <c r="Q283" s="732"/>
    </row>
    <row r="284" spans="2:17" s="723" customFormat="1" ht="12" customHeight="1">
      <c r="B284" s="740"/>
      <c r="C284" s="626" t="s">
        <v>3387</v>
      </c>
      <c r="D284" s="626" t="s">
        <v>1769</v>
      </c>
      <c r="E284" s="731" t="s">
        <v>2757</v>
      </c>
      <c r="F284" s="731" t="s">
        <v>3412</v>
      </c>
      <c r="G284" s="732" t="s">
        <v>800</v>
      </c>
      <c r="H284" s="733" t="s">
        <v>459</v>
      </c>
      <c r="I284" s="734"/>
      <c r="J284" s="735" t="s">
        <v>3059</v>
      </c>
      <c r="K284" s="736"/>
      <c r="L284" s="727"/>
      <c r="M284" s="728"/>
      <c r="N284" s="737" t="s">
        <v>1670</v>
      </c>
      <c r="O284" s="737" t="s">
        <v>808</v>
      </c>
      <c r="P284" s="626" t="s">
        <v>2178</v>
      </c>
      <c r="Q284" s="732"/>
    </row>
    <row r="285" spans="2:17" s="723" customFormat="1" ht="12" customHeight="1">
      <c r="B285" s="740"/>
      <c r="C285" s="626" t="s">
        <v>3388</v>
      </c>
      <c r="D285" s="626" t="s">
        <v>1769</v>
      </c>
      <c r="E285" s="731" t="s">
        <v>2757</v>
      </c>
      <c r="F285" s="731" t="s">
        <v>3412</v>
      </c>
      <c r="G285" s="732" t="s">
        <v>800</v>
      </c>
      <c r="H285" s="733" t="s">
        <v>459</v>
      </c>
      <c r="I285" s="734"/>
      <c r="J285" s="735" t="s">
        <v>3060</v>
      </c>
      <c r="K285" s="736"/>
      <c r="L285" s="727"/>
      <c r="M285" s="728"/>
      <c r="N285" s="737" t="s">
        <v>1672</v>
      </c>
      <c r="O285" s="737" t="s">
        <v>2971</v>
      </c>
      <c r="P285" s="626" t="s">
        <v>2179</v>
      </c>
      <c r="Q285" s="732"/>
    </row>
    <row r="286" spans="2:17" s="723" customFormat="1" ht="12" customHeight="1">
      <c r="B286" s="740"/>
      <c r="C286" s="626" t="s">
        <v>3389</v>
      </c>
      <c r="D286" s="626" t="s">
        <v>1745</v>
      </c>
      <c r="E286" s="738" t="s">
        <v>1152</v>
      </c>
      <c r="F286" s="738" t="s">
        <v>3412</v>
      </c>
      <c r="G286" s="732" t="s">
        <v>3373</v>
      </c>
      <c r="H286" s="733" t="s">
        <v>459</v>
      </c>
      <c r="I286" s="739"/>
      <c r="J286" s="735" t="s">
        <v>1669</v>
      </c>
      <c r="K286" s="736"/>
      <c r="L286" s="727"/>
      <c r="M286" s="728"/>
      <c r="N286" s="737" t="s">
        <v>3264</v>
      </c>
      <c r="O286" s="737" t="s">
        <v>1513</v>
      </c>
      <c r="P286" s="626" t="s">
        <v>2180</v>
      </c>
      <c r="Q286" s="732"/>
    </row>
    <row r="287" spans="2:17" s="723" customFormat="1" ht="12" customHeight="1">
      <c r="B287" s="740"/>
      <c r="C287" s="626" t="s">
        <v>1499</v>
      </c>
      <c r="D287" s="626" t="s">
        <v>1769</v>
      </c>
      <c r="E287" s="738" t="s">
        <v>1500</v>
      </c>
      <c r="F287" s="738" t="s">
        <v>3411</v>
      </c>
      <c r="G287" s="732" t="s">
        <v>2663</v>
      </c>
      <c r="H287" s="733" t="s">
        <v>458</v>
      </c>
      <c r="I287" s="739"/>
      <c r="J287" s="735" t="s">
        <v>1671</v>
      </c>
      <c r="K287" s="736"/>
      <c r="L287" s="727"/>
      <c r="M287" s="728"/>
      <c r="N287" s="737" t="s">
        <v>1675</v>
      </c>
      <c r="O287" s="737" t="s">
        <v>343</v>
      </c>
      <c r="P287" s="626" t="s">
        <v>2181</v>
      </c>
      <c r="Q287" s="732"/>
    </row>
    <row r="288" spans="2:17" s="723" customFormat="1" ht="12" customHeight="1">
      <c r="B288" s="740"/>
      <c r="C288" s="626" t="s">
        <v>1501</v>
      </c>
      <c r="D288" s="626" t="s">
        <v>1745</v>
      </c>
      <c r="E288" s="738" t="s">
        <v>1152</v>
      </c>
      <c r="F288" s="738" t="s">
        <v>3412</v>
      </c>
      <c r="G288" s="732" t="s">
        <v>3373</v>
      </c>
      <c r="H288" s="733" t="s">
        <v>459</v>
      </c>
      <c r="I288" s="739"/>
      <c r="J288" s="735" t="s">
        <v>1673</v>
      </c>
      <c r="K288" s="736"/>
      <c r="L288" s="727"/>
      <c r="M288" s="728"/>
      <c r="N288" s="737" t="s">
        <v>3274</v>
      </c>
      <c r="O288" s="737" t="s">
        <v>120</v>
      </c>
      <c r="P288" s="626" t="s">
        <v>2182</v>
      </c>
      <c r="Q288" s="732"/>
    </row>
    <row r="289" spans="2:17" s="723" customFormat="1" ht="12" customHeight="1">
      <c r="B289" s="740"/>
      <c r="C289" s="626" t="s">
        <v>1502</v>
      </c>
      <c r="D289" s="626" t="s">
        <v>1632</v>
      </c>
      <c r="E289" s="731" t="s">
        <v>1503</v>
      </c>
      <c r="F289" s="731" t="s">
        <v>3411</v>
      </c>
      <c r="G289" s="732" t="s">
        <v>2664</v>
      </c>
      <c r="H289" s="733" t="s">
        <v>458</v>
      </c>
      <c r="I289" s="734"/>
      <c r="J289" s="735" t="s">
        <v>1674</v>
      </c>
      <c r="K289" s="736"/>
      <c r="L289" s="727"/>
      <c r="M289" s="728"/>
      <c r="N289" s="737" t="s">
        <v>85</v>
      </c>
      <c r="O289" s="737" t="s">
        <v>214</v>
      </c>
      <c r="P289" s="626" t="s">
        <v>2183</v>
      </c>
      <c r="Q289" s="732"/>
    </row>
    <row r="290" spans="2:17" s="723" customFormat="1" ht="12" customHeight="1">
      <c r="B290" s="740"/>
      <c r="C290" s="626" t="s">
        <v>1504</v>
      </c>
      <c r="D290" s="626" t="s">
        <v>1769</v>
      </c>
      <c r="E290" s="738" t="s">
        <v>1152</v>
      </c>
      <c r="F290" s="738" t="s">
        <v>3412</v>
      </c>
      <c r="G290" s="732" t="s">
        <v>3373</v>
      </c>
      <c r="H290" s="733" t="s">
        <v>459</v>
      </c>
      <c r="I290" s="739"/>
      <c r="J290" s="735" t="s">
        <v>1676</v>
      </c>
      <c r="K290" s="736"/>
      <c r="L290" s="727"/>
      <c r="M290" s="728"/>
      <c r="N290" s="737" t="s">
        <v>89</v>
      </c>
      <c r="O290" s="737" t="s">
        <v>2901</v>
      </c>
      <c r="P290" s="626" t="s">
        <v>2184</v>
      </c>
    </row>
    <row r="291" spans="2:17" s="723" customFormat="1" ht="12" customHeight="1">
      <c r="B291" s="740"/>
      <c r="C291" s="626" t="s">
        <v>1505</v>
      </c>
      <c r="D291" s="626" t="s">
        <v>1745</v>
      </c>
      <c r="E291" s="731" t="s">
        <v>1506</v>
      </c>
      <c r="F291" s="731" t="s">
        <v>3411</v>
      </c>
      <c r="G291" s="732" t="s">
        <v>2665</v>
      </c>
      <c r="H291" s="733" t="s">
        <v>458</v>
      </c>
      <c r="I291" s="734"/>
      <c r="J291" s="735" t="s">
        <v>3275</v>
      </c>
      <c r="K291" s="736"/>
      <c r="L291" s="727"/>
      <c r="M291" s="728"/>
      <c r="N291" s="737" t="s">
        <v>91</v>
      </c>
      <c r="O291" s="737" t="s">
        <v>1755</v>
      </c>
      <c r="P291" s="626" t="s">
        <v>2185</v>
      </c>
      <c r="Q291" s="732"/>
    </row>
    <row r="292" spans="2:17" s="723" customFormat="1" ht="12" customHeight="1">
      <c r="B292" s="740"/>
      <c r="C292" s="626" t="s">
        <v>1507</v>
      </c>
      <c r="D292" s="626" t="s">
        <v>1632</v>
      </c>
      <c r="E292" s="738" t="s">
        <v>1508</v>
      </c>
      <c r="F292" s="738" t="s">
        <v>3411</v>
      </c>
      <c r="G292" s="732" t="s">
        <v>2666</v>
      </c>
      <c r="H292" s="733" t="s">
        <v>458</v>
      </c>
      <c r="I292" s="739"/>
      <c r="J292" s="735" t="s">
        <v>86</v>
      </c>
      <c r="K292" s="736"/>
      <c r="L292" s="727"/>
      <c r="M292" s="728"/>
      <c r="N292" s="737" t="s">
        <v>1649</v>
      </c>
      <c r="O292" s="737" t="s">
        <v>2660</v>
      </c>
      <c r="P292" s="626" t="s">
        <v>2186</v>
      </c>
      <c r="Q292" s="732"/>
    </row>
    <row r="293" spans="2:17" s="723" customFormat="1" ht="12" customHeight="1">
      <c r="B293" s="740"/>
      <c r="C293" s="626" t="s">
        <v>1509</v>
      </c>
      <c r="D293" s="626" t="s">
        <v>1769</v>
      </c>
      <c r="E293" s="738" t="s">
        <v>1510</v>
      </c>
      <c r="F293" s="738" t="s">
        <v>3411</v>
      </c>
      <c r="G293" s="732" t="s">
        <v>2667</v>
      </c>
      <c r="H293" s="733" t="s">
        <v>458</v>
      </c>
      <c r="I293" s="739"/>
      <c r="J293" s="735" t="s">
        <v>87</v>
      </c>
      <c r="K293" s="736"/>
      <c r="L293" s="727"/>
      <c r="M293" s="728"/>
      <c r="N293" s="737" t="s">
        <v>1651</v>
      </c>
      <c r="O293" s="737" t="s">
        <v>196</v>
      </c>
      <c r="P293" s="626" t="s">
        <v>2187</v>
      </c>
      <c r="Q293" s="732"/>
    </row>
    <row r="294" spans="2:17" s="723" customFormat="1" ht="12" customHeight="1">
      <c r="B294" s="740"/>
      <c r="C294" s="626" t="s">
        <v>1511</v>
      </c>
      <c r="D294" s="626" t="s">
        <v>1632</v>
      </c>
      <c r="E294" s="731" t="s">
        <v>1512</v>
      </c>
      <c r="F294" s="731" t="s">
        <v>3411</v>
      </c>
      <c r="G294" s="732" t="s">
        <v>2480</v>
      </c>
      <c r="H294" s="733" t="s">
        <v>458</v>
      </c>
      <c r="I294" s="734"/>
      <c r="J294" s="735" t="s">
        <v>88</v>
      </c>
      <c r="K294" s="736"/>
      <c r="L294" s="727"/>
      <c r="M294" s="728"/>
      <c r="N294" s="737" t="s">
        <v>1653</v>
      </c>
      <c r="O294" s="737" t="s">
        <v>1515</v>
      </c>
      <c r="P294" s="1381" t="s">
        <v>1218</v>
      </c>
    </row>
    <row r="295" spans="2:17" s="723" customFormat="1" ht="12" customHeight="1">
      <c r="B295" s="740"/>
      <c r="C295" s="626" t="s">
        <v>1513</v>
      </c>
      <c r="D295" s="626" t="s">
        <v>1745</v>
      </c>
      <c r="E295" s="731" t="s">
        <v>1514</v>
      </c>
      <c r="F295" s="731" t="s">
        <v>3411</v>
      </c>
      <c r="G295" s="732" t="s">
        <v>2481</v>
      </c>
      <c r="H295" s="733" t="s">
        <v>458</v>
      </c>
      <c r="I295" s="734"/>
      <c r="J295" s="735" t="s">
        <v>90</v>
      </c>
      <c r="K295" s="736"/>
      <c r="L295" s="727"/>
      <c r="M295" s="728"/>
      <c r="N295" s="737" t="s">
        <v>1655</v>
      </c>
      <c r="O295" s="737" t="s">
        <v>1627</v>
      </c>
      <c r="P295" s="626" t="s">
        <v>2188</v>
      </c>
      <c r="Q295" s="732"/>
    </row>
    <row r="296" spans="2:17" s="723" customFormat="1" ht="12" customHeight="1">
      <c r="B296" s="740"/>
      <c r="C296" s="626" t="s">
        <v>1515</v>
      </c>
      <c r="D296" s="626" t="s">
        <v>1632</v>
      </c>
      <c r="E296" s="731" t="s">
        <v>1516</v>
      </c>
      <c r="F296" s="731" t="s">
        <v>3411</v>
      </c>
      <c r="G296" s="732" t="s">
        <v>2482</v>
      </c>
      <c r="H296" s="733" t="s">
        <v>458</v>
      </c>
      <c r="I296" s="734"/>
      <c r="J296" s="735" t="s">
        <v>1648</v>
      </c>
      <c r="K296" s="736"/>
      <c r="L296" s="727"/>
      <c r="M296" s="728"/>
      <c r="N296" s="737" t="s">
        <v>1657</v>
      </c>
      <c r="O296" s="737" t="s">
        <v>2901</v>
      </c>
      <c r="P296" s="626" t="s">
        <v>2189</v>
      </c>
      <c r="Q296" s="732"/>
    </row>
    <row r="297" spans="2:17" s="723" customFormat="1" ht="12" customHeight="1">
      <c r="B297" s="740"/>
      <c r="C297" s="626" t="s">
        <v>1517</v>
      </c>
      <c r="D297" s="626" t="s">
        <v>1769</v>
      </c>
      <c r="E297" s="738" t="s">
        <v>1153</v>
      </c>
      <c r="F297" s="738" t="s">
        <v>3412</v>
      </c>
      <c r="G297" s="732" t="s">
        <v>3395</v>
      </c>
      <c r="H297" s="733" t="s">
        <v>459</v>
      </c>
      <c r="I297" s="739"/>
      <c r="J297" s="735" t="s">
        <v>1650</v>
      </c>
      <c r="K297" s="736"/>
      <c r="L297" s="727"/>
      <c r="M297" s="728"/>
      <c r="N297" s="737" t="s">
        <v>3270</v>
      </c>
      <c r="O297" s="737" t="s">
        <v>2234</v>
      </c>
      <c r="P297" s="626" t="s">
        <v>2190</v>
      </c>
      <c r="Q297" s="732"/>
    </row>
    <row r="298" spans="2:17" s="723" customFormat="1" ht="12" customHeight="1">
      <c r="B298" s="740"/>
      <c r="C298" s="626" t="s">
        <v>1518</v>
      </c>
      <c r="D298" s="626" t="s">
        <v>1769</v>
      </c>
      <c r="E298" s="738" t="s">
        <v>1152</v>
      </c>
      <c r="F298" s="738" t="s">
        <v>3412</v>
      </c>
      <c r="G298" s="732" t="s">
        <v>3373</v>
      </c>
      <c r="H298" s="733" t="s">
        <v>459</v>
      </c>
      <c r="I298" s="739"/>
      <c r="J298" s="735" t="s">
        <v>1652</v>
      </c>
      <c r="K298" s="736"/>
      <c r="L298" s="727"/>
      <c r="M298" s="728"/>
      <c r="N298" s="737" t="s">
        <v>177</v>
      </c>
      <c r="O298" s="737" t="s">
        <v>3385</v>
      </c>
      <c r="P298" s="1381" t="s">
        <v>1218</v>
      </c>
    </row>
    <row r="299" spans="2:17" s="723" customFormat="1" ht="12" customHeight="1">
      <c r="B299" s="740"/>
      <c r="C299" s="626" t="s">
        <v>1519</v>
      </c>
      <c r="D299" s="626" t="s">
        <v>1769</v>
      </c>
      <c r="E299" s="731" t="s">
        <v>2885</v>
      </c>
      <c r="F299" s="731" t="s">
        <v>3411</v>
      </c>
      <c r="G299" s="732" t="s">
        <v>2483</v>
      </c>
      <c r="H299" s="733" t="s">
        <v>458</v>
      </c>
      <c r="I299" s="734"/>
      <c r="J299" s="735" t="s">
        <v>1654</v>
      </c>
      <c r="K299" s="736"/>
      <c r="L299" s="727"/>
      <c r="M299" s="728"/>
      <c r="N299" s="737" t="s">
        <v>1289</v>
      </c>
      <c r="O299" s="737" t="s">
        <v>196</v>
      </c>
      <c r="P299" s="626" t="s">
        <v>2191</v>
      </c>
      <c r="Q299" s="732"/>
    </row>
    <row r="300" spans="2:17" s="723" customFormat="1" ht="12" customHeight="1">
      <c r="B300" s="740"/>
      <c r="C300" s="626" t="s">
        <v>2886</v>
      </c>
      <c r="D300" s="626" t="s">
        <v>1632</v>
      </c>
      <c r="E300" s="731" t="s">
        <v>2887</v>
      </c>
      <c r="F300" s="731" t="s">
        <v>3411</v>
      </c>
      <c r="G300" s="732" t="s">
        <v>2484</v>
      </c>
      <c r="H300" s="733" t="s">
        <v>458</v>
      </c>
      <c r="I300" s="734"/>
      <c r="J300" s="735" t="s">
        <v>1656</v>
      </c>
      <c r="K300" s="736"/>
      <c r="L300" s="727"/>
      <c r="M300" s="728"/>
      <c r="N300" s="737" t="s">
        <v>1291</v>
      </c>
      <c r="O300" s="737" t="s">
        <v>355</v>
      </c>
      <c r="P300" s="626" t="s">
        <v>2192</v>
      </c>
      <c r="Q300" s="732"/>
    </row>
    <row r="301" spans="2:17" s="723" customFormat="1" ht="12" customHeight="1">
      <c r="B301" s="740"/>
      <c r="C301" s="626" t="s">
        <v>2073</v>
      </c>
      <c r="D301" s="626" t="s">
        <v>2073</v>
      </c>
      <c r="E301" s="626" t="s">
        <v>2073</v>
      </c>
      <c r="F301" s="731"/>
      <c r="G301" s="732"/>
      <c r="H301" s="733"/>
      <c r="I301" s="739"/>
      <c r="J301" s="735" t="s">
        <v>1658</v>
      </c>
      <c r="K301" s="736"/>
      <c r="L301" s="727"/>
      <c r="M301" s="728"/>
      <c r="N301" s="737" t="s">
        <v>1293</v>
      </c>
      <c r="O301" s="737" t="s">
        <v>1504</v>
      </c>
      <c r="P301" s="626" t="s">
        <v>2193</v>
      </c>
    </row>
    <row r="302" spans="2:17" s="723" customFormat="1" ht="12" customHeight="1">
      <c r="B302" s="740"/>
      <c r="C302" s="626" t="s">
        <v>2888</v>
      </c>
      <c r="D302" s="626" t="s">
        <v>1632</v>
      </c>
      <c r="E302" s="738" t="s">
        <v>2889</v>
      </c>
      <c r="F302" s="731" t="s">
        <v>3411</v>
      </c>
      <c r="G302" s="732" t="s">
        <v>583</v>
      </c>
      <c r="H302" s="733" t="s">
        <v>458</v>
      </c>
      <c r="I302" s="739"/>
      <c r="J302" s="735" t="s">
        <v>1287</v>
      </c>
      <c r="K302" s="736"/>
      <c r="L302" s="727"/>
      <c r="M302" s="728"/>
      <c r="N302" s="626" t="s">
        <v>3363</v>
      </c>
      <c r="O302" s="626" t="s">
        <v>3264</v>
      </c>
      <c r="P302" s="1382" t="s">
        <v>2856</v>
      </c>
    </row>
    <row r="303" spans="2:17" s="723" customFormat="1" ht="12" customHeight="1">
      <c r="B303" s="740"/>
      <c r="C303" s="626" t="s">
        <v>2890</v>
      </c>
      <c r="D303" s="626" t="s">
        <v>1769</v>
      </c>
      <c r="E303" s="738" t="s">
        <v>1152</v>
      </c>
      <c r="F303" s="738" t="s">
        <v>3412</v>
      </c>
      <c r="G303" s="732" t="s">
        <v>3373</v>
      </c>
      <c r="H303" s="733" t="s">
        <v>459</v>
      </c>
      <c r="I303" s="739"/>
      <c r="J303" s="735" t="s">
        <v>1288</v>
      </c>
      <c r="K303" s="736"/>
      <c r="L303" s="727"/>
      <c r="M303" s="728"/>
      <c r="N303" s="737" t="s">
        <v>2855</v>
      </c>
      <c r="O303" s="737" t="s">
        <v>1518</v>
      </c>
      <c r="P303" s="626" t="s">
        <v>2194</v>
      </c>
      <c r="Q303" s="732"/>
    </row>
    <row r="304" spans="2:17" s="723" customFormat="1" ht="12" customHeight="1">
      <c r="B304" s="740"/>
      <c r="C304" s="626" t="s">
        <v>2891</v>
      </c>
      <c r="D304" s="626" t="s">
        <v>1745</v>
      </c>
      <c r="E304" s="738" t="s">
        <v>2892</v>
      </c>
      <c r="F304" s="738" t="s">
        <v>3411</v>
      </c>
      <c r="G304" s="732" t="s">
        <v>242</v>
      </c>
      <c r="H304" s="733" t="s">
        <v>458</v>
      </c>
      <c r="I304" s="734"/>
      <c r="J304" s="735" t="s">
        <v>1290</v>
      </c>
      <c r="K304" s="736"/>
      <c r="L304" s="727"/>
      <c r="M304" s="728"/>
      <c r="N304" s="737" t="s">
        <v>2771</v>
      </c>
      <c r="O304" s="737" t="s">
        <v>2347</v>
      </c>
      <c r="P304" s="626" t="s">
        <v>2195</v>
      </c>
      <c r="Q304" s="732"/>
    </row>
    <row r="305" spans="2:17" s="723" customFormat="1" ht="12" customHeight="1">
      <c r="B305" s="740"/>
      <c r="C305" s="626" t="s">
        <v>2893</v>
      </c>
      <c r="D305" s="626" t="s">
        <v>1632</v>
      </c>
      <c r="E305" s="731" t="s">
        <v>2894</v>
      </c>
      <c r="F305" s="738" t="s">
        <v>3411</v>
      </c>
      <c r="G305" s="732" t="s">
        <v>1863</v>
      </c>
      <c r="H305" s="733" t="s">
        <v>458</v>
      </c>
      <c r="I305" s="734"/>
      <c r="J305" s="735" t="s">
        <v>1292</v>
      </c>
      <c r="K305" s="736"/>
      <c r="L305" s="727"/>
      <c r="M305" s="728"/>
      <c r="N305" s="737" t="s">
        <v>2773</v>
      </c>
      <c r="O305" s="737" t="s">
        <v>3321</v>
      </c>
      <c r="P305" s="626" t="s">
        <v>2196</v>
      </c>
      <c r="Q305" s="732"/>
    </row>
    <row r="306" spans="2:17" s="723" customFormat="1" ht="12" customHeight="1">
      <c r="B306" s="740"/>
      <c r="C306" s="626" t="s">
        <v>2895</v>
      </c>
      <c r="D306" s="626" t="s">
        <v>1632</v>
      </c>
      <c r="E306" s="731" t="s">
        <v>2896</v>
      </c>
      <c r="F306" s="731" t="s">
        <v>3411</v>
      </c>
      <c r="G306" s="732" t="s">
        <v>1864</v>
      </c>
      <c r="H306" s="733" t="s">
        <v>458</v>
      </c>
      <c r="I306" s="734"/>
      <c r="J306" s="735" t="s">
        <v>2853</v>
      </c>
      <c r="K306" s="736"/>
      <c r="L306" s="727"/>
      <c r="M306" s="728"/>
      <c r="N306" s="737" t="s">
        <v>1220</v>
      </c>
      <c r="O306" s="737" t="s">
        <v>350</v>
      </c>
      <c r="P306" s="1381" t="s">
        <v>1218</v>
      </c>
    </row>
    <row r="307" spans="2:17" s="723" customFormat="1" ht="12" customHeight="1">
      <c r="B307" s="740"/>
      <c r="C307" s="626" t="s">
        <v>2897</v>
      </c>
      <c r="D307" s="626" t="s">
        <v>1769</v>
      </c>
      <c r="E307" s="731" t="s">
        <v>2898</v>
      </c>
      <c r="F307" s="731" t="s">
        <v>3411</v>
      </c>
      <c r="G307" s="732" t="s">
        <v>1865</v>
      </c>
      <c r="H307" s="733" t="s">
        <v>458</v>
      </c>
      <c r="I307" s="734"/>
      <c r="J307" s="735" t="s">
        <v>2854</v>
      </c>
      <c r="K307" s="736"/>
      <c r="L307" s="727"/>
      <c r="M307" s="728"/>
      <c r="N307" s="737" t="s">
        <v>779</v>
      </c>
      <c r="O307" s="737" t="s">
        <v>128</v>
      </c>
      <c r="P307" s="626" t="s">
        <v>2197</v>
      </c>
      <c r="Q307" s="732"/>
    </row>
    <row r="308" spans="2:17" s="723" customFormat="1" ht="12" customHeight="1">
      <c r="B308" s="740"/>
      <c r="C308" s="626" t="s">
        <v>2899</v>
      </c>
      <c r="D308" s="626" t="s">
        <v>1769</v>
      </c>
      <c r="E308" s="731" t="s">
        <v>2900</v>
      </c>
      <c r="F308" s="731" t="s">
        <v>3411</v>
      </c>
      <c r="G308" s="732" t="s">
        <v>2724</v>
      </c>
      <c r="H308" s="733" t="s">
        <v>458</v>
      </c>
      <c r="I308" s="734"/>
      <c r="J308" s="735" t="s">
        <v>2770</v>
      </c>
      <c r="K308" s="736"/>
      <c r="L308" s="727"/>
      <c r="M308" s="728"/>
      <c r="N308" s="626" t="s">
        <v>3364</v>
      </c>
      <c r="O308" s="626" t="s">
        <v>1761</v>
      </c>
      <c r="P308" s="1382" t="s">
        <v>2856</v>
      </c>
      <c r="Q308" s="732"/>
    </row>
    <row r="309" spans="2:17" s="723" customFormat="1" ht="12" customHeight="1">
      <c r="B309" s="740"/>
      <c r="C309" s="626" t="s">
        <v>2901</v>
      </c>
      <c r="D309" s="626" t="s">
        <v>1632</v>
      </c>
      <c r="E309" s="731" t="s">
        <v>2902</v>
      </c>
      <c r="F309" s="731" t="s">
        <v>3411</v>
      </c>
      <c r="G309" s="732" t="s">
        <v>2725</v>
      </c>
      <c r="H309" s="733" t="s">
        <v>458</v>
      </c>
      <c r="I309" s="734"/>
      <c r="J309" s="735" t="s">
        <v>2772</v>
      </c>
      <c r="K309" s="736"/>
      <c r="L309" s="727"/>
      <c r="M309" s="728"/>
      <c r="N309" s="737" t="s">
        <v>781</v>
      </c>
      <c r="O309" s="737" t="s">
        <v>3386</v>
      </c>
      <c r="P309" s="626" t="s">
        <v>2198</v>
      </c>
    </row>
    <row r="310" spans="2:17" s="723" customFormat="1" ht="12" customHeight="1">
      <c r="B310" s="740"/>
      <c r="C310" s="626" t="s">
        <v>2903</v>
      </c>
      <c r="D310" s="626" t="s">
        <v>1769</v>
      </c>
      <c r="E310" s="731" t="s">
        <v>1265</v>
      </c>
      <c r="F310" s="731" t="s">
        <v>3411</v>
      </c>
      <c r="G310" s="732" t="s">
        <v>2726</v>
      </c>
      <c r="H310" s="733" t="s">
        <v>458</v>
      </c>
      <c r="I310" s="734"/>
      <c r="J310" s="735" t="s">
        <v>777</v>
      </c>
      <c r="K310" s="736"/>
      <c r="L310" s="727"/>
      <c r="M310" s="728"/>
      <c r="N310" s="737" t="s">
        <v>3320</v>
      </c>
      <c r="O310" s="737" t="s">
        <v>3388</v>
      </c>
      <c r="P310" s="626" t="s">
        <v>2199</v>
      </c>
      <c r="Q310" s="732"/>
    </row>
    <row r="311" spans="2:17" s="723" customFormat="1" ht="12" customHeight="1">
      <c r="B311" s="740"/>
      <c r="C311" s="626" t="s">
        <v>1266</v>
      </c>
      <c r="D311" s="626" t="s">
        <v>1632</v>
      </c>
      <c r="E311" s="731" t="s">
        <v>1267</v>
      </c>
      <c r="F311" s="731" t="s">
        <v>3411</v>
      </c>
      <c r="G311" s="732" t="s">
        <v>2727</v>
      </c>
      <c r="H311" s="733" t="s">
        <v>458</v>
      </c>
      <c r="I311" s="739"/>
      <c r="J311" s="735" t="s">
        <v>778</v>
      </c>
      <c r="K311" s="736"/>
      <c r="L311" s="727"/>
      <c r="M311" s="728"/>
      <c r="N311" s="737" t="s">
        <v>785</v>
      </c>
      <c r="O311" s="737" t="s">
        <v>2899</v>
      </c>
      <c r="P311" s="626" t="s">
        <v>2200</v>
      </c>
      <c r="Q311" s="732"/>
    </row>
    <row r="312" spans="2:17" s="723" customFormat="1" ht="12" customHeight="1">
      <c r="B312" s="740"/>
      <c r="C312" s="626" t="s">
        <v>2346</v>
      </c>
      <c r="D312" s="626" t="s">
        <v>1632</v>
      </c>
      <c r="E312" s="738" t="s">
        <v>2477</v>
      </c>
      <c r="F312" s="731" t="s">
        <v>3412</v>
      </c>
      <c r="G312" s="732" t="s">
        <v>1575</v>
      </c>
      <c r="H312" s="733" t="s">
        <v>459</v>
      </c>
      <c r="I312" s="739"/>
      <c r="J312" s="735" t="s">
        <v>780</v>
      </c>
      <c r="K312" s="736"/>
      <c r="L312" s="727"/>
      <c r="M312" s="728"/>
      <c r="N312" s="737" t="s">
        <v>787</v>
      </c>
      <c r="O312" s="737" t="s">
        <v>2238</v>
      </c>
      <c r="P312" s="626" t="s">
        <v>2201</v>
      </c>
      <c r="Q312" s="732"/>
    </row>
    <row r="313" spans="2:17" s="723" customFormat="1" ht="12" customHeight="1">
      <c r="B313" s="740"/>
      <c r="C313" s="626" t="s">
        <v>2347</v>
      </c>
      <c r="D313" s="626" t="s">
        <v>1632</v>
      </c>
      <c r="E313" s="738" t="s">
        <v>2348</v>
      </c>
      <c r="F313" s="738" t="s">
        <v>3411</v>
      </c>
      <c r="G313" s="732" t="s">
        <v>2728</v>
      </c>
      <c r="H313" s="733" t="s">
        <v>458</v>
      </c>
      <c r="I313" s="739"/>
      <c r="J313" s="735" t="s">
        <v>782</v>
      </c>
      <c r="K313" s="736"/>
      <c r="L313" s="727"/>
      <c r="M313" s="728"/>
      <c r="N313" s="737" t="s">
        <v>713</v>
      </c>
      <c r="O313" s="737" t="s">
        <v>845</v>
      </c>
      <c r="P313" s="626" t="s">
        <v>2202</v>
      </c>
    </row>
    <row r="314" spans="2:17" s="723" customFormat="1" ht="12" customHeight="1">
      <c r="B314" s="740"/>
      <c r="C314" s="626" t="s">
        <v>2349</v>
      </c>
      <c r="D314" s="626" t="s">
        <v>1632</v>
      </c>
      <c r="E314" s="738" t="s">
        <v>2617</v>
      </c>
      <c r="F314" s="738" t="s">
        <v>3411</v>
      </c>
      <c r="G314" s="732" t="s">
        <v>1580</v>
      </c>
      <c r="H314" s="733" t="s">
        <v>458</v>
      </c>
      <c r="I314" s="739"/>
      <c r="J314" s="735" t="s">
        <v>783</v>
      </c>
      <c r="K314" s="736"/>
      <c r="L314" s="727"/>
      <c r="M314" s="728"/>
      <c r="N314" s="737" t="s">
        <v>715</v>
      </c>
      <c r="O314" s="737" t="s">
        <v>176</v>
      </c>
      <c r="P314" s="1381" t="s">
        <v>1218</v>
      </c>
      <c r="Q314" s="732"/>
    </row>
    <row r="315" spans="2:17" s="723" customFormat="1" ht="12" customHeight="1">
      <c r="B315" s="740"/>
      <c r="C315" s="626" t="s">
        <v>2618</v>
      </c>
      <c r="D315" s="626" t="s">
        <v>1632</v>
      </c>
      <c r="E315" s="738" t="s">
        <v>2619</v>
      </c>
      <c r="F315" s="738" t="s">
        <v>3411</v>
      </c>
      <c r="G315" s="732" t="s">
        <v>1581</v>
      </c>
      <c r="H315" s="733" t="s">
        <v>458</v>
      </c>
      <c r="I315" s="739"/>
      <c r="J315" s="735" t="s">
        <v>784</v>
      </c>
      <c r="K315" s="736"/>
      <c r="L315" s="727"/>
      <c r="M315" s="728"/>
      <c r="N315" s="737" t="s">
        <v>1051</v>
      </c>
      <c r="O315" s="737" t="s">
        <v>1515</v>
      </c>
      <c r="P315" s="626" t="s">
        <v>2203</v>
      </c>
      <c r="Q315" s="732"/>
    </row>
    <row r="316" spans="2:17" s="723" customFormat="1" ht="12" customHeight="1">
      <c r="B316" s="740"/>
      <c r="C316" s="626" t="s">
        <v>2620</v>
      </c>
      <c r="D316" s="626" t="s">
        <v>1745</v>
      </c>
      <c r="E316" s="738" t="s">
        <v>2621</v>
      </c>
      <c r="F316" s="738" t="s">
        <v>3411</v>
      </c>
      <c r="G316" s="732" t="s">
        <v>1582</v>
      </c>
      <c r="H316" s="733" t="s">
        <v>458</v>
      </c>
      <c r="I316" s="739"/>
      <c r="J316" s="735" t="s">
        <v>786</v>
      </c>
      <c r="K316" s="736"/>
      <c r="L316" s="727"/>
      <c r="M316" s="728"/>
      <c r="N316" s="737" t="s">
        <v>1053</v>
      </c>
      <c r="O316" s="737" t="s">
        <v>127</v>
      </c>
      <c r="P316" s="626" t="s">
        <v>2204</v>
      </c>
      <c r="Q316" s="732"/>
    </row>
    <row r="317" spans="2:17" s="723" customFormat="1" ht="12" customHeight="1">
      <c r="B317" s="740"/>
      <c r="C317" s="626" t="s">
        <v>2622</v>
      </c>
      <c r="D317" s="626" t="s">
        <v>1632</v>
      </c>
      <c r="E317" s="738" t="s">
        <v>2623</v>
      </c>
      <c r="F317" s="738" t="s">
        <v>3411</v>
      </c>
      <c r="G317" s="732" t="s">
        <v>1583</v>
      </c>
      <c r="H317" s="733" t="s">
        <v>458</v>
      </c>
      <c r="I317" s="734"/>
      <c r="J317" s="735" t="s">
        <v>788</v>
      </c>
      <c r="K317" s="736"/>
      <c r="L317" s="727"/>
      <c r="M317" s="728"/>
      <c r="N317" s="737" t="s">
        <v>40</v>
      </c>
      <c r="O317" s="737" t="s">
        <v>193</v>
      </c>
      <c r="P317" s="626" t="s">
        <v>2205</v>
      </c>
      <c r="Q317" s="732"/>
    </row>
    <row r="318" spans="2:17" s="723" customFormat="1" ht="12" customHeight="1">
      <c r="B318" s="740"/>
      <c r="C318" s="626" t="s">
        <v>2624</v>
      </c>
      <c r="D318" s="626" t="s">
        <v>1769</v>
      </c>
      <c r="E318" s="731" t="s">
        <v>2625</v>
      </c>
      <c r="F318" s="738" t="s">
        <v>3411</v>
      </c>
      <c r="G318" s="732" t="s">
        <v>1584</v>
      </c>
      <c r="H318" s="733" t="s">
        <v>458</v>
      </c>
      <c r="I318" s="739"/>
      <c r="J318" s="735" t="s">
        <v>714</v>
      </c>
      <c r="K318" s="736"/>
      <c r="L318" s="727"/>
      <c r="M318" s="728"/>
      <c r="N318" s="737" t="s">
        <v>2676</v>
      </c>
      <c r="O318" s="737" t="s">
        <v>2971</v>
      </c>
      <c r="P318" s="626" t="s">
        <v>2206</v>
      </c>
      <c r="Q318" s="732"/>
    </row>
    <row r="319" spans="2:17" s="723" customFormat="1" ht="12" customHeight="1">
      <c r="B319" s="740"/>
      <c r="C319" s="626" t="s">
        <v>2626</v>
      </c>
      <c r="D319" s="626" t="s">
        <v>1632</v>
      </c>
      <c r="E319" s="738" t="s">
        <v>2627</v>
      </c>
      <c r="F319" s="731" t="s">
        <v>3411</v>
      </c>
      <c r="G319" s="732" t="s">
        <v>1585</v>
      </c>
      <c r="H319" s="733" t="s">
        <v>458</v>
      </c>
      <c r="I319" s="739"/>
      <c r="J319" s="735" t="s">
        <v>1570</v>
      </c>
      <c r="K319" s="736"/>
      <c r="L319" s="727"/>
      <c r="M319" s="728"/>
      <c r="N319" s="737" t="s">
        <v>2678</v>
      </c>
      <c r="O319" s="737" t="s">
        <v>3389</v>
      </c>
      <c r="P319" s="626" t="s">
        <v>2207</v>
      </c>
      <c r="Q319" s="732"/>
    </row>
    <row r="320" spans="2:17" s="723" customFormat="1" ht="12" customHeight="1">
      <c r="B320" s="740"/>
      <c r="C320" s="626" t="s">
        <v>2628</v>
      </c>
      <c r="D320" s="626" t="s">
        <v>1769</v>
      </c>
      <c r="E320" s="738" t="s">
        <v>1754</v>
      </c>
      <c r="F320" s="738" t="s">
        <v>3412</v>
      </c>
      <c r="G320" s="732" t="s">
        <v>3376</v>
      </c>
      <c r="H320" s="733" t="s">
        <v>459</v>
      </c>
      <c r="I320" s="739"/>
      <c r="J320" s="735" t="s">
        <v>1052</v>
      </c>
      <c r="K320" s="736"/>
      <c r="L320" s="727"/>
      <c r="M320" s="728"/>
      <c r="N320" s="737" t="s">
        <v>367</v>
      </c>
      <c r="O320" s="737" t="s">
        <v>2660</v>
      </c>
      <c r="P320" s="626" t="s">
        <v>2208</v>
      </c>
      <c r="Q320" s="732"/>
    </row>
    <row r="321" spans="2:19" s="723" customFormat="1" ht="12" customHeight="1">
      <c r="B321" s="740"/>
      <c r="C321" s="626" t="s">
        <v>2629</v>
      </c>
      <c r="D321" s="626" t="s">
        <v>1745</v>
      </c>
      <c r="E321" s="738" t="s">
        <v>2630</v>
      </c>
      <c r="F321" s="738" t="s">
        <v>3411</v>
      </c>
      <c r="G321" s="732" t="s">
        <v>1586</v>
      </c>
      <c r="H321" s="733" t="s">
        <v>458</v>
      </c>
      <c r="I321" s="734"/>
      <c r="J321" s="735" t="s">
        <v>39</v>
      </c>
      <c r="K321" s="736"/>
      <c r="L321" s="727"/>
      <c r="M321" s="728"/>
      <c r="N321" s="737" t="s">
        <v>369</v>
      </c>
      <c r="O321" s="737" t="s">
        <v>1269</v>
      </c>
      <c r="P321" s="626" t="s">
        <v>2209</v>
      </c>
      <c r="Q321" s="732"/>
    </row>
    <row r="322" spans="2:19" s="723" customFormat="1" ht="12" customHeight="1">
      <c r="B322" s="740"/>
      <c r="C322" s="626" t="s">
        <v>2717</v>
      </c>
      <c r="D322" s="626" t="s">
        <v>1769</v>
      </c>
      <c r="E322" s="731" t="s">
        <v>2718</v>
      </c>
      <c r="F322" s="738" t="s">
        <v>3411</v>
      </c>
      <c r="G322" s="732" t="s">
        <v>1587</v>
      </c>
      <c r="H322" s="733" t="s">
        <v>458</v>
      </c>
      <c r="I322" s="739"/>
      <c r="J322" s="735" t="s">
        <v>2675</v>
      </c>
      <c r="K322" s="736"/>
      <c r="L322" s="727"/>
      <c r="M322" s="728"/>
      <c r="N322" s="737" t="s">
        <v>371</v>
      </c>
      <c r="O322" s="737" t="s">
        <v>196</v>
      </c>
      <c r="P322" s="626" t="s">
        <v>2210</v>
      </c>
      <c r="Q322" s="732"/>
    </row>
    <row r="323" spans="2:19" s="723" customFormat="1" ht="12" customHeight="1">
      <c r="B323" s="740"/>
      <c r="C323" s="626" t="s">
        <v>2719</v>
      </c>
      <c r="D323" s="626" t="s">
        <v>1745</v>
      </c>
      <c r="E323" s="738" t="s">
        <v>1978</v>
      </c>
      <c r="F323" s="731" t="s">
        <v>3412</v>
      </c>
      <c r="G323" s="732" t="s">
        <v>2370</v>
      </c>
      <c r="H323" s="733" t="s">
        <v>459</v>
      </c>
      <c r="I323" s="739"/>
      <c r="J323" s="735" t="s">
        <v>2677</v>
      </c>
      <c r="K323" s="736"/>
      <c r="L323" s="727"/>
      <c r="M323" s="728"/>
      <c r="N323" s="737" t="s">
        <v>373</v>
      </c>
      <c r="O323" s="737" t="s">
        <v>3158</v>
      </c>
      <c r="P323" s="626" t="s">
        <v>2211</v>
      </c>
      <c r="Q323" s="732"/>
    </row>
    <row r="324" spans="2:19" s="723" customFormat="1" ht="12" customHeight="1">
      <c r="B324" s="740"/>
      <c r="C324" s="626" t="s">
        <v>2720</v>
      </c>
      <c r="D324" s="626" t="s">
        <v>1769</v>
      </c>
      <c r="E324" s="738" t="s">
        <v>1152</v>
      </c>
      <c r="F324" s="738" t="s">
        <v>3412</v>
      </c>
      <c r="G324" s="732" t="s">
        <v>3373</v>
      </c>
      <c r="H324" s="733" t="s">
        <v>459</v>
      </c>
      <c r="I324" s="739"/>
      <c r="J324" s="735" t="s">
        <v>366</v>
      </c>
      <c r="K324" s="736"/>
      <c r="L324" s="727"/>
      <c r="M324" s="728"/>
      <c r="N324" s="737" t="s">
        <v>375</v>
      </c>
      <c r="O324" s="737" t="s">
        <v>2585</v>
      </c>
      <c r="P324" s="626" t="s">
        <v>2212</v>
      </c>
      <c r="Q324" s="732"/>
    </row>
    <row r="325" spans="2:19" s="723" customFormat="1" ht="12" customHeight="1">
      <c r="B325" s="740"/>
      <c r="C325" s="626" t="s">
        <v>2721</v>
      </c>
      <c r="D325" s="626" t="s">
        <v>1632</v>
      </c>
      <c r="E325" s="738" t="s">
        <v>109</v>
      </c>
      <c r="F325" s="738" t="s">
        <v>3411</v>
      </c>
      <c r="G325" s="732" t="s">
        <v>1588</v>
      </c>
      <c r="H325" s="733" t="s">
        <v>458</v>
      </c>
      <c r="I325" s="739"/>
      <c r="J325" s="735" t="s">
        <v>368</v>
      </c>
      <c r="K325" s="736"/>
      <c r="L325" s="727"/>
      <c r="M325" s="728"/>
      <c r="N325" s="737" t="s">
        <v>377</v>
      </c>
      <c r="O325" s="737" t="s">
        <v>192</v>
      </c>
      <c r="P325" s="626" t="s">
        <v>1069</v>
      </c>
      <c r="Q325" s="732"/>
    </row>
    <row r="326" spans="2:19" s="723" customFormat="1" ht="12" customHeight="1">
      <c r="B326" s="740"/>
      <c r="C326" s="626" t="s">
        <v>110</v>
      </c>
      <c r="D326" s="626" t="s">
        <v>1769</v>
      </c>
      <c r="E326" s="738" t="s">
        <v>111</v>
      </c>
      <c r="F326" s="738" t="s">
        <v>3411</v>
      </c>
      <c r="G326" s="732" t="s">
        <v>1589</v>
      </c>
      <c r="H326" s="733" t="s">
        <v>458</v>
      </c>
      <c r="I326" s="739"/>
      <c r="J326" s="735" t="s">
        <v>370</v>
      </c>
      <c r="K326" s="736"/>
      <c r="L326" s="727"/>
      <c r="M326" s="728"/>
      <c r="N326" s="737" t="s">
        <v>2651</v>
      </c>
      <c r="O326" s="737" t="s">
        <v>112</v>
      </c>
      <c r="P326" s="626" t="s">
        <v>1070</v>
      </c>
      <c r="Q326" s="732"/>
    </row>
    <row r="327" spans="2:19" s="723" customFormat="1" ht="12" customHeight="1">
      <c r="B327" s="740"/>
      <c r="C327" s="626" t="s">
        <v>112</v>
      </c>
      <c r="D327" s="626" t="s">
        <v>1632</v>
      </c>
      <c r="E327" s="738" t="s">
        <v>113</v>
      </c>
      <c r="F327" s="738" t="s">
        <v>3411</v>
      </c>
      <c r="G327" s="732" t="s">
        <v>1590</v>
      </c>
      <c r="H327" s="733" t="s">
        <v>458</v>
      </c>
      <c r="I327" s="739"/>
      <c r="J327" s="735" t="s">
        <v>372</v>
      </c>
      <c r="K327" s="736"/>
      <c r="L327" s="727"/>
      <c r="M327" s="728"/>
      <c r="N327" s="737" t="s">
        <v>213</v>
      </c>
      <c r="O327" s="737" t="s">
        <v>2346</v>
      </c>
      <c r="P327" s="626" t="s">
        <v>1071</v>
      </c>
      <c r="Q327" s="732"/>
    </row>
    <row r="328" spans="2:19" s="723" customFormat="1" ht="12" customHeight="1">
      <c r="B328" s="740"/>
      <c r="C328" s="626" t="s">
        <v>114</v>
      </c>
      <c r="D328" s="626" t="s">
        <v>1632</v>
      </c>
      <c r="E328" s="738" t="s">
        <v>115</v>
      </c>
      <c r="F328" s="738" t="s">
        <v>3411</v>
      </c>
      <c r="G328" s="732" t="s">
        <v>1591</v>
      </c>
      <c r="H328" s="733" t="s">
        <v>458</v>
      </c>
      <c r="I328" s="739"/>
      <c r="J328" s="735" t="s">
        <v>374</v>
      </c>
      <c r="K328" s="736"/>
      <c r="L328" s="727"/>
      <c r="M328" s="728"/>
      <c r="N328" s="737" t="s">
        <v>2871</v>
      </c>
      <c r="O328" s="737" t="s">
        <v>213</v>
      </c>
      <c r="P328" s="626" t="s">
        <v>1072</v>
      </c>
      <c r="Q328" s="732"/>
    </row>
    <row r="329" spans="2:19" s="723" customFormat="1" ht="12" customHeight="1">
      <c r="B329" s="740"/>
      <c r="C329" s="626" t="s">
        <v>116</v>
      </c>
      <c r="D329" s="626" t="s">
        <v>1632</v>
      </c>
      <c r="E329" s="738" t="s">
        <v>117</v>
      </c>
      <c r="F329" s="738" t="s">
        <v>3411</v>
      </c>
      <c r="G329" s="732" t="s">
        <v>1592</v>
      </c>
      <c r="H329" s="733" t="s">
        <v>458</v>
      </c>
      <c r="I329" s="739"/>
      <c r="J329" s="735" t="s">
        <v>376</v>
      </c>
      <c r="K329" s="736"/>
      <c r="L329" s="727"/>
      <c r="M329" s="728"/>
      <c r="N329" s="737" t="s">
        <v>877</v>
      </c>
      <c r="O329" s="737" t="s">
        <v>2895</v>
      </c>
      <c r="P329" s="626" t="s">
        <v>1073</v>
      </c>
      <c r="Q329" s="732"/>
    </row>
    <row r="330" spans="2:19" s="723" customFormat="1" ht="12" customHeight="1">
      <c r="B330" s="740"/>
      <c r="C330" s="626" t="s">
        <v>118</v>
      </c>
      <c r="D330" s="626" t="s">
        <v>1632</v>
      </c>
      <c r="E330" s="738" t="s">
        <v>119</v>
      </c>
      <c r="F330" s="738" t="s">
        <v>3411</v>
      </c>
      <c r="G330" s="732" t="s">
        <v>3111</v>
      </c>
      <c r="H330" s="733" t="s">
        <v>458</v>
      </c>
      <c r="I330" s="739"/>
      <c r="J330" s="735" t="s">
        <v>2650</v>
      </c>
      <c r="K330" s="736"/>
      <c r="L330" s="727"/>
      <c r="M330" s="728"/>
      <c r="N330" s="737" t="s">
        <v>171</v>
      </c>
      <c r="O330" s="737" t="s">
        <v>2584</v>
      </c>
      <c r="P330" s="626" t="s">
        <v>1074</v>
      </c>
      <c r="Q330" s="732"/>
    </row>
    <row r="331" spans="2:19" s="723" customFormat="1" ht="12" customHeight="1">
      <c r="B331" s="740"/>
      <c r="C331" s="626" t="s">
        <v>120</v>
      </c>
      <c r="D331" s="626" t="s">
        <v>1745</v>
      </c>
      <c r="E331" s="738" t="s">
        <v>121</v>
      </c>
      <c r="F331" s="738" t="s">
        <v>3411</v>
      </c>
      <c r="G331" s="732" t="s">
        <v>3112</v>
      </c>
      <c r="H331" s="733" t="s">
        <v>458</v>
      </c>
      <c r="I331" s="734"/>
      <c r="J331" s="735" t="s">
        <v>2652</v>
      </c>
      <c r="K331" s="736"/>
      <c r="L331" s="727"/>
      <c r="M331" s="728"/>
      <c r="N331" s="737" t="s">
        <v>214</v>
      </c>
      <c r="O331" s="737" t="s">
        <v>808</v>
      </c>
      <c r="P331" s="626" t="s">
        <v>1075</v>
      </c>
      <c r="Q331" s="732"/>
    </row>
    <row r="332" spans="2:19" s="723" customFormat="1" ht="12" customHeight="1">
      <c r="B332" s="740"/>
      <c r="C332" s="626" t="s">
        <v>2660</v>
      </c>
      <c r="D332" s="626" t="s">
        <v>1745</v>
      </c>
      <c r="E332" s="731" t="s">
        <v>367</v>
      </c>
      <c r="F332" s="738" t="s">
        <v>3412</v>
      </c>
      <c r="G332" s="732" t="s">
        <v>3113</v>
      </c>
      <c r="H332" s="733" t="s">
        <v>459</v>
      </c>
      <c r="I332" s="739"/>
      <c r="J332" s="735" t="s">
        <v>2870</v>
      </c>
      <c r="K332" s="736"/>
      <c r="L332" s="727"/>
      <c r="M332" s="728"/>
      <c r="N332" s="626" t="s">
        <v>3365</v>
      </c>
      <c r="O332" s="626" t="s">
        <v>2721</v>
      </c>
      <c r="P332" s="1382" t="s">
        <v>2856</v>
      </c>
      <c r="Q332" s="732"/>
    </row>
    <row r="333" spans="2:19" s="723" customFormat="1" ht="12" customHeight="1">
      <c r="B333" s="740"/>
      <c r="C333" s="626" t="s">
        <v>2661</v>
      </c>
      <c r="D333" s="626" t="s">
        <v>1632</v>
      </c>
      <c r="E333" s="738" t="s">
        <v>3155</v>
      </c>
      <c r="F333" s="731" t="s">
        <v>3411</v>
      </c>
      <c r="G333" s="732" t="s">
        <v>3114</v>
      </c>
      <c r="H333" s="733" t="s">
        <v>458</v>
      </c>
      <c r="I333" s="739"/>
      <c r="J333" s="735" t="s">
        <v>169</v>
      </c>
      <c r="K333" s="736"/>
      <c r="L333" s="727"/>
      <c r="M333" s="728"/>
      <c r="N333" s="737" t="s">
        <v>1184</v>
      </c>
      <c r="O333" s="737" t="s">
        <v>112</v>
      </c>
      <c r="P333" s="626" t="s">
        <v>1076</v>
      </c>
      <c r="Q333" s="732"/>
    </row>
    <row r="334" spans="2:19" s="723" customFormat="1" ht="12" customHeight="1">
      <c r="B334" s="740"/>
      <c r="C334" s="626" t="s">
        <v>3156</v>
      </c>
      <c r="D334" s="626" t="s">
        <v>1769</v>
      </c>
      <c r="E334" s="738" t="s">
        <v>3157</v>
      </c>
      <c r="F334" s="738" t="s">
        <v>3411</v>
      </c>
      <c r="G334" s="732" t="s">
        <v>456</v>
      </c>
      <c r="H334" s="733" t="s">
        <v>458</v>
      </c>
      <c r="I334" s="739"/>
      <c r="J334" s="735" t="s">
        <v>170</v>
      </c>
      <c r="K334" s="736"/>
      <c r="L334" s="727"/>
      <c r="M334" s="728"/>
      <c r="N334" s="737" t="s">
        <v>1186</v>
      </c>
      <c r="O334" s="737" t="s">
        <v>128</v>
      </c>
      <c r="P334" s="626" t="s">
        <v>1077</v>
      </c>
      <c r="Q334" s="732"/>
      <c r="R334" s="626"/>
      <c r="S334" s="626"/>
    </row>
    <row r="335" spans="2:19" s="723" customFormat="1" ht="12" customHeight="1">
      <c r="B335" s="740"/>
      <c r="C335" s="626" t="s">
        <v>3158</v>
      </c>
      <c r="D335" s="626" t="s">
        <v>1769</v>
      </c>
      <c r="E335" s="738" t="s">
        <v>3159</v>
      </c>
      <c r="F335" s="738" t="s">
        <v>3411</v>
      </c>
      <c r="G335" s="732" t="s">
        <v>457</v>
      </c>
      <c r="H335" s="733" t="s">
        <v>458</v>
      </c>
      <c r="I335" s="739"/>
      <c r="J335" s="735" t="s">
        <v>2040</v>
      </c>
      <c r="K335" s="736"/>
      <c r="L335" s="727"/>
      <c r="M335" s="728"/>
      <c r="N335" s="737" t="s">
        <v>1188</v>
      </c>
      <c r="O335" s="737" t="s">
        <v>358</v>
      </c>
      <c r="P335" s="626" t="s">
        <v>1078</v>
      </c>
      <c r="Q335" s="732"/>
      <c r="R335" s="626"/>
      <c r="S335" s="626"/>
    </row>
    <row r="336" spans="2:19" s="723" customFormat="1" ht="12" customHeight="1">
      <c r="B336" s="722"/>
      <c r="C336" s="626" t="s">
        <v>3160</v>
      </c>
      <c r="D336" s="626" t="s">
        <v>1632</v>
      </c>
      <c r="E336" s="738" t="s">
        <v>2477</v>
      </c>
      <c r="F336" s="738" t="s">
        <v>3412</v>
      </c>
      <c r="G336" s="732" t="s">
        <v>1575</v>
      </c>
      <c r="H336" s="733" t="s">
        <v>459</v>
      </c>
      <c r="J336" s="735" t="s">
        <v>1183</v>
      </c>
      <c r="K336" s="736"/>
      <c r="L336" s="727"/>
      <c r="M336" s="728"/>
      <c r="N336" s="737" t="s">
        <v>3190</v>
      </c>
      <c r="O336" s="737" t="s">
        <v>1899</v>
      </c>
      <c r="P336" s="626" t="s">
        <v>1079</v>
      </c>
      <c r="Q336" s="732"/>
      <c r="R336" s="626"/>
      <c r="S336" s="626"/>
    </row>
    <row r="337" spans="2:19" s="723" customFormat="1" ht="12" customHeight="1">
      <c r="B337" s="722"/>
      <c r="F337" s="738"/>
      <c r="J337" s="735" t="s">
        <v>1185</v>
      </c>
      <c r="K337" s="736"/>
      <c r="L337" s="727"/>
      <c r="M337" s="728"/>
      <c r="N337" s="737" t="s">
        <v>3192</v>
      </c>
      <c r="O337" s="737" t="s">
        <v>1513</v>
      </c>
      <c r="P337" s="626" t="s">
        <v>1080</v>
      </c>
      <c r="R337" s="626"/>
      <c r="S337" s="626"/>
    </row>
    <row r="338" spans="2:19" s="723" customFormat="1" ht="12" customHeight="1">
      <c r="B338" s="722"/>
      <c r="J338" s="735" t="s">
        <v>1187</v>
      </c>
      <c r="K338" s="736"/>
      <c r="L338" s="727"/>
      <c r="M338" s="728"/>
      <c r="N338" s="626" t="s">
        <v>3366</v>
      </c>
      <c r="O338" s="626" t="s">
        <v>852</v>
      </c>
      <c r="P338" s="1382" t="s">
        <v>2856</v>
      </c>
      <c r="R338" s="626"/>
      <c r="S338" s="626"/>
    </row>
    <row r="339" spans="2:19" s="723" customFormat="1" ht="12" customHeight="1">
      <c r="B339" s="722"/>
      <c r="J339" s="735" t="s">
        <v>3188</v>
      </c>
      <c r="K339" s="736"/>
      <c r="L339" s="727"/>
      <c r="M339" s="728"/>
      <c r="N339" s="737" t="s">
        <v>414</v>
      </c>
      <c r="O339" s="737" t="s">
        <v>3270</v>
      </c>
      <c r="P339" s="626" t="s">
        <v>1081</v>
      </c>
      <c r="R339" s="626"/>
      <c r="S339" s="626"/>
    </row>
    <row r="340" spans="2:19" s="723" customFormat="1" ht="12" customHeight="1">
      <c r="B340" s="722"/>
      <c r="J340" s="735" t="s">
        <v>3189</v>
      </c>
      <c r="K340" s="736"/>
      <c r="L340" s="727"/>
      <c r="M340" s="728"/>
      <c r="N340" s="737" t="s">
        <v>416</v>
      </c>
      <c r="O340" s="737" t="s">
        <v>2888</v>
      </c>
      <c r="P340" s="626" t="s">
        <v>1082</v>
      </c>
      <c r="R340" s="626"/>
      <c r="S340" s="626"/>
    </row>
    <row r="341" spans="2:19" s="723" customFormat="1" ht="12" customHeight="1">
      <c r="B341" s="722"/>
      <c r="J341" s="735" t="s">
        <v>3191</v>
      </c>
      <c r="K341" s="736"/>
      <c r="L341" s="727"/>
      <c r="M341" s="728"/>
      <c r="N341" s="737" t="s">
        <v>52</v>
      </c>
      <c r="O341" s="737" t="s">
        <v>1350</v>
      </c>
      <c r="P341" s="626" t="s">
        <v>1083</v>
      </c>
    </row>
    <row r="342" spans="2:19" s="723" customFormat="1" ht="12" customHeight="1">
      <c r="B342" s="722"/>
      <c r="J342" s="735" t="s">
        <v>3193</v>
      </c>
      <c r="K342" s="736"/>
      <c r="L342" s="727"/>
      <c r="M342" s="728"/>
      <c r="N342" s="737" t="s">
        <v>54</v>
      </c>
      <c r="O342" s="737" t="s">
        <v>808</v>
      </c>
      <c r="P342" s="626" t="s">
        <v>1084</v>
      </c>
    </row>
    <row r="343" spans="2:19" s="723" customFormat="1" ht="12" customHeight="1">
      <c r="B343" s="722"/>
      <c r="J343" s="735" t="s">
        <v>3194</v>
      </c>
      <c r="K343" s="736"/>
      <c r="L343" s="727"/>
      <c r="M343" s="728"/>
      <c r="N343" s="737" t="s">
        <v>1268</v>
      </c>
      <c r="O343" s="737" t="s">
        <v>3268</v>
      </c>
      <c r="P343" s="626" t="s">
        <v>1085</v>
      </c>
    </row>
    <row r="344" spans="2:19" s="723" customFormat="1" ht="12" customHeight="1">
      <c r="B344" s="722"/>
      <c r="J344" s="735" t="s">
        <v>415</v>
      </c>
      <c r="K344" s="736"/>
      <c r="L344" s="727"/>
      <c r="M344" s="728"/>
      <c r="N344" s="737" t="s">
        <v>2633</v>
      </c>
      <c r="O344" s="737" t="s">
        <v>1268</v>
      </c>
      <c r="P344" s="626" t="s">
        <v>1086</v>
      </c>
    </row>
    <row r="345" spans="2:19" s="723" customFormat="1" ht="12" customHeight="1">
      <c r="B345" s="722"/>
      <c r="J345" s="735" t="s">
        <v>51</v>
      </c>
      <c r="K345" s="736"/>
      <c r="L345" s="727"/>
      <c r="M345" s="728"/>
      <c r="N345" s="626" t="s">
        <v>3367</v>
      </c>
      <c r="O345" s="626" t="s">
        <v>808</v>
      </c>
      <c r="P345" s="1382" t="s">
        <v>2856</v>
      </c>
    </row>
    <row r="346" spans="2:19" s="723" customFormat="1" ht="12" customHeight="1">
      <c r="B346" s="722"/>
      <c r="J346" s="735" t="s">
        <v>53</v>
      </c>
      <c r="K346" s="736"/>
      <c r="L346" s="727"/>
      <c r="M346" s="728"/>
      <c r="N346" s="737" t="s">
        <v>2638</v>
      </c>
      <c r="O346" s="737" t="s">
        <v>1899</v>
      </c>
      <c r="P346" s="626" t="s">
        <v>1087</v>
      </c>
    </row>
    <row r="347" spans="2:19" s="723" customFormat="1" ht="12" customHeight="1">
      <c r="B347" s="722"/>
      <c r="J347" s="735" t="s">
        <v>2631</v>
      </c>
      <c r="K347" s="736"/>
      <c r="L347" s="727"/>
      <c r="M347" s="728"/>
      <c r="N347" s="737" t="s">
        <v>2640</v>
      </c>
      <c r="O347" s="737" t="s">
        <v>1899</v>
      </c>
      <c r="P347" s="626" t="s">
        <v>1088</v>
      </c>
    </row>
    <row r="348" spans="2:19" s="723" customFormat="1" ht="12" customHeight="1">
      <c r="B348" s="722"/>
      <c r="J348" s="735" t="s">
        <v>2632</v>
      </c>
      <c r="K348" s="736"/>
      <c r="L348" s="727"/>
      <c r="M348" s="728"/>
      <c r="N348" s="737" t="s">
        <v>906</v>
      </c>
      <c r="O348" s="737" t="s">
        <v>127</v>
      </c>
      <c r="P348" s="626" t="s">
        <v>1089</v>
      </c>
    </row>
    <row r="349" spans="2:19" s="723" customFormat="1" ht="12" customHeight="1">
      <c r="B349" s="722"/>
      <c r="J349" s="735" t="s">
        <v>2634</v>
      </c>
      <c r="K349" s="736"/>
      <c r="L349" s="727"/>
      <c r="M349" s="728"/>
      <c r="N349" s="741" t="s">
        <v>878</v>
      </c>
      <c r="O349" s="737" t="s">
        <v>808</v>
      </c>
      <c r="P349" s="626" t="s">
        <v>1090</v>
      </c>
    </row>
    <row r="350" spans="2:19" s="723" customFormat="1" ht="12" customHeight="1">
      <c r="B350" s="722"/>
      <c r="J350" s="735" t="s">
        <v>2635</v>
      </c>
      <c r="K350" s="736"/>
      <c r="L350" s="727"/>
      <c r="M350" s="728"/>
      <c r="N350" s="737" t="s">
        <v>2636</v>
      </c>
      <c r="O350" s="737" t="s">
        <v>3265</v>
      </c>
      <c r="P350" s="626" t="s">
        <v>1091</v>
      </c>
    </row>
    <row r="351" spans="2:19" s="723" customFormat="1" ht="12" customHeight="1">
      <c r="B351" s="722"/>
      <c r="J351" s="735" t="s">
        <v>2637</v>
      </c>
      <c r="K351" s="736"/>
      <c r="L351" s="727"/>
      <c r="M351" s="728"/>
      <c r="N351" s="737" t="s">
        <v>1553</v>
      </c>
      <c r="O351" s="737" t="s">
        <v>1899</v>
      </c>
      <c r="P351" s="626" t="s">
        <v>1092</v>
      </c>
    </row>
    <row r="352" spans="2:19" s="723" customFormat="1" ht="12" customHeight="1">
      <c r="B352" s="722"/>
      <c r="J352" s="735" t="s">
        <v>2639</v>
      </c>
      <c r="K352" s="736"/>
      <c r="L352" s="727"/>
      <c r="M352" s="728"/>
      <c r="N352" s="737" t="s">
        <v>1555</v>
      </c>
      <c r="O352" s="737" t="s">
        <v>848</v>
      </c>
      <c r="P352" s="728" t="s">
        <v>1093</v>
      </c>
    </row>
    <row r="353" spans="2:16" s="723" customFormat="1" ht="12" customHeight="1">
      <c r="B353" s="722"/>
      <c r="J353" s="735" t="s">
        <v>905</v>
      </c>
      <c r="K353" s="736"/>
      <c r="L353" s="727"/>
      <c r="M353" s="728"/>
      <c r="N353" s="626" t="s">
        <v>3368</v>
      </c>
      <c r="O353" s="626" t="s">
        <v>2890</v>
      </c>
      <c r="P353" s="1382" t="s">
        <v>2856</v>
      </c>
    </row>
    <row r="354" spans="2:16" s="723" customFormat="1" ht="12" customHeight="1">
      <c r="B354" s="722"/>
      <c r="J354" s="735" t="s">
        <v>1552</v>
      </c>
      <c r="K354" s="736"/>
      <c r="L354" s="727"/>
      <c r="M354" s="728"/>
      <c r="N354" s="626" t="s">
        <v>3369</v>
      </c>
      <c r="O354" s="626" t="s">
        <v>3319</v>
      </c>
      <c r="P354" s="1382" t="s">
        <v>2856</v>
      </c>
    </row>
    <row r="355" spans="2:16" s="723" customFormat="1" ht="12" customHeight="1">
      <c r="B355" s="722"/>
      <c r="J355" s="735" t="s">
        <v>1554</v>
      </c>
      <c r="K355" s="736"/>
      <c r="L355" s="727"/>
      <c r="M355" s="728"/>
      <c r="N355" s="737" t="s">
        <v>1557</v>
      </c>
      <c r="O355" s="737" t="s">
        <v>1627</v>
      </c>
      <c r="P355" s="728" t="s">
        <v>1094</v>
      </c>
    </row>
    <row r="356" spans="2:16" s="723" customFormat="1" ht="12" customHeight="1">
      <c r="B356" s="722"/>
      <c r="J356" s="735" t="s">
        <v>1556</v>
      </c>
      <c r="K356" s="736"/>
      <c r="L356" s="727"/>
      <c r="M356" s="728"/>
      <c r="N356" s="737" t="s">
        <v>3300</v>
      </c>
      <c r="O356" s="737" t="s">
        <v>217</v>
      </c>
      <c r="P356" s="728" t="s">
        <v>1095</v>
      </c>
    </row>
    <row r="357" spans="2:16" s="723" customFormat="1" ht="12" customHeight="1">
      <c r="B357" s="722"/>
      <c r="J357" s="735" t="s">
        <v>3299</v>
      </c>
      <c r="K357" s="736"/>
      <c r="L357" s="727"/>
      <c r="M357" s="728"/>
      <c r="N357" s="737" t="s">
        <v>582</v>
      </c>
      <c r="O357" s="737" t="s">
        <v>1509</v>
      </c>
      <c r="P357" s="728" t="s">
        <v>1096</v>
      </c>
    </row>
    <row r="358" spans="2:16" s="723" customFormat="1" ht="12" customHeight="1">
      <c r="B358" s="722"/>
      <c r="J358" s="735" t="s">
        <v>3301</v>
      </c>
      <c r="K358" s="736"/>
      <c r="L358" s="727"/>
      <c r="M358" s="728"/>
      <c r="N358" s="737" t="s">
        <v>206</v>
      </c>
      <c r="O358" s="737" t="s">
        <v>850</v>
      </c>
      <c r="P358" s="728" t="s">
        <v>1097</v>
      </c>
    </row>
    <row r="359" spans="2:16" s="723" customFormat="1" ht="12" customHeight="1">
      <c r="B359" s="722"/>
      <c r="J359" s="735" t="s">
        <v>205</v>
      </c>
      <c r="K359" s="736"/>
      <c r="L359" s="727"/>
      <c r="M359" s="728"/>
      <c r="N359" s="737" t="s">
        <v>331</v>
      </c>
      <c r="O359" s="737" t="s">
        <v>1766</v>
      </c>
      <c r="P359" s="728" t="s">
        <v>1098</v>
      </c>
    </row>
    <row r="360" spans="2:16" s="723" customFormat="1" ht="12" customHeight="1">
      <c r="B360" s="722"/>
      <c r="J360" s="735" t="s">
        <v>207</v>
      </c>
      <c r="K360" s="736"/>
      <c r="L360" s="727"/>
      <c r="M360" s="728"/>
      <c r="N360" s="737" t="s">
        <v>2525</v>
      </c>
      <c r="O360" s="737" t="s">
        <v>1273</v>
      </c>
      <c r="P360" s="728" t="s">
        <v>1099</v>
      </c>
    </row>
    <row r="361" spans="2:16" s="723" customFormat="1" ht="12" customHeight="1">
      <c r="B361" s="722"/>
      <c r="J361" s="735" t="s">
        <v>2524</v>
      </c>
      <c r="K361" s="736"/>
      <c r="L361" s="727"/>
      <c r="M361" s="728"/>
      <c r="N361" s="737" t="s">
        <v>2527</v>
      </c>
      <c r="O361" s="737" t="s">
        <v>1519</v>
      </c>
      <c r="P361" s="728" t="s">
        <v>1100</v>
      </c>
    </row>
    <row r="362" spans="2:16" s="723" customFormat="1" ht="12" customHeight="1">
      <c r="B362" s="722"/>
      <c r="J362" s="735" t="s">
        <v>2526</v>
      </c>
      <c r="K362" s="736"/>
      <c r="L362" s="727"/>
      <c r="M362" s="728"/>
      <c r="N362" s="737" t="s">
        <v>2600</v>
      </c>
      <c r="O362" s="737" t="s">
        <v>3270</v>
      </c>
      <c r="P362" s="728" t="s">
        <v>1101</v>
      </c>
    </row>
    <row r="363" spans="2:16" s="723" customFormat="1" ht="12" customHeight="1">
      <c r="B363" s="722"/>
      <c r="J363" s="735" t="s">
        <v>2599</v>
      </c>
      <c r="K363" s="736"/>
      <c r="L363" s="727"/>
      <c r="M363" s="728"/>
      <c r="N363" s="737" t="s">
        <v>2603</v>
      </c>
      <c r="O363" s="737" t="s">
        <v>848</v>
      </c>
      <c r="P363" s="728" t="s">
        <v>1102</v>
      </c>
    </row>
    <row r="364" spans="2:16" s="723" customFormat="1" ht="12" customHeight="1">
      <c r="B364" s="722"/>
      <c r="J364" s="735" t="s">
        <v>2601</v>
      </c>
      <c r="K364" s="736"/>
      <c r="L364" s="727"/>
      <c r="M364" s="728"/>
      <c r="N364" s="737" t="s">
        <v>2605</v>
      </c>
      <c r="O364" s="737" t="s">
        <v>1748</v>
      </c>
      <c r="P364" s="728" t="s">
        <v>1103</v>
      </c>
    </row>
    <row r="365" spans="2:16" s="723" customFormat="1" ht="12" customHeight="1">
      <c r="B365" s="722"/>
      <c r="J365" s="735" t="s">
        <v>2602</v>
      </c>
      <c r="K365" s="736"/>
      <c r="L365" s="727"/>
      <c r="M365" s="728"/>
      <c r="N365" s="737" t="s">
        <v>2607</v>
      </c>
      <c r="O365" s="737" t="s">
        <v>1751</v>
      </c>
      <c r="P365" s="728" t="s">
        <v>1104</v>
      </c>
    </row>
    <row r="366" spans="2:16" s="723" customFormat="1" ht="12" customHeight="1">
      <c r="B366" s="722"/>
      <c r="J366" s="735" t="s">
        <v>2604</v>
      </c>
      <c r="K366" s="736"/>
      <c r="L366" s="727"/>
      <c r="M366" s="728"/>
      <c r="N366" s="737" t="s">
        <v>2643</v>
      </c>
      <c r="O366" s="737" t="s">
        <v>350</v>
      </c>
      <c r="P366" s="728" t="s">
        <v>1105</v>
      </c>
    </row>
    <row r="367" spans="2:16" s="723" customFormat="1" ht="12" customHeight="1">
      <c r="B367" s="722"/>
      <c r="J367" s="735" t="s">
        <v>2606</v>
      </c>
      <c r="K367" s="736"/>
      <c r="L367" s="727"/>
      <c r="M367" s="728"/>
      <c r="N367" s="737" t="s">
        <v>2646</v>
      </c>
      <c r="O367" s="737" t="s">
        <v>3383</v>
      </c>
      <c r="P367" s="728" t="s">
        <v>1106</v>
      </c>
    </row>
    <row r="368" spans="2:16" s="723" customFormat="1" ht="12" customHeight="1">
      <c r="B368" s="722"/>
      <c r="J368" s="735" t="s">
        <v>2642</v>
      </c>
      <c r="K368" s="736"/>
      <c r="L368" s="727"/>
      <c r="M368" s="728"/>
      <c r="N368" s="737" t="s">
        <v>2648</v>
      </c>
      <c r="O368" s="737" t="s">
        <v>1748</v>
      </c>
      <c r="P368" s="728" t="s">
        <v>1107</v>
      </c>
    </row>
    <row r="369" spans="2:16" s="723" customFormat="1" ht="12" customHeight="1">
      <c r="B369" s="722"/>
      <c r="J369" s="735" t="s">
        <v>2644</v>
      </c>
      <c r="K369" s="736"/>
      <c r="L369" s="727"/>
      <c r="M369" s="728"/>
      <c r="N369" s="626" t="s">
        <v>2971</v>
      </c>
      <c r="O369" s="626" t="s">
        <v>3316</v>
      </c>
      <c r="P369" s="1382" t="s">
        <v>2856</v>
      </c>
    </row>
    <row r="370" spans="2:16" s="723" customFormat="1" ht="12" customHeight="1">
      <c r="B370" s="722"/>
      <c r="J370" s="735" t="s">
        <v>2645</v>
      </c>
      <c r="K370" s="736"/>
      <c r="L370" s="727"/>
      <c r="M370" s="728"/>
      <c r="N370" s="626" t="s">
        <v>3370</v>
      </c>
      <c r="O370" s="626" t="s">
        <v>2890</v>
      </c>
      <c r="P370" s="1382" t="s">
        <v>2856</v>
      </c>
    </row>
    <row r="371" spans="2:16" s="723" customFormat="1" ht="12" customHeight="1">
      <c r="B371" s="722"/>
      <c r="J371" s="735" t="s">
        <v>2647</v>
      </c>
      <c r="K371" s="736"/>
      <c r="L371" s="727"/>
      <c r="M371" s="728"/>
      <c r="N371" s="626" t="s">
        <v>3371</v>
      </c>
      <c r="O371" s="626" t="s">
        <v>3267</v>
      </c>
      <c r="P371" s="1382" t="s">
        <v>2856</v>
      </c>
    </row>
    <row r="372" spans="2:16" s="723" customFormat="1" ht="12" customHeight="1">
      <c r="B372" s="722"/>
      <c r="J372" s="735" t="s">
        <v>2649</v>
      </c>
      <c r="K372" s="736"/>
      <c r="L372" s="727"/>
      <c r="M372" s="728"/>
      <c r="N372" s="737" t="s">
        <v>455</v>
      </c>
      <c r="O372" s="737" t="s">
        <v>1627</v>
      </c>
      <c r="P372" s="728" t="s">
        <v>1108</v>
      </c>
    </row>
    <row r="373" spans="2:16" s="723" customFormat="1" ht="12" customHeight="1">
      <c r="B373" s="722"/>
      <c r="J373" s="735" t="s">
        <v>454</v>
      </c>
      <c r="K373" s="736"/>
      <c r="L373" s="727"/>
      <c r="M373" s="728"/>
      <c r="N373" s="737" t="s">
        <v>248</v>
      </c>
      <c r="O373" s="737" t="s">
        <v>853</v>
      </c>
      <c r="P373" s="728" t="s">
        <v>1109</v>
      </c>
    </row>
    <row r="374" spans="2:16" s="723" customFormat="1" ht="12" customHeight="1">
      <c r="B374" s="722"/>
      <c r="J374" s="735" t="s">
        <v>140</v>
      </c>
      <c r="K374" s="736"/>
      <c r="L374" s="727"/>
      <c r="M374" s="728"/>
      <c r="N374" s="626" t="s">
        <v>3372</v>
      </c>
      <c r="O374" s="626" t="s">
        <v>2719</v>
      </c>
      <c r="P374" s="1382" t="s">
        <v>2856</v>
      </c>
    </row>
    <row r="375" spans="2:16" s="723" customFormat="1" ht="12" customHeight="1">
      <c r="B375" s="722"/>
      <c r="J375" s="735" t="s">
        <v>2364</v>
      </c>
      <c r="K375" s="736"/>
      <c r="L375" s="727"/>
      <c r="M375" s="728"/>
      <c r="N375" s="737" t="s">
        <v>2365</v>
      </c>
      <c r="O375" s="737" t="s">
        <v>3265</v>
      </c>
      <c r="P375" s="728" t="s">
        <v>1110</v>
      </c>
    </row>
    <row r="376" spans="2:16" s="723" customFormat="1" ht="12" customHeight="1">
      <c r="B376" s="722"/>
      <c r="J376" s="735" t="s">
        <v>2442</v>
      </c>
      <c r="K376" s="736"/>
      <c r="L376" s="727"/>
      <c r="M376" s="728"/>
      <c r="N376" s="737" t="s">
        <v>3006</v>
      </c>
      <c r="O376" s="737" t="s">
        <v>843</v>
      </c>
      <c r="P376" s="728" t="s">
        <v>1111</v>
      </c>
    </row>
    <row r="377" spans="2:16" s="723" customFormat="1" ht="12" customHeight="1">
      <c r="B377" s="722"/>
      <c r="J377" s="735" t="s">
        <v>3005</v>
      </c>
      <c r="K377" s="736"/>
      <c r="L377" s="727"/>
      <c r="M377" s="728"/>
      <c r="N377" s="737" t="s">
        <v>3008</v>
      </c>
      <c r="O377" s="737" t="s">
        <v>1749</v>
      </c>
      <c r="P377" s="728" t="s">
        <v>1112</v>
      </c>
    </row>
    <row r="378" spans="2:16" s="723" customFormat="1" ht="12" customHeight="1">
      <c r="B378" s="722"/>
      <c r="J378" s="735" t="s">
        <v>3007</v>
      </c>
      <c r="K378" s="736"/>
      <c r="L378" s="727"/>
      <c r="M378" s="728"/>
      <c r="N378" s="737" t="s">
        <v>1393</v>
      </c>
      <c r="O378" s="737" t="s">
        <v>1902</v>
      </c>
      <c r="P378" s="728" t="s">
        <v>1113</v>
      </c>
    </row>
    <row r="379" spans="2:16" s="723" customFormat="1" ht="12" customHeight="1">
      <c r="B379" s="722"/>
      <c r="J379" s="735" t="s">
        <v>1392</v>
      </c>
      <c r="K379" s="736"/>
      <c r="L379" s="727"/>
      <c r="M379" s="728"/>
      <c r="N379" s="737" t="s">
        <v>742</v>
      </c>
      <c r="O379" s="737" t="s">
        <v>1765</v>
      </c>
      <c r="P379" s="728" t="s">
        <v>1114</v>
      </c>
    </row>
    <row r="380" spans="2:16" s="723" customFormat="1" ht="12" customHeight="1">
      <c r="B380" s="722"/>
      <c r="J380" s="735" t="s">
        <v>863</v>
      </c>
      <c r="K380" s="736"/>
      <c r="L380" s="727"/>
      <c r="M380" s="728"/>
      <c r="N380" s="737" t="s">
        <v>860</v>
      </c>
      <c r="O380" s="737" t="s">
        <v>343</v>
      </c>
      <c r="P380" s="728" t="s">
        <v>1115</v>
      </c>
    </row>
    <row r="381" spans="2:16" s="723" customFormat="1" ht="12" customHeight="1">
      <c r="B381" s="722"/>
      <c r="J381" s="735" t="s">
        <v>741</v>
      </c>
      <c r="K381" s="736"/>
      <c r="L381" s="727"/>
      <c r="M381" s="728"/>
      <c r="N381" s="737" t="s">
        <v>3147</v>
      </c>
      <c r="O381" s="737" t="s">
        <v>173</v>
      </c>
      <c r="P381" s="728" t="s">
        <v>1116</v>
      </c>
    </row>
    <row r="382" spans="2:16" s="723" customFormat="1" ht="12" customHeight="1">
      <c r="B382" s="722"/>
      <c r="J382" s="735" t="s">
        <v>859</v>
      </c>
      <c r="K382" s="736"/>
      <c r="L382" s="727"/>
      <c r="M382" s="728"/>
      <c r="N382" s="737" t="s">
        <v>241</v>
      </c>
      <c r="O382" s="737" t="s">
        <v>3264</v>
      </c>
      <c r="P382" s="728" t="s">
        <v>1117</v>
      </c>
    </row>
    <row r="383" spans="2:16" s="723" customFormat="1" ht="12" customHeight="1">
      <c r="B383" s="722"/>
      <c r="J383" s="735" t="s">
        <v>3146</v>
      </c>
      <c r="K383" s="736"/>
      <c r="L383" s="727"/>
      <c r="M383" s="728"/>
      <c r="N383" s="737" t="s">
        <v>845</v>
      </c>
      <c r="O383" s="737" t="s">
        <v>2238</v>
      </c>
      <c r="P383" s="728" t="s">
        <v>1118</v>
      </c>
    </row>
    <row r="384" spans="2:16" s="723" customFormat="1" ht="12" customHeight="1">
      <c r="B384" s="722"/>
      <c r="J384" s="735" t="s">
        <v>240</v>
      </c>
      <c r="K384" s="736"/>
      <c r="L384" s="727"/>
      <c r="M384" s="728"/>
      <c r="N384" s="737" t="s">
        <v>3117</v>
      </c>
      <c r="O384" s="737" t="s">
        <v>3262</v>
      </c>
      <c r="P384" s="728" t="s">
        <v>1119</v>
      </c>
    </row>
    <row r="385" spans="2:16" s="723" customFormat="1" ht="12" customHeight="1">
      <c r="B385" s="722"/>
      <c r="J385" s="735" t="s">
        <v>1172</v>
      </c>
      <c r="K385" s="736"/>
      <c r="L385" s="727"/>
      <c r="M385" s="728"/>
      <c r="N385" s="737" t="s">
        <v>253</v>
      </c>
      <c r="O385" s="737" t="s">
        <v>1977</v>
      </c>
      <c r="P385" s="728" t="s">
        <v>1120</v>
      </c>
    </row>
    <row r="386" spans="2:16" s="723" customFormat="1" ht="12" customHeight="1">
      <c r="B386" s="722"/>
      <c r="J386" s="735" t="s">
        <v>1173</v>
      </c>
      <c r="K386" s="736"/>
      <c r="L386" s="727"/>
      <c r="M386" s="728"/>
      <c r="N386" s="626" t="s">
        <v>1453</v>
      </c>
      <c r="O386" s="626" t="s">
        <v>1902</v>
      </c>
      <c r="P386" s="1382" t="s">
        <v>2856</v>
      </c>
    </row>
    <row r="387" spans="2:16" s="723" customFormat="1" ht="12" customHeight="1">
      <c r="B387" s="722"/>
      <c r="J387" s="735" t="s">
        <v>252</v>
      </c>
      <c r="K387" s="736"/>
      <c r="L387" s="727"/>
      <c r="M387" s="728"/>
      <c r="N387" s="737" t="s">
        <v>255</v>
      </c>
      <c r="O387" s="737" t="s">
        <v>1499</v>
      </c>
      <c r="P387" s="728" t="s">
        <v>1121</v>
      </c>
    </row>
    <row r="388" spans="2:16" s="723" customFormat="1" ht="12" customHeight="1">
      <c r="B388" s="722"/>
      <c r="J388" s="735" t="s">
        <v>254</v>
      </c>
      <c r="K388" s="736"/>
      <c r="L388" s="727"/>
      <c r="M388" s="728"/>
      <c r="N388" s="737" t="s">
        <v>846</v>
      </c>
      <c r="O388" s="737" t="s">
        <v>350</v>
      </c>
      <c r="P388" s="728" t="s">
        <v>1122</v>
      </c>
    </row>
    <row r="389" spans="2:16" s="723" customFormat="1" ht="12" customHeight="1">
      <c r="B389" s="722"/>
      <c r="J389" s="735" t="s">
        <v>256</v>
      </c>
      <c r="K389" s="736"/>
      <c r="L389" s="727"/>
      <c r="M389" s="728"/>
      <c r="N389" s="737" t="s">
        <v>1180</v>
      </c>
      <c r="O389" s="737" t="s">
        <v>846</v>
      </c>
      <c r="P389" s="728" t="s">
        <v>1123</v>
      </c>
    </row>
    <row r="390" spans="2:16" s="723" customFormat="1" ht="12" customHeight="1">
      <c r="B390" s="722"/>
      <c r="J390" s="735" t="s">
        <v>1178</v>
      </c>
      <c r="K390" s="736"/>
      <c r="L390" s="727"/>
      <c r="M390" s="728"/>
      <c r="N390" s="737" t="s">
        <v>1640</v>
      </c>
      <c r="O390" s="737" t="s">
        <v>3270</v>
      </c>
      <c r="P390" s="728" t="s">
        <v>1124</v>
      </c>
    </row>
    <row r="391" spans="2:16" s="723" customFormat="1" ht="12" customHeight="1">
      <c r="B391" s="722"/>
      <c r="J391" s="735" t="s">
        <v>1179</v>
      </c>
      <c r="K391" s="736"/>
      <c r="L391" s="727"/>
      <c r="M391" s="728"/>
      <c r="N391" s="737" t="s">
        <v>1642</v>
      </c>
      <c r="O391" s="737" t="s">
        <v>343</v>
      </c>
      <c r="P391" s="728" t="s">
        <v>1125</v>
      </c>
    </row>
    <row r="392" spans="2:16" s="723" customFormat="1" ht="12" customHeight="1">
      <c r="B392" s="722"/>
      <c r="J392" s="735" t="s">
        <v>1181</v>
      </c>
      <c r="K392" s="736"/>
      <c r="L392" s="727"/>
      <c r="M392" s="728"/>
      <c r="N392" s="737" t="s">
        <v>1644</v>
      </c>
      <c r="O392" s="737" t="s">
        <v>175</v>
      </c>
      <c r="P392" s="728" t="s">
        <v>1644</v>
      </c>
    </row>
    <row r="393" spans="2:16" s="723" customFormat="1" ht="12" customHeight="1">
      <c r="B393" s="722"/>
      <c r="J393" s="735" t="s">
        <v>2014</v>
      </c>
      <c r="K393" s="736"/>
      <c r="L393" s="727"/>
      <c r="M393" s="728"/>
      <c r="N393" s="737" t="s">
        <v>1295</v>
      </c>
      <c r="O393" s="737" t="s">
        <v>2969</v>
      </c>
      <c r="P393" s="728" t="s">
        <v>1126</v>
      </c>
    </row>
    <row r="394" spans="2:16" s="723" customFormat="1" ht="12" customHeight="1">
      <c r="B394" s="722"/>
      <c r="J394" s="735" t="s">
        <v>1641</v>
      </c>
      <c r="K394" s="736"/>
      <c r="L394" s="727"/>
      <c r="M394" s="728"/>
      <c r="N394" s="737" t="s">
        <v>3243</v>
      </c>
      <c r="O394" s="737" t="s">
        <v>2586</v>
      </c>
      <c r="P394" s="728" t="s">
        <v>1127</v>
      </c>
    </row>
    <row r="395" spans="2:16" s="723" customFormat="1" ht="12" customHeight="1">
      <c r="B395" s="722"/>
      <c r="J395" s="735" t="s">
        <v>1643</v>
      </c>
      <c r="K395" s="736"/>
      <c r="L395" s="727"/>
      <c r="M395" s="728"/>
      <c r="N395" s="737" t="s">
        <v>1298</v>
      </c>
      <c r="O395" s="737" t="s">
        <v>2897</v>
      </c>
      <c r="P395" s="728" t="s">
        <v>1128</v>
      </c>
    </row>
    <row r="396" spans="2:16" s="723" customFormat="1" ht="12" customHeight="1">
      <c r="B396" s="722"/>
      <c r="J396" s="735" t="s">
        <v>1294</v>
      </c>
      <c r="K396" s="736"/>
      <c r="L396" s="727"/>
      <c r="M396" s="728"/>
      <c r="N396" s="737" t="s">
        <v>1300</v>
      </c>
      <c r="O396" s="737" t="s">
        <v>1511</v>
      </c>
      <c r="P396" s="1381" t="s">
        <v>1218</v>
      </c>
    </row>
    <row r="397" spans="2:16" s="723" customFormat="1" ht="12" customHeight="1">
      <c r="B397" s="722"/>
      <c r="J397" s="735" t="s">
        <v>3242</v>
      </c>
      <c r="K397" s="736"/>
      <c r="L397" s="727"/>
      <c r="M397" s="728"/>
      <c r="N397" s="737" t="s">
        <v>1302</v>
      </c>
      <c r="O397" s="737" t="s">
        <v>850</v>
      </c>
      <c r="P397" s="728" t="s">
        <v>1129</v>
      </c>
    </row>
    <row r="398" spans="2:16" s="723" customFormat="1" ht="12" customHeight="1">
      <c r="B398" s="722"/>
      <c r="J398" s="735" t="s">
        <v>1297</v>
      </c>
      <c r="K398" s="736"/>
      <c r="L398" s="727"/>
      <c r="M398" s="728"/>
      <c r="N398" s="737" t="s">
        <v>1304</v>
      </c>
      <c r="O398" s="737" t="s">
        <v>343</v>
      </c>
      <c r="P398" s="728" t="s">
        <v>1130</v>
      </c>
    </row>
    <row r="399" spans="2:16" s="723" customFormat="1" ht="12" customHeight="1">
      <c r="B399" s="722"/>
      <c r="J399" s="735" t="s">
        <v>1299</v>
      </c>
      <c r="K399" s="736"/>
      <c r="L399" s="727"/>
      <c r="M399" s="728"/>
      <c r="N399" s="737" t="s">
        <v>1306</v>
      </c>
      <c r="O399" s="737" t="s">
        <v>1763</v>
      </c>
      <c r="P399" s="728" t="s">
        <v>1131</v>
      </c>
    </row>
    <row r="400" spans="2:16" s="723" customFormat="1" ht="12" customHeight="1">
      <c r="B400" s="722"/>
      <c r="J400" s="735" t="s">
        <v>1301</v>
      </c>
      <c r="K400" s="736"/>
      <c r="L400" s="727"/>
      <c r="M400" s="728"/>
      <c r="N400" s="737" t="s">
        <v>866</v>
      </c>
      <c r="O400" s="737" t="s">
        <v>2901</v>
      </c>
      <c r="P400" s="728" t="s">
        <v>1132</v>
      </c>
    </row>
    <row r="401" spans="2:16" s="723" customFormat="1" ht="12" customHeight="1">
      <c r="B401" s="722"/>
      <c r="J401" s="735" t="s">
        <v>1303</v>
      </c>
      <c r="K401" s="736"/>
      <c r="L401" s="727"/>
      <c r="M401" s="728"/>
      <c r="N401" s="737" t="s">
        <v>59</v>
      </c>
      <c r="O401" s="737" t="s">
        <v>118</v>
      </c>
      <c r="P401" s="728" t="s">
        <v>1133</v>
      </c>
    </row>
    <row r="402" spans="2:16" s="723" customFormat="1" ht="12" customHeight="1">
      <c r="B402" s="722"/>
      <c r="J402" s="735" t="s">
        <v>1305</v>
      </c>
      <c r="K402" s="736"/>
      <c r="L402" s="727"/>
      <c r="M402" s="728"/>
      <c r="N402" s="737" t="s">
        <v>1359</v>
      </c>
      <c r="O402" s="737" t="s">
        <v>2720</v>
      </c>
      <c r="P402" s="728" t="s">
        <v>1134</v>
      </c>
    </row>
    <row r="403" spans="2:16" s="723" customFormat="1" ht="12" customHeight="1">
      <c r="B403" s="722"/>
      <c r="J403" s="735" t="s">
        <v>865</v>
      </c>
      <c r="K403" s="736"/>
      <c r="L403" s="727"/>
      <c r="M403" s="728"/>
      <c r="N403" s="737" t="s">
        <v>853</v>
      </c>
      <c r="O403" s="737" t="s">
        <v>3158</v>
      </c>
      <c r="P403" s="728" t="s">
        <v>1135</v>
      </c>
    </row>
    <row r="404" spans="2:16" s="723" customFormat="1" ht="12" customHeight="1">
      <c r="B404" s="722"/>
      <c r="J404" s="735" t="s">
        <v>58</v>
      </c>
      <c r="K404" s="736"/>
      <c r="L404" s="727"/>
      <c r="M404" s="728"/>
      <c r="N404" s="737" t="s">
        <v>1400</v>
      </c>
      <c r="O404" s="737" t="s">
        <v>1631</v>
      </c>
      <c r="P404" s="728" t="s">
        <v>1136</v>
      </c>
    </row>
    <row r="405" spans="2:16" s="723" customFormat="1" ht="12" customHeight="1">
      <c r="B405" s="722"/>
      <c r="J405" s="735" t="s">
        <v>1358</v>
      </c>
      <c r="K405" s="736"/>
      <c r="L405" s="727"/>
      <c r="M405" s="728"/>
      <c r="N405" s="737" t="s">
        <v>1402</v>
      </c>
      <c r="O405" s="737" t="s">
        <v>3319</v>
      </c>
      <c r="P405" s="728" t="s">
        <v>1137</v>
      </c>
    </row>
    <row r="406" spans="2:16" s="723" customFormat="1" ht="12" customHeight="1">
      <c r="B406" s="722"/>
      <c r="J406" s="735" t="s">
        <v>2435</v>
      </c>
      <c r="K406" s="736"/>
      <c r="L406" s="727"/>
      <c r="M406" s="728"/>
      <c r="N406" s="737" t="s">
        <v>1381</v>
      </c>
      <c r="O406" s="737" t="s">
        <v>549</v>
      </c>
      <c r="P406" s="728" t="s">
        <v>1138</v>
      </c>
    </row>
    <row r="407" spans="2:16" s="723" customFormat="1" ht="12" customHeight="1">
      <c r="B407" s="722"/>
      <c r="J407" s="735" t="s">
        <v>1398</v>
      </c>
      <c r="K407" s="736"/>
      <c r="L407" s="727"/>
      <c r="M407" s="728"/>
      <c r="N407" s="737" t="s">
        <v>1383</v>
      </c>
      <c r="O407" s="737" t="s">
        <v>127</v>
      </c>
      <c r="P407" s="728" t="s">
        <v>1139</v>
      </c>
    </row>
    <row r="408" spans="2:16" s="723" customFormat="1" ht="12" customHeight="1">
      <c r="B408" s="722"/>
      <c r="J408" s="735" t="s">
        <v>1399</v>
      </c>
      <c r="K408" s="736"/>
      <c r="L408" s="727"/>
      <c r="M408" s="728"/>
      <c r="N408" s="737" t="s">
        <v>1385</v>
      </c>
      <c r="O408" s="737" t="s">
        <v>857</v>
      </c>
      <c r="P408" s="728" t="s">
        <v>1140</v>
      </c>
    </row>
    <row r="409" spans="2:16" s="723" customFormat="1" ht="12" customHeight="1">
      <c r="B409" s="722"/>
      <c r="J409" s="735" t="s">
        <v>1401</v>
      </c>
      <c r="K409" s="736"/>
      <c r="L409" s="727"/>
      <c r="M409" s="728"/>
      <c r="N409" s="737" t="s">
        <v>1387</v>
      </c>
      <c r="O409" s="737" t="s">
        <v>2586</v>
      </c>
      <c r="P409" s="728" t="s">
        <v>1141</v>
      </c>
    </row>
    <row r="410" spans="2:16" s="723" customFormat="1" ht="12" customHeight="1">
      <c r="B410" s="722"/>
      <c r="J410" s="735" t="s">
        <v>1380</v>
      </c>
      <c r="K410" s="736"/>
      <c r="L410" s="727"/>
      <c r="M410" s="728"/>
      <c r="N410" s="626" t="s">
        <v>1454</v>
      </c>
      <c r="O410" s="626" t="s">
        <v>808</v>
      </c>
      <c r="P410" s="1382" t="s">
        <v>2856</v>
      </c>
    </row>
    <row r="411" spans="2:16" s="723" customFormat="1" ht="12" customHeight="1">
      <c r="B411" s="722"/>
      <c r="J411" s="735" t="s">
        <v>1382</v>
      </c>
      <c r="K411" s="736"/>
      <c r="L411" s="727"/>
      <c r="M411" s="728"/>
      <c r="N411" s="737" t="s">
        <v>746</v>
      </c>
      <c r="O411" s="737" t="s">
        <v>2890</v>
      </c>
      <c r="P411" s="728" t="s">
        <v>1142</v>
      </c>
    </row>
    <row r="412" spans="2:16" s="723" customFormat="1" ht="12" customHeight="1">
      <c r="B412" s="722"/>
      <c r="J412" s="735" t="s">
        <v>1384</v>
      </c>
      <c r="K412" s="736"/>
      <c r="L412" s="727"/>
      <c r="M412" s="728"/>
      <c r="N412" s="737" t="s">
        <v>406</v>
      </c>
      <c r="O412" s="737" t="s">
        <v>3316</v>
      </c>
      <c r="P412" s="728" t="s">
        <v>1143</v>
      </c>
    </row>
    <row r="413" spans="2:16" s="723" customFormat="1" ht="12" customHeight="1">
      <c r="B413" s="722"/>
      <c r="J413" s="735" t="s">
        <v>1386</v>
      </c>
      <c r="K413" s="736"/>
      <c r="L413" s="727"/>
      <c r="M413" s="728"/>
      <c r="N413" s="737" t="s">
        <v>408</v>
      </c>
      <c r="O413" s="737" t="s">
        <v>1902</v>
      </c>
      <c r="P413" s="728" t="s">
        <v>1144</v>
      </c>
    </row>
    <row r="414" spans="2:16" s="723" customFormat="1" ht="12" customHeight="1">
      <c r="B414" s="722"/>
      <c r="J414" s="735" t="s">
        <v>745</v>
      </c>
      <c r="K414" s="736"/>
      <c r="L414" s="727"/>
      <c r="M414" s="728"/>
      <c r="N414" s="626" t="s">
        <v>1455</v>
      </c>
      <c r="O414" s="626" t="s">
        <v>2620</v>
      </c>
      <c r="P414" s="1382" t="s">
        <v>2856</v>
      </c>
    </row>
    <row r="415" spans="2:16" s="723" customFormat="1" ht="12" customHeight="1">
      <c r="B415" s="722"/>
      <c r="J415" s="735" t="s">
        <v>405</v>
      </c>
      <c r="K415" s="736"/>
      <c r="L415" s="727"/>
      <c r="M415" s="728"/>
      <c r="N415" s="737" t="s">
        <v>410</v>
      </c>
      <c r="O415" s="737" t="s">
        <v>1272</v>
      </c>
      <c r="P415" s="728" t="s">
        <v>1145</v>
      </c>
    </row>
    <row r="416" spans="2:16" s="723" customFormat="1" ht="12" customHeight="1">
      <c r="B416" s="722"/>
      <c r="J416" s="735" t="s">
        <v>407</v>
      </c>
      <c r="K416" s="736"/>
      <c r="L416" s="727"/>
      <c r="M416" s="728"/>
      <c r="N416" s="737" t="s">
        <v>1857</v>
      </c>
      <c r="O416" s="737" t="s">
        <v>2971</v>
      </c>
      <c r="P416" s="728" t="s">
        <v>1146</v>
      </c>
    </row>
    <row r="417" spans="2:16" s="723" customFormat="1" ht="12" customHeight="1">
      <c r="B417" s="722"/>
      <c r="J417" s="735" t="s">
        <v>409</v>
      </c>
      <c r="K417" s="736"/>
      <c r="L417" s="727"/>
      <c r="M417" s="728"/>
      <c r="N417" s="737" t="s">
        <v>2059</v>
      </c>
      <c r="O417" s="737" t="s">
        <v>192</v>
      </c>
      <c r="P417" s="728" t="s">
        <v>1147</v>
      </c>
    </row>
    <row r="418" spans="2:16" s="723" customFormat="1" ht="12" customHeight="1">
      <c r="B418" s="722"/>
      <c r="J418" s="735" t="s">
        <v>776</v>
      </c>
      <c r="K418" s="736"/>
      <c r="L418" s="727"/>
      <c r="M418" s="728"/>
      <c r="N418" s="737" t="s">
        <v>1409</v>
      </c>
      <c r="O418" s="737" t="s">
        <v>347</v>
      </c>
      <c r="P418" s="728" t="s">
        <v>1148</v>
      </c>
    </row>
    <row r="419" spans="2:16" s="723" customFormat="1" ht="12" customHeight="1">
      <c r="B419" s="722"/>
      <c r="J419" s="735" t="s">
        <v>1856</v>
      </c>
      <c r="K419" s="736"/>
      <c r="L419" s="727"/>
      <c r="M419" s="728"/>
      <c r="N419" s="737" t="s">
        <v>1411</v>
      </c>
      <c r="O419" s="737" t="s">
        <v>351</v>
      </c>
      <c r="P419" s="728" t="s">
        <v>1149</v>
      </c>
    </row>
    <row r="420" spans="2:16" s="723" customFormat="1" ht="12" customHeight="1">
      <c r="B420" s="722"/>
      <c r="J420" s="735" t="s">
        <v>2058</v>
      </c>
      <c r="K420" s="736"/>
      <c r="L420" s="727"/>
      <c r="M420" s="728"/>
      <c r="N420" s="626" t="s">
        <v>1456</v>
      </c>
      <c r="O420" s="626" t="s">
        <v>2717</v>
      </c>
      <c r="P420" s="1382" t="s">
        <v>2856</v>
      </c>
    </row>
    <row r="421" spans="2:16" s="723" customFormat="1" ht="12" customHeight="1">
      <c r="B421" s="722"/>
      <c r="J421" s="735" t="s">
        <v>1408</v>
      </c>
      <c r="K421" s="736"/>
      <c r="L421" s="727"/>
      <c r="M421" s="728"/>
      <c r="N421" s="737" t="s">
        <v>1413</v>
      </c>
      <c r="O421" s="737" t="s">
        <v>1627</v>
      </c>
      <c r="P421" s="728" t="s">
        <v>2246</v>
      </c>
    </row>
    <row r="422" spans="2:16" s="723" customFormat="1" ht="12" customHeight="1">
      <c r="B422" s="722"/>
      <c r="J422" s="735" t="s">
        <v>1410</v>
      </c>
      <c r="K422" s="736"/>
      <c r="L422" s="727"/>
      <c r="M422" s="728"/>
      <c r="N422" s="737" t="s">
        <v>346</v>
      </c>
      <c r="O422" s="737" t="s">
        <v>3319</v>
      </c>
      <c r="P422" s="728" t="s">
        <v>2247</v>
      </c>
    </row>
    <row r="423" spans="2:16" s="723" customFormat="1" ht="12" customHeight="1">
      <c r="B423" s="722"/>
      <c r="J423" s="735" t="s">
        <v>1412</v>
      </c>
      <c r="K423" s="736"/>
      <c r="L423" s="727"/>
      <c r="M423" s="728"/>
      <c r="N423" s="737" t="s">
        <v>2369</v>
      </c>
      <c r="O423" s="737" t="s">
        <v>3316</v>
      </c>
      <c r="P423" s="728" t="s">
        <v>2248</v>
      </c>
    </row>
    <row r="424" spans="2:16" s="723" customFormat="1" ht="12" customHeight="1">
      <c r="B424" s="722"/>
      <c r="J424" s="735" t="s">
        <v>2366</v>
      </c>
      <c r="K424" s="736"/>
      <c r="L424" s="727"/>
      <c r="M424" s="728"/>
      <c r="N424" s="737" t="s">
        <v>1258</v>
      </c>
      <c r="O424" s="737" t="s">
        <v>112</v>
      </c>
      <c r="P424" s="728" t="s">
        <v>2249</v>
      </c>
    </row>
    <row r="425" spans="2:16" s="723" customFormat="1" ht="12" customHeight="1">
      <c r="B425" s="722"/>
      <c r="J425" s="735" t="s">
        <v>2367</v>
      </c>
      <c r="K425" s="736"/>
      <c r="L425" s="727"/>
      <c r="M425" s="728"/>
      <c r="N425" s="737" t="s">
        <v>1260</v>
      </c>
      <c r="O425" s="737" t="s">
        <v>348</v>
      </c>
      <c r="P425" s="728" t="s">
        <v>2250</v>
      </c>
    </row>
    <row r="426" spans="2:16" s="723" customFormat="1" ht="12" customHeight="1">
      <c r="B426" s="722"/>
      <c r="J426" s="735" t="s">
        <v>2368</v>
      </c>
      <c r="K426" s="736"/>
      <c r="L426" s="727"/>
      <c r="M426" s="728"/>
      <c r="N426" s="737" t="s">
        <v>2434</v>
      </c>
      <c r="O426" s="737" t="s">
        <v>1507</v>
      </c>
      <c r="P426" s="728" t="s">
        <v>2251</v>
      </c>
    </row>
    <row r="427" spans="2:16" s="723" customFormat="1" ht="12" customHeight="1">
      <c r="B427" s="722"/>
      <c r="J427" s="735" t="s">
        <v>1257</v>
      </c>
      <c r="K427" s="736"/>
      <c r="L427" s="727"/>
      <c r="M427" s="728"/>
      <c r="N427" s="737" t="s">
        <v>811</v>
      </c>
      <c r="O427" s="737" t="s">
        <v>358</v>
      </c>
      <c r="P427" s="728" t="s">
        <v>2252</v>
      </c>
    </row>
    <row r="428" spans="2:16" s="723" customFormat="1" ht="12" customHeight="1">
      <c r="B428" s="722"/>
      <c r="J428" s="735" t="s">
        <v>1259</v>
      </c>
      <c r="K428" s="736"/>
      <c r="L428" s="727"/>
      <c r="M428" s="728"/>
      <c r="N428" s="737" t="s">
        <v>2415</v>
      </c>
      <c r="O428" s="737" t="s">
        <v>120</v>
      </c>
      <c r="P428" s="728" t="s">
        <v>2253</v>
      </c>
    </row>
    <row r="429" spans="2:16" s="723" customFormat="1" ht="12" customHeight="1">
      <c r="B429" s="722"/>
      <c r="J429" s="735" t="s">
        <v>1261</v>
      </c>
      <c r="K429" s="736"/>
      <c r="L429" s="727"/>
      <c r="M429" s="728"/>
      <c r="N429" s="737" t="s">
        <v>3015</v>
      </c>
      <c r="O429" s="737" t="s">
        <v>1266</v>
      </c>
      <c r="P429" s="728" t="s">
        <v>2254</v>
      </c>
    </row>
    <row r="430" spans="2:16" s="723" customFormat="1" ht="12" customHeight="1">
      <c r="B430" s="722"/>
      <c r="J430" s="735" t="s">
        <v>555</v>
      </c>
      <c r="K430" s="736"/>
      <c r="L430" s="727"/>
      <c r="M430" s="728"/>
      <c r="N430" s="737" t="s">
        <v>2716</v>
      </c>
      <c r="O430" s="737" t="s">
        <v>1517</v>
      </c>
      <c r="P430" s="728" t="s">
        <v>2255</v>
      </c>
    </row>
    <row r="431" spans="2:16" s="723" customFormat="1" ht="12" customHeight="1">
      <c r="B431" s="722"/>
      <c r="J431" s="735" t="s">
        <v>2414</v>
      </c>
      <c r="K431" s="736"/>
      <c r="L431" s="727"/>
      <c r="M431" s="728"/>
      <c r="N431" s="737" t="s">
        <v>1437</v>
      </c>
      <c r="O431" s="737" t="s">
        <v>2620</v>
      </c>
      <c r="P431" s="728" t="s">
        <v>2256</v>
      </c>
    </row>
    <row r="432" spans="2:16" s="723" customFormat="1" ht="12" customHeight="1">
      <c r="B432" s="722"/>
      <c r="J432" s="735" t="s">
        <v>3014</v>
      </c>
      <c r="K432" s="736"/>
      <c r="L432" s="727"/>
      <c r="M432" s="728"/>
      <c r="N432" s="737" t="s">
        <v>447</v>
      </c>
      <c r="O432" s="737" t="s">
        <v>201</v>
      </c>
      <c r="P432" s="728" t="s">
        <v>2257</v>
      </c>
    </row>
    <row r="433" spans="2:16" s="723" customFormat="1" ht="12" customHeight="1">
      <c r="B433" s="722"/>
      <c r="J433" s="735" t="s">
        <v>2715</v>
      </c>
      <c r="K433" s="736"/>
      <c r="L433" s="727"/>
      <c r="M433" s="728"/>
      <c r="N433" s="626" t="s">
        <v>1457</v>
      </c>
      <c r="O433" s="626" t="s">
        <v>1504</v>
      </c>
      <c r="P433" s="1382" t="s">
        <v>2856</v>
      </c>
    </row>
    <row r="434" spans="2:16" s="723" customFormat="1" ht="12" customHeight="1">
      <c r="B434" s="722"/>
      <c r="J434" s="735" t="s">
        <v>1436</v>
      </c>
      <c r="K434" s="736"/>
      <c r="L434" s="727"/>
      <c r="M434" s="728"/>
      <c r="N434" s="737" t="s">
        <v>450</v>
      </c>
      <c r="O434" s="737" t="s">
        <v>2886</v>
      </c>
      <c r="P434" s="728" t="s">
        <v>2258</v>
      </c>
    </row>
    <row r="435" spans="2:16" s="723" customFormat="1" ht="12" customHeight="1">
      <c r="B435" s="722"/>
      <c r="J435" s="735" t="s">
        <v>446</v>
      </c>
      <c r="K435" s="736"/>
      <c r="L435" s="727"/>
      <c r="M435" s="728"/>
      <c r="N435" s="737" t="s">
        <v>2654</v>
      </c>
      <c r="O435" s="737" t="s">
        <v>1902</v>
      </c>
      <c r="P435" s="728" t="s">
        <v>2259</v>
      </c>
    </row>
    <row r="436" spans="2:16" s="723" customFormat="1" ht="12" customHeight="1">
      <c r="B436" s="722"/>
      <c r="J436" s="735" t="s">
        <v>448</v>
      </c>
      <c r="K436" s="736"/>
      <c r="L436" s="727"/>
      <c r="M436" s="728"/>
      <c r="N436" s="737" t="s">
        <v>627</v>
      </c>
      <c r="O436" s="737" t="s">
        <v>3389</v>
      </c>
      <c r="P436" s="728" t="s">
        <v>2260</v>
      </c>
    </row>
    <row r="437" spans="2:16" s="723" customFormat="1" ht="12" customHeight="1">
      <c r="B437" s="722"/>
      <c r="J437" s="735" t="s">
        <v>449</v>
      </c>
      <c r="K437" s="736"/>
      <c r="L437" s="727"/>
      <c r="M437" s="728"/>
      <c r="N437" s="737" t="s">
        <v>2879</v>
      </c>
      <c r="O437" s="737" t="s">
        <v>1757</v>
      </c>
      <c r="P437" s="728" t="s">
        <v>2261</v>
      </c>
    </row>
    <row r="438" spans="2:16" s="723" customFormat="1" ht="12" customHeight="1">
      <c r="B438" s="722"/>
      <c r="J438" s="735" t="s">
        <v>2653</v>
      </c>
      <c r="K438" s="736"/>
      <c r="L438" s="727"/>
      <c r="M438" s="728"/>
      <c r="N438" s="737" t="s">
        <v>2325</v>
      </c>
      <c r="O438" s="737" t="s">
        <v>2624</v>
      </c>
      <c r="P438" s="728" t="s">
        <v>2262</v>
      </c>
    </row>
    <row r="439" spans="2:16" s="723" customFormat="1" ht="12" customHeight="1">
      <c r="B439" s="722"/>
      <c r="J439" s="735" t="s">
        <v>626</v>
      </c>
      <c r="K439" s="736"/>
      <c r="L439" s="727"/>
      <c r="M439" s="728"/>
      <c r="N439" s="737" t="s">
        <v>2327</v>
      </c>
      <c r="O439" s="737" t="s">
        <v>180</v>
      </c>
      <c r="P439" s="728" t="s">
        <v>2263</v>
      </c>
    </row>
    <row r="440" spans="2:16" s="723" customFormat="1" ht="12" customHeight="1">
      <c r="B440" s="722"/>
      <c r="J440" s="735" t="s">
        <v>2878</v>
      </c>
      <c r="K440" s="736"/>
      <c r="L440" s="727"/>
      <c r="M440" s="728"/>
      <c r="N440" s="737" t="s">
        <v>339</v>
      </c>
      <c r="O440" s="737" t="s">
        <v>173</v>
      </c>
      <c r="P440" s="728" t="s">
        <v>2264</v>
      </c>
    </row>
    <row r="441" spans="2:16" s="723" customFormat="1" ht="12" customHeight="1">
      <c r="B441" s="722"/>
      <c r="J441" s="735" t="s">
        <v>2324</v>
      </c>
      <c r="K441" s="736"/>
      <c r="L441" s="727"/>
      <c r="M441" s="728"/>
      <c r="N441" s="737" t="s">
        <v>341</v>
      </c>
      <c r="O441" s="737" t="s">
        <v>1744</v>
      </c>
      <c r="P441" s="728" t="s">
        <v>2265</v>
      </c>
    </row>
    <row r="442" spans="2:16" s="723" customFormat="1" ht="12" customHeight="1">
      <c r="B442" s="722"/>
      <c r="J442" s="735" t="s">
        <v>2326</v>
      </c>
      <c r="K442" s="736"/>
      <c r="L442" s="727"/>
      <c r="M442" s="728"/>
      <c r="N442" s="737" t="s">
        <v>1339</v>
      </c>
      <c r="O442" s="737" t="s">
        <v>3265</v>
      </c>
      <c r="P442" s="728" t="s">
        <v>2266</v>
      </c>
    </row>
    <row r="443" spans="2:16" s="723" customFormat="1" ht="12" customHeight="1">
      <c r="B443" s="722"/>
      <c r="J443" s="735" t="s">
        <v>338</v>
      </c>
      <c r="K443" s="736"/>
      <c r="L443" s="727"/>
      <c r="M443" s="728"/>
      <c r="N443" s="737" t="s">
        <v>3053</v>
      </c>
      <c r="O443" s="737" t="s">
        <v>355</v>
      </c>
      <c r="P443" s="728" t="s">
        <v>2267</v>
      </c>
    </row>
    <row r="444" spans="2:16" s="723" customFormat="1" ht="12" customHeight="1">
      <c r="B444" s="722"/>
      <c r="J444" s="735" t="s">
        <v>340</v>
      </c>
      <c r="K444" s="736"/>
      <c r="L444" s="727"/>
      <c r="M444" s="728"/>
      <c r="N444" s="737" t="s">
        <v>3035</v>
      </c>
      <c r="O444" s="737" t="s">
        <v>196</v>
      </c>
      <c r="P444" s="728" t="s">
        <v>2268</v>
      </c>
    </row>
    <row r="445" spans="2:16" s="723" customFormat="1" ht="12" customHeight="1">
      <c r="B445" s="722"/>
      <c r="J445" s="735" t="s">
        <v>1338</v>
      </c>
      <c r="K445" s="736"/>
      <c r="L445" s="727"/>
      <c r="M445" s="728"/>
      <c r="N445" s="737" t="s">
        <v>3037</v>
      </c>
      <c r="O445" s="737" t="s">
        <v>1754</v>
      </c>
      <c r="P445" s="728" t="s">
        <v>2269</v>
      </c>
    </row>
    <row r="446" spans="2:16" s="723" customFormat="1" ht="12" customHeight="1">
      <c r="B446" s="722"/>
      <c r="J446" s="735" t="s">
        <v>3051</v>
      </c>
      <c r="K446" s="736"/>
      <c r="L446" s="727"/>
      <c r="M446" s="728"/>
      <c r="N446" s="737" t="s">
        <v>677</v>
      </c>
      <c r="O446" s="737" t="s">
        <v>196</v>
      </c>
      <c r="P446" s="728" t="s">
        <v>2270</v>
      </c>
    </row>
    <row r="447" spans="2:16" s="723" customFormat="1" ht="12" customHeight="1">
      <c r="B447" s="722"/>
      <c r="J447" s="735" t="s">
        <v>3052</v>
      </c>
      <c r="K447" s="736"/>
      <c r="L447" s="727"/>
      <c r="M447" s="728"/>
      <c r="N447" s="626" t="s">
        <v>1458</v>
      </c>
      <c r="O447" s="626" t="s">
        <v>1977</v>
      </c>
      <c r="P447" s="1382" t="s">
        <v>2856</v>
      </c>
    </row>
    <row r="448" spans="2:16" s="723" customFormat="1" ht="12" customHeight="1">
      <c r="B448" s="722"/>
      <c r="J448" s="735" t="s">
        <v>3033</v>
      </c>
      <c r="K448" s="736"/>
      <c r="L448" s="727"/>
      <c r="M448" s="728"/>
      <c r="N448" s="737" t="s">
        <v>204</v>
      </c>
      <c r="O448" s="737" t="s">
        <v>2888</v>
      </c>
      <c r="P448" s="728" t="s">
        <v>204</v>
      </c>
    </row>
    <row r="449" spans="2:16" s="723" customFormat="1" ht="12" customHeight="1">
      <c r="B449" s="722"/>
      <c r="J449" s="735" t="s">
        <v>3034</v>
      </c>
      <c r="K449" s="736"/>
      <c r="L449" s="727"/>
      <c r="M449" s="728"/>
      <c r="N449" s="626" t="s">
        <v>1459</v>
      </c>
      <c r="O449" s="626" t="s">
        <v>3264</v>
      </c>
      <c r="P449" s="1382" t="s">
        <v>2856</v>
      </c>
    </row>
    <row r="450" spans="2:16" s="723" customFormat="1" ht="12" customHeight="1">
      <c r="B450" s="722"/>
      <c r="J450" s="735" t="s">
        <v>3036</v>
      </c>
      <c r="K450" s="736"/>
      <c r="L450" s="727"/>
      <c r="M450" s="728"/>
      <c r="N450" s="737" t="s">
        <v>2685</v>
      </c>
      <c r="O450" s="737" t="s">
        <v>3158</v>
      </c>
      <c r="P450" s="728" t="s">
        <v>2271</v>
      </c>
    </row>
    <row r="451" spans="2:16" s="723" customFormat="1" ht="12" customHeight="1">
      <c r="B451" s="722"/>
      <c r="J451" s="735" t="s">
        <v>676</v>
      </c>
      <c r="K451" s="736"/>
      <c r="L451" s="727"/>
      <c r="M451" s="728"/>
      <c r="N451" s="626" t="s">
        <v>1460</v>
      </c>
      <c r="O451" s="626" t="s">
        <v>175</v>
      </c>
      <c r="P451" s="1382" t="s">
        <v>2856</v>
      </c>
    </row>
    <row r="452" spans="2:16" s="723" customFormat="1" ht="12" customHeight="1">
      <c r="B452" s="722"/>
      <c r="J452" s="735" t="s">
        <v>203</v>
      </c>
      <c r="K452" s="736"/>
      <c r="L452" s="727"/>
      <c r="M452" s="728"/>
      <c r="N452" s="737" t="s">
        <v>2687</v>
      </c>
      <c r="O452" s="737" t="s">
        <v>3158</v>
      </c>
      <c r="P452" s="728" t="s">
        <v>2272</v>
      </c>
    </row>
    <row r="453" spans="2:16" s="723" customFormat="1" ht="12" customHeight="1">
      <c r="B453" s="722"/>
      <c r="J453" s="735" t="s">
        <v>2829</v>
      </c>
      <c r="K453" s="736"/>
      <c r="L453" s="727"/>
      <c r="M453" s="728"/>
      <c r="N453" s="737" t="s">
        <v>355</v>
      </c>
      <c r="O453" s="737" t="s">
        <v>1765</v>
      </c>
      <c r="P453" s="728" t="s">
        <v>2273</v>
      </c>
    </row>
    <row r="454" spans="2:16" s="723" customFormat="1" ht="12" customHeight="1">
      <c r="B454" s="722"/>
      <c r="J454" s="735" t="s">
        <v>2686</v>
      </c>
      <c r="K454" s="736"/>
      <c r="L454" s="727"/>
      <c r="M454" s="728"/>
      <c r="N454" s="737" t="s">
        <v>1559</v>
      </c>
      <c r="O454" s="737" t="s">
        <v>1266</v>
      </c>
      <c r="P454" s="728" t="s">
        <v>2274</v>
      </c>
    </row>
    <row r="455" spans="2:16" s="723" customFormat="1" ht="12" customHeight="1">
      <c r="B455" s="722"/>
      <c r="J455" s="735" t="s">
        <v>2688</v>
      </c>
      <c r="K455" s="736"/>
      <c r="L455" s="727"/>
      <c r="M455" s="728"/>
      <c r="N455" s="737" t="s">
        <v>1520</v>
      </c>
      <c r="O455" s="737" t="s">
        <v>1269</v>
      </c>
      <c r="P455" s="728" t="s">
        <v>2275</v>
      </c>
    </row>
    <row r="456" spans="2:16" s="723" customFormat="1" ht="12" customHeight="1">
      <c r="B456" s="722"/>
      <c r="J456" s="735" t="s">
        <v>1558</v>
      </c>
      <c r="K456" s="736"/>
      <c r="L456" s="727"/>
      <c r="M456" s="728"/>
      <c r="N456" s="737" t="s">
        <v>357</v>
      </c>
      <c r="O456" s="737" t="s">
        <v>1501</v>
      </c>
      <c r="P456" s="728" t="s">
        <v>2276</v>
      </c>
    </row>
    <row r="457" spans="2:16" s="723" customFormat="1" ht="12" customHeight="1">
      <c r="B457" s="722"/>
      <c r="J457" s="735" t="s">
        <v>1560</v>
      </c>
      <c r="K457" s="736"/>
      <c r="L457" s="727"/>
      <c r="M457" s="728"/>
      <c r="N457" s="737" t="s">
        <v>360</v>
      </c>
      <c r="O457" s="737" t="s">
        <v>355</v>
      </c>
      <c r="P457" s="728" t="s">
        <v>2277</v>
      </c>
    </row>
    <row r="458" spans="2:16" s="723" customFormat="1" ht="12" customHeight="1">
      <c r="B458" s="722"/>
      <c r="J458" s="735" t="s">
        <v>1521</v>
      </c>
      <c r="K458" s="736"/>
      <c r="L458" s="727"/>
      <c r="M458" s="728"/>
      <c r="N458" s="737" t="s">
        <v>77</v>
      </c>
      <c r="O458" s="737" t="s">
        <v>2628</v>
      </c>
      <c r="P458" s="728" t="s">
        <v>2278</v>
      </c>
    </row>
    <row r="459" spans="2:16" s="723" customFormat="1" ht="12" customHeight="1">
      <c r="B459" s="722"/>
      <c r="J459" s="735" t="s">
        <v>1522</v>
      </c>
      <c r="K459" s="736"/>
      <c r="L459" s="727"/>
      <c r="M459" s="728"/>
      <c r="N459" s="737" t="s">
        <v>2977</v>
      </c>
      <c r="O459" s="737" t="s">
        <v>1765</v>
      </c>
      <c r="P459" s="728" t="s">
        <v>2279</v>
      </c>
    </row>
    <row r="460" spans="2:16" s="723" customFormat="1" ht="12" customHeight="1">
      <c r="B460" s="722"/>
      <c r="J460" s="735" t="s">
        <v>76</v>
      </c>
      <c r="K460" s="736"/>
      <c r="L460" s="727"/>
      <c r="M460" s="728"/>
      <c r="N460" s="737" t="s">
        <v>2448</v>
      </c>
      <c r="O460" s="737" t="s">
        <v>2720</v>
      </c>
      <c r="P460" s="728" t="s">
        <v>2280</v>
      </c>
    </row>
    <row r="461" spans="2:16" s="723" customFormat="1" ht="12" customHeight="1">
      <c r="B461" s="722"/>
      <c r="J461" s="735" t="s">
        <v>401</v>
      </c>
      <c r="K461" s="736"/>
      <c r="L461" s="727"/>
      <c r="M461" s="728"/>
      <c r="N461" s="737" t="s">
        <v>2450</v>
      </c>
      <c r="O461" s="737" t="s">
        <v>114</v>
      </c>
      <c r="P461" s="728" t="s">
        <v>2281</v>
      </c>
    </row>
    <row r="462" spans="2:16" s="723" customFormat="1" ht="12" customHeight="1">
      <c r="B462" s="722"/>
      <c r="J462" s="735" t="s">
        <v>2976</v>
      </c>
      <c r="K462" s="736"/>
      <c r="L462" s="727"/>
      <c r="M462" s="728"/>
      <c r="N462" s="741" t="s">
        <v>879</v>
      </c>
      <c r="O462" s="737" t="s">
        <v>1627</v>
      </c>
      <c r="P462" s="728" t="s">
        <v>2282</v>
      </c>
    </row>
    <row r="463" spans="2:16" s="723" customFormat="1" ht="12" customHeight="1">
      <c r="B463" s="722"/>
      <c r="J463" s="735" t="s">
        <v>2517</v>
      </c>
      <c r="K463" s="736"/>
      <c r="L463" s="727"/>
      <c r="M463" s="728"/>
      <c r="N463" s="737" t="s">
        <v>3106</v>
      </c>
      <c r="O463" s="737" t="s">
        <v>3264</v>
      </c>
      <c r="P463" s="728" t="s">
        <v>2283</v>
      </c>
    </row>
    <row r="464" spans="2:16" s="723" customFormat="1" ht="12" customHeight="1">
      <c r="B464" s="722"/>
      <c r="J464" s="735" t="s">
        <v>2449</v>
      </c>
      <c r="K464" s="736"/>
      <c r="L464" s="727"/>
      <c r="M464" s="728"/>
      <c r="N464" s="737" t="s">
        <v>3108</v>
      </c>
      <c r="O464" s="737" t="s">
        <v>2897</v>
      </c>
      <c r="P464" s="728" t="s">
        <v>3108</v>
      </c>
    </row>
    <row r="465" spans="2:16" s="723" customFormat="1" ht="12" customHeight="1">
      <c r="B465" s="722"/>
      <c r="J465" s="735" t="s">
        <v>302</v>
      </c>
      <c r="K465" s="736"/>
      <c r="L465" s="727"/>
      <c r="M465" s="728"/>
      <c r="N465" s="737" t="s">
        <v>603</v>
      </c>
      <c r="O465" s="737" t="s">
        <v>3267</v>
      </c>
      <c r="P465" s="728" t="s">
        <v>2284</v>
      </c>
    </row>
    <row r="466" spans="2:16" s="723" customFormat="1" ht="12" customHeight="1">
      <c r="B466" s="722"/>
      <c r="J466" s="735" t="s">
        <v>3107</v>
      </c>
      <c r="K466" s="736"/>
      <c r="L466" s="727"/>
      <c r="M466" s="728"/>
      <c r="N466" s="737" t="s">
        <v>605</v>
      </c>
      <c r="O466" s="737" t="s">
        <v>1763</v>
      </c>
      <c r="P466" s="728" t="s">
        <v>2285</v>
      </c>
    </row>
    <row r="467" spans="2:16" s="723" customFormat="1" ht="12" customHeight="1">
      <c r="B467" s="722"/>
      <c r="J467" s="735" t="s">
        <v>601</v>
      </c>
      <c r="K467" s="736"/>
      <c r="L467" s="727"/>
      <c r="M467" s="728"/>
      <c r="N467" s="626" t="s">
        <v>1461</v>
      </c>
      <c r="O467" s="626" t="s">
        <v>1768</v>
      </c>
      <c r="P467" s="1382" t="s">
        <v>2856</v>
      </c>
    </row>
    <row r="468" spans="2:16" s="723" customFormat="1" ht="12" customHeight="1">
      <c r="B468" s="722"/>
      <c r="J468" s="735" t="s">
        <v>602</v>
      </c>
      <c r="K468" s="736"/>
      <c r="L468" s="727"/>
      <c r="M468" s="728"/>
      <c r="N468" s="737" t="s">
        <v>607</v>
      </c>
      <c r="O468" s="737" t="s">
        <v>1768</v>
      </c>
      <c r="P468" s="728" t="s">
        <v>2286</v>
      </c>
    </row>
    <row r="469" spans="2:16" s="723" customFormat="1" ht="12" customHeight="1">
      <c r="B469" s="722"/>
      <c r="J469" s="735" t="s">
        <v>604</v>
      </c>
      <c r="K469" s="736"/>
      <c r="L469" s="727"/>
      <c r="M469" s="728"/>
      <c r="N469" s="737" t="s">
        <v>1663</v>
      </c>
      <c r="O469" s="737" t="s">
        <v>1748</v>
      </c>
      <c r="P469" s="728" t="s">
        <v>2287</v>
      </c>
    </row>
    <row r="470" spans="2:16" s="723" customFormat="1" ht="12" customHeight="1">
      <c r="B470" s="722"/>
      <c r="J470" s="735" t="s">
        <v>606</v>
      </c>
      <c r="K470" s="736"/>
      <c r="L470" s="727"/>
      <c r="M470" s="728"/>
      <c r="N470" s="737" t="s">
        <v>1665</v>
      </c>
      <c r="O470" s="737" t="s">
        <v>364</v>
      </c>
      <c r="P470" s="728" t="s">
        <v>2288</v>
      </c>
    </row>
    <row r="471" spans="2:16" s="723" customFormat="1" ht="12" customHeight="1">
      <c r="B471" s="722"/>
      <c r="J471" s="735" t="s">
        <v>1662</v>
      </c>
      <c r="K471" s="736"/>
      <c r="L471" s="727"/>
      <c r="M471" s="728"/>
      <c r="N471" s="737" t="s">
        <v>2707</v>
      </c>
      <c r="O471" s="737" t="s">
        <v>2719</v>
      </c>
      <c r="P471" s="728" t="s">
        <v>2289</v>
      </c>
    </row>
    <row r="472" spans="2:16" s="723" customFormat="1" ht="12" customHeight="1">
      <c r="B472" s="722"/>
      <c r="J472" s="735" t="s">
        <v>1664</v>
      </c>
      <c r="K472" s="736"/>
      <c r="L472" s="727"/>
      <c r="M472" s="728"/>
      <c r="N472" s="737" t="s">
        <v>80</v>
      </c>
      <c r="O472" s="737" t="s">
        <v>2624</v>
      </c>
      <c r="P472" s="728" t="s">
        <v>2290</v>
      </c>
    </row>
    <row r="473" spans="2:16" s="723" customFormat="1" ht="12" customHeight="1">
      <c r="B473" s="722"/>
      <c r="J473" s="735" t="s">
        <v>2705</v>
      </c>
      <c r="K473" s="736"/>
      <c r="L473" s="727"/>
      <c r="M473" s="728"/>
      <c r="N473" s="737" t="s">
        <v>812</v>
      </c>
      <c r="O473" s="737" t="s">
        <v>3264</v>
      </c>
      <c r="P473" s="728" t="s">
        <v>812</v>
      </c>
    </row>
    <row r="474" spans="2:16" s="723" customFormat="1" ht="12" customHeight="1">
      <c r="B474" s="722"/>
      <c r="J474" s="735" t="s">
        <v>2706</v>
      </c>
      <c r="K474" s="736"/>
      <c r="L474" s="727"/>
      <c r="M474" s="728"/>
      <c r="N474" s="737" t="s">
        <v>82</v>
      </c>
      <c r="O474" s="737" t="s">
        <v>192</v>
      </c>
      <c r="P474" s="728" t="s">
        <v>2291</v>
      </c>
    </row>
    <row r="475" spans="2:16" s="723" customFormat="1" ht="12" customHeight="1">
      <c r="B475" s="722"/>
      <c r="J475" s="735" t="s">
        <v>79</v>
      </c>
      <c r="K475" s="736"/>
      <c r="L475" s="727"/>
      <c r="M475" s="728"/>
      <c r="N475" s="737" t="s">
        <v>3177</v>
      </c>
      <c r="O475" s="737" t="s">
        <v>1898</v>
      </c>
      <c r="P475" s="728" t="s">
        <v>2292</v>
      </c>
    </row>
    <row r="476" spans="2:16" s="723" customFormat="1" ht="12" customHeight="1">
      <c r="B476" s="722"/>
      <c r="J476" s="735" t="s">
        <v>81</v>
      </c>
      <c r="K476" s="736"/>
      <c r="L476" s="727"/>
      <c r="M476" s="728"/>
      <c r="N476" s="626" t="s">
        <v>1462</v>
      </c>
      <c r="O476" s="626" t="s">
        <v>1977</v>
      </c>
      <c r="P476" s="1382" t="s">
        <v>2856</v>
      </c>
    </row>
    <row r="477" spans="2:16" s="723" customFormat="1" ht="12" customHeight="1">
      <c r="B477" s="722"/>
      <c r="J477" s="735" t="s">
        <v>3176</v>
      </c>
      <c r="K477" s="736"/>
      <c r="L477" s="727"/>
      <c r="M477" s="728"/>
      <c r="N477" s="626" t="s">
        <v>1463</v>
      </c>
      <c r="O477" s="626" t="s">
        <v>1518</v>
      </c>
      <c r="P477" s="1382" t="s">
        <v>2856</v>
      </c>
    </row>
    <row r="478" spans="2:16" s="723" customFormat="1" ht="12" customHeight="1">
      <c r="B478" s="722"/>
      <c r="J478" s="735" t="s">
        <v>2917</v>
      </c>
      <c r="K478" s="736"/>
      <c r="L478" s="727"/>
      <c r="M478" s="728"/>
      <c r="N478" s="737" t="s">
        <v>793</v>
      </c>
      <c r="O478" s="737" t="s">
        <v>846</v>
      </c>
      <c r="P478" s="728" t="s">
        <v>2293</v>
      </c>
    </row>
    <row r="479" spans="2:16" s="723" customFormat="1" ht="12" customHeight="1">
      <c r="B479" s="722"/>
      <c r="J479" s="735" t="s">
        <v>2918</v>
      </c>
      <c r="K479" s="736"/>
      <c r="L479" s="727"/>
      <c r="M479" s="728"/>
      <c r="N479" s="737" t="s">
        <v>1365</v>
      </c>
      <c r="O479" s="737" t="s">
        <v>127</v>
      </c>
      <c r="P479" s="728" t="s">
        <v>2294</v>
      </c>
    </row>
    <row r="480" spans="2:16" s="723" customFormat="1" ht="12" customHeight="1">
      <c r="B480" s="722"/>
      <c r="J480" s="735" t="s">
        <v>1364</v>
      </c>
      <c r="K480" s="736"/>
      <c r="L480" s="727"/>
      <c r="M480" s="728"/>
      <c r="N480" s="737" t="s">
        <v>1367</v>
      </c>
      <c r="O480" s="737" t="s">
        <v>1766</v>
      </c>
      <c r="P480" s="728" t="s">
        <v>2295</v>
      </c>
    </row>
    <row r="481" spans="2:16" s="723" customFormat="1" ht="12" customHeight="1">
      <c r="B481" s="722"/>
      <c r="J481" s="735" t="s">
        <v>1366</v>
      </c>
      <c r="K481" s="736"/>
      <c r="L481" s="727"/>
      <c r="M481" s="728"/>
      <c r="N481" s="737" t="s">
        <v>1944</v>
      </c>
      <c r="O481" s="737" t="s">
        <v>1901</v>
      </c>
      <c r="P481" s="728" t="s">
        <v>2296</v>
      </c>
    </row>
    <row r="482" spans="2:16" s="723" customFormat="1" ht="12" customHeight="1">
      <c r="B482" s="722"/>
      <c r="J482" s="735" t="s">
        <v>1942</v>
      </c>
      <c r="K482" s="736"/>
      <c r="L482" s="727"/>
      <c r="M482" s="728"/>
      <c r="N482" s="737" t="s">
        <v>1946</v>
      </c>
      <c r="O482" s="737" t="s">
        <v>3317</v>
      </c>
      <c r="P482" s="728" t="s">
        <v>2297</v>
      </c>
    </row>
    <row r="483" spans="2:16" s="723" customFormat="1" ht="12" customHeight="1">
      <c r="B483" s="722"/>
      <c r="J483" s="735" t="s">
        <v>1943</v>
      </c>
      <c r="K483" s="736"/>
      <c r="L483" s="727"/>
      <c r="M483" s="728"/>
      <c r="N483" s="737" t="s">
        <v>1948</v>
      </c>
      <c r="O483" s="737" t="s">
        <v>2895</v>
      </c>
      <c r="P483" s="728" t="s">
        <v>2298</v>
      </c>
    </row>
    <row r="484" spans="2:16" s="723" customFormat="1" ht="12" customHeight="1">
      <c r="B484" s="722"/>
      <c r="J484" s="735" t="s">
        <v>1945</v>
      </c>
      <c r="K484" s="736"/>
      <c r="L484" s="727"/>
      <c r="M484" s="728"/>
      <c r="N484" s="737" t="s">
        <v>3068</v>
      </c>
      <c r="O484" s="737" t="s">
        <v>3388</v>
      </c>
      <c r="P484" s="728" t="s">
        <v>2299</v>
      </c>
    </row>
    <row r="485" spans="2:16" s="723" customFormat="1" ht="12" customHeight="1">
      <c r="B485" s="722"/>
      <c r="J485" s="735" t="s">
        <v>1947</v>
      </c>
      <c r="K485" s="736"/>
      <c r="L485" s="727"/>
      <c r="M485" s="728"/>
      <c r="N485" s="737" t="s">
        <v>3070</v>
      </c>
      <c r="O485" s="737" t="s">
        <v>127</v>
      </c>
      <c r="P485" s="728" t="s">
        <v>2300</v>
      </c>
    </row>
    <row r="486" spans="2:16" s="723" customFormat="1" ht="12" customHeight="1">
      <c r="B486" s="722"/>
      <c r="J486" s="735" t="s">
        <v>1949</v>
      </c>
      <c r="K486" s="736"/>
      <c r="L486" s="727"/>
      <c r="M486" s="728"/>
      <c r="N486" s="737" t="s">
        <v>1706</v>
      </c>
      <c r="O486" s="737" t="s">
        <v>1350</v>
      </c>
      <c r="P486" s="728" t="s">
        <v>2301</v>
      </c>
    </row>
    <row r="487" spans="2:16" s="723" customFormat="1" ht="12" customHeight="1">
      <c r="B487" s="722"/>
      <c r="J487" s="735" t="s">
        <v>3069</v>
      </c>
      <c r="K487" s="736"/>
      <c r="L487" s="727"/>
      <c r="M487" s="728"/>
      <c r="N487" s="626" t="s">
        <v>1464</v>
      </c>
      <c r="O487" s="626" t="s">
        <v>2717</v>
      </c>
      <c r="P487" s="1382" t="s">
        <v>2856</v>
      </c>
    </row>
    <row r="488" spans="2:16" s="723" customFormat="1" ht="12" customHeight="1">
      <c r="B488" s="722"/>
      <c r="J488" s="735" t="s">
        <v>3393</v>
      </c>
      <c r="K488" s="736"/>
      <c r="L488" s="727"/>
      <c r="M488" s="728"/>
      <c r="N488" s="737" t="s">
        <v>1708</v>
      </c>
      <c r="O488" s="737" t="s">
        <v>1903</v>
      </c>
      <c r="P488" s="728" t="s">
        <v>2302</v>
      </c>
    </row>
    <row r="489" spans="2:16" s="723" customFormat="1" ht="12" customHeight="1">
      <c r="B489" s="722"/>
      <c r="J489" s="735" t="s">
        <v>1707</v>
      </c>
      <c r="K489" s="736"/>
      <c r="L489" s="727"/>
      <c r="M489" s="728"/>
      <c r="N489" s="737" t="s">
        <v>1221</v>
      </c>
      <c r="O489" s="737" t="s">
        <v>2719</v>
      </c>
      <c r="P489" s="1381" t="s">
        <v>1218</v>
      </c>
    </row>
    <row r="490" spans="2:16" s="723" customFormat="1" ht="12" customHeight="1">
      <c r="B490" s="722"/>
      <c r="J490" s="735" t="s">
        <v>1965</v>
      </c>
      <c r="K490" s="736"/>
      <c r="L490" s="727"/>
      <c r="M490" s="728"/>
      <c r="N490" s="737" t="s">
        <v>1222</v>
      </c>
      <c r="O490" s="737" t="s">
        <v>1268</v>
      </c>
      <c r="P490" s="1381" t="s">
        <v>1218</v>
      </c>
    </row>
    <row r="491" spans="2:16" s="723" customFormat="1" ht="12" customHeight="1">
      <c r="B491" s="722"/>
      <c r="J491" s="735" t="s">
        <v>1212</v>
      </c>
      <c r="K491" s="736"/>
      <c r="L491" s="727"/>
      <c r="M491" s="728"/>
      <c r="N491" s="737" t="s">
        <v>1214</v>
      </c>
      <c r="O491" s="737" t="s">
        <v>808</v>
      </c>
      <c r="P491" s="728" t="s">
        <v>2303</v>
      </c>
    </row>
    <row r="492" spans="2:16" s="723" customFormat="1" ht="12" customHeight="1">
      <c r="B492" s="722"/>
      <c r="J492" s="735" t="s">
        <v>1213</v>
      </c>
      <c r="K492" s="736"/>
      <c r="L492" s="727"/>
      <c r="M492" s="728"/>
      <c r="N492" s="737" t="s">
        <v>1217</v>
      </c>
      <c r="O492" s="737" t="s">
        <v>351</v>
      </c>
      <c r="P492" s="728" t="s">
        <v>2304</v>
      </c>
    </row>
    <row r="493" spans="2:16" s="723" customFormat="1" ht="12" customHeight="1">
      <c r="B493" s="722"/>
      <c r="J493" s="735" t="s">
        <v>1215</v>
      </c>
      <c r="K493" s="736"/>
      <c r="L493" s="727"/>
      <c r="M493" s="728"/>
      <c r="N493" s="737" t="s">
        <v>126</v>
      </c>
      <c r="O493" s="737" t="s">
        <v>2720</v>
      </c>
      <c r="P493" s="728" t="s">
        <v>2305</v>
      </c>
    </row>
    <row r="494" spans="2:16" s="723" customFormat="1" ht="12" customHeight="1">
      <c r="B494" s="722"/>
      <c r="J494" s="735" t="s">
        <v>1216</v>
      </c>
      <c r="K494" s="736"/>
      <c r="L494" s="727"/>
      <c r="M494" s="728"/>
      <c r="N494" s="737" t="s">
        <v>273</v>
      </c>
      <c r="O494" s="737" t="s">
        <v>2586</v>
      </c>
      <c r="P494" s="728" t="s">
        <v>2306</v>
      </c>
    </row>
    <row r="495" spans="2:16" s="723" customFormat="1" ht="12" customHeight="1">
      <c r="B495" s="722"/>
      <c r="J495" s="735" t="s">
        <v>125</v>
      </c>
      <c r="K495" s="736"/>
      <c r="L495" s="727"/>
      <c r="M495" s="728"/>
      <c r="N495" s="737" t="s">
        <v>1962</v>
      </c>
      <c r="O495" s="737" t="s">
        <v>2719</v>
      </c>
      <c r="P495" s="728" t="s">
        <v>2307</v>
      </c>
    </row>
    <row r="496" spans="2:16" s="723" customFormat="1" ht="12" customHeight="1">
      <c r="B496" s="722"/>
      <c r="J496" s="735" t="s">
        <v>272</v>
      </c>
      <c r="K496" s="736"/>
      <c r="L496" s="727"/>
      <c r="M496" s="728"/>
      <c r="N496" s="737" t="s">
        <v>1966</v>
      </c>
      <c r="O496" s="737" t="s">
        <v>360</v>
      </c>
      <c r="P496" s="728" t="s">
        <v>2308</v>
      </c>
    </row>
    <row r="497" spans="2:16" s="723" customFormat="1" ht="12" customHeight="1">
      <c r="B497" s="722"/>
      <c r="J497" s="735" t="s">
        <v>1961</v>
      </c>
      <c r="K497" s="736"/>
      <c r="L497" s="727"/>
      <c r="M497" s="728"/>
      <c r="N497" s="737" t="s">
        <v>1968</v>
      </c>
      <c r="O497" s="737" t="s">
        <v>3264</v>
      </c>
      <c r="P497" s="728" t="s">
        <v>2309</v>
      </c>
    </row>
    <row r="498" spans="2:16" s="723" customFormat="1" ht="12" customHeight="1">
      <c r="B498" s="722"/>
      <c r="J498" s="735" t="s">
        <v>267</v>
      </c>
      <c r="K498" s="736"/>
      <c r="L498" s="727"/>
      <c r="M498" s="728"/>
      <c r="N498" s="737" t="s">
        <v>615</v>
      </c>
      <c r="O498" s="737" t="s">
        <v>1905</v>
      </c>
      <c r="P498" s="728" t="s">
        <v>2310</v>
      </c>
    </row>
    <row r="499" spans="2:16" s="723" customFormat="1" ht="12" customHeight="1">
      <c r="B499" s="722"/>
      <c r="J499" s="735" t="s">
        <v>1967</v>
      </c>
      <c r="K499" s="736"/>
      <c r="L499" s="727"/>
      <c r="M499" s="728"/>
      <c r="N499" s="737" t="s">
        <v>1831</v>
      </c>
      <c r="O499" s="737" t="s">
        <v>343</v>
      </c>
      <c r="P499" s="728" t="s">
        <v>2311</v>
      </c>
    </row>
    <row r="500" spans="2:16" s="723" customFormat="1" ht="12" customHeight="1">
      <c r="B500" s="722"/>
      <c r="J500" s="735" t="s">
        <v>1969</v>
      </c>
      <c r="K500" s="736"/>
      <c r="L500" s="727"/>
      <c r="M500" s="728"/>
      <c r="N500" s="737" t="s">
        <v>1833</v>
      </c>
      <c r="O500" s="737" t="s">
        <v>1266</v>
      </c>
      <c r="P500" s="728" t="s">
        <v>1833</v>
      </c>
    </row>
    <row r="501" spans="2:16" s="723" customFormat="1" ht="12" customHeight="1">
      <c r="B501" s="722"/>
      <c r="J501" s="735" t="s">
        <v>1830</v>
      </c>
      <c r="K501" s="736"/>
      <c r="L501" s="727"/>
      <c r="M501" s="728"/>
      <c r="N501" s="737" t="s">
        <v>193</v>
      </c>
      <c r="O501" s="737" t="s">
        <v>2893</v>
      </c>
      <c r="P501" s="728" t="s">
        <v>2312</v>
      </c>
    </row>
    <row r="502" spans="2:16" s="723" customFormat="1" ht="12" customHeight="1">
      <c r="B502" s="722"/>
      <c r="J502" s="735" t="s">
        <v>1832</v>
      </c>
      <c r="K502" s="736"/>
      <c r="L502" s="727"/>
      <c r="M502" s="728"/>
      <c r="N502" s="737" t="s">
        <v>1836</v>
      </c>
      <c r="O502" s="737" t="s">
        <v>2586</v>
      </c>
      <c r="P502" s="728" t="s">
        <v>2313</v>
      </c>
    </row>
    <row r="503" spans="2:16" s="723" customFormat="1" ht="12" customHeight="1">
      <c r="B503" s="722"/>
      <c r="J503" s="735" t="s">
        <v>1834</v>
      </c>
      <c r="K503" s="736"/>
      <c r="L503" s="727"/>
      <c r="M503" s="728"/>
      <c r="N503" s="737" t="s">
        <v>1838</v>
      </c>
      <c r="O503" s="737" t="s">
        <v>178</v>
      </c>
      <c r="P503" s="728" t="s">
        <v>2314</v>
      </c>
    </row>
    <row r="504" spans="2:16" s="723" customFormat="1" ht="12" customHeight="1">
      <c r="B504" s="722"/>
      <c r="J504" s="735" t="s">
        <v>1835</v>
      </c>
      <c r="K504" s="736"/>
      <c r="L504" s="727"/>
      <c r="M504" s="728"/>
      <c r="N504" s="737" t="s">
        <v>3273</v>
      </c>
      <c r="O504" s="737" t="s">
        <v>2618</v>
      </c>
      <c r="P504" s="728" t="s">
        <v>2315</v>
      </c>
    </row>
    <row r="505" spans="2:16" s="723" customFormat="1" ht="12" customHeight="1">
      <c r="B505" s="722"/>
      <c r="J505" s="735" t="s">
        <v>1837</v>
      </c>
      <c r="K505" s="736"/>
      <c r="L505" s="727"/>
      <c r="M505" s="728"/>
      <c r="N505" s="626" t="s">
        <v>1465</v>
      </c>
      <c r="O505" s="626" t="s">
        <v>3267</v>
      </c>
      <c r="P505" s="1382" t="s">
        <v>2856</v>
      </c>
    </row>
    <row r="506" spans="2:16" s="723" customFormat="1" ht="12" customHeight="1">
      <c r="B506" s="722"/>
      <c r="J506" s="735" t="s">
        <v>1839</v>
      </c>
      <c r="K506" s="736"/>
      <c r="L506" s="727"/>
      <c r="M506" s="728"/>
      <c r="N506" s="737" t="s">
        <v>1754</v>
      </c>
      <c r="O506" s="737" t="s">
        <v>1753</v>
      </c>
      <c r="P506" s="728" t="s">
        <v>2316</v>
      </c>
    </row>
    <row r="507" spans="2:16" s="723" customFormat="1" ht="12" customHeight="1">
      <c r="B507" s="722"/>
      <c r="J507" s="735" t="s">
        <v>2029</v>
      </c>
      <c r="K507" s="736"/>
      <c r="L507" s="727"/>
      <c r="M507" s="728"/>
      <c r="N507" s="737" t="s">
        <v>196</v>
      </c>
      <c r="O507" s="737" t="s">
        <v>3381</v>
      </c>
      <c r="P507" s="728" t="s">
        <v>2317</v>
      </c>
    </row>
    <row r="508" spans="2:16" s="723" customFormat="1" ht="12" customHeight="1">
      <c r="B508" s="722"/>
      <c r="J508" s="735" t="s">
        <v>2030</v>
      </c>
      <c r="K508" s="736"/>
      <c r="L508" s="727"/>
      <c r="M508" s="728"/>
      <c r="N508" s="737" t="s">
        <v>2033</v>
      </c>
      <c r="O508" s="737" t="s">
        <v>2901</v>
      </c>
      <c r="P508" s="728" t="s">
        <v>2054</v>
      </c>
    </row>
    <row r="509" spans="2:16" s="723" customFormat="1" ht="12" customHeight="1">
      <c r="B509" s="722"/>
      <c r="J509" s="735" t="s">
        <v>2031</v>
      </c>
      <c r="K509" s="736"/>
      <c r="L509" s="727"/>
      <c r="M509" s="728"/>
      <c r="N509" s="737" t="s">
        <v>2035</v>
      </c>
      <c r="O509" s="737" t="s">
        <v>2586</v>
      </c>
      <c r="P509" s="728" t="s">
        <v>2055</v>
      </c>
    </row>
    <row r="510" spans="2:16" s="723" customFormat="1" ht="12" customHeight="1">
      <c r="B510" s="722"/>
      <c r="J510" s="735" t="s">
        <v>2032</v>
      </c>
      <c r="K510" s="736"/>
      <c r="L510" s="727"/>
      <c r="M510" s="728"/>
      <c r="N510" s="737" t="s">
        <v>2038</v>
      </c>
      <c r="O510" s="737" t="s">
        <v>3386</v>
      </c>
      <c r="P510" s="728" t="s">
        <v>2056</v>
      </c>
    </row>
    <row r="511" spans="2:16" s="723" customFormat="1" ht="12" customHeight="1">
      <c r="B511" s="722"/>
      <c r="J511" s="735" t="s">
        <v>2034</v>
      </c>
      <c r="K511" s="736"/>
      <c r="L511" s="727"/>
      <c r="M511" s="728"/>
      <c r="N511" s="737" t="s">
        <v>411</v>
      </c>
      <c r="O511" s="737" t="s">
        <v>3267</v>
      </c>
      <c r="P511" s="728" t="s">
        <v>2057</v>
      </c>
    </row>
    <row r="512" spans="2:16" s="723" customFormat="1" ht="12" customHeight="1">
      <c r="B512" s="722"/>
      <c r="J512" s="735" t="s">
        <v>2036</v>
      </c>
      <c r="K512" s="736"/>
      <c r="L512" s="727"/>
      <c r="M512" s="728"/>
      <c r="N512" s="737" t="s">
        <v>413</v>
      </c>
      <c r="O512" s="737" t="s">
        <v>1754</v>
      </c>
      <c r="P512" s="728" t="s">
        <v>919</v>
      </c>
    </row>
    <row r="513" spans="2:16" s="723" customFormat="1" ht="12" customHeight="1">
      <c r="B513" s="722"/>
      <c r="J513" s="735" t="s">
        <v>2037</v>
      </c>
      <c r="K513" s="736"/>
      <c r="L513" s="727"/>
      <c r="M513" s="728"/>
      <c r="N513" s="737" t="s">
        <v>270</v>
      </c>
      <c r="O513" s="737" t="s">
        <v>2891</v>
      </c>
      <c r="P513" s="728" t="s">
        <v>920</v>
      </c>
    </row>
    <row r="514" spans="2:16" s="723" customFormat="1" ht="12" customHeight="1">
      <c r="B514" s="722"/>
      <c r="J514" s="735" t="s">
        <v>2039</v>
      </c>
      <c r="K514" s="736"/>
      <c r="L514" s="727"/>
      <c r="M514" s="728"/>
      <c r="N514" s="626" t="s">
        <v>2072</v>
      </c>
      <c r="O514" s="626" t="s">
        <v>3316</v>
      </c>
      <c r="P514" s="1382" t="s">
        <v>2856</v>
      </c>
    </row>
    <row r="515" spans="2:16" s="723" customFormat="1" ht="12" customHeight="1">
      <c r="B515" s="722"/>
      <c r="J515" s="735" t="s">
        <v>412</v>
      </c>
      <c r="K515" s="736"/>
      <c r="L515" s="727"/>
      <c r="M515" s="728"/>
      <c r="N515" s="737" t="s">
        <v>1494</v>
      </c>
      <c r="O515" s="737" t="s">
        <v>3388</v>
      </c>
      <c r="P515" s="728" t="s">
        <v>921</v>
      </c>
    </row>
    <row r="516" spans="2:16" s="723" customFormat="1" ht="12" customHeight="1">
      <c r="B516" s="722"/>
      <c r="J516" s="735" t="s">
        <v>269</v>
      </c>
      <c r="K516" s="736"/>
      <c r="L516" s="727"/>
      <c r="M516" s="728"/>
      <c r="N516" s="737" t="s">
        <v>1496</v>
      </c>
      <c r="O516" s="737" t="s">
        <v>1744</v>
      </c>
      <c r="P516" s="728" t="s">
        <v>922</v>
      </c>
    </row>
    <row r="517" spans="2:16" s="723" customFormat="1" ht="12" customHeight="1">
      <c r="B517" s="722"/>
      <c r="J517" s="735" t="s">
        <v>271</v>
      </c>
      <c r="K517" s="736"/>
      <c r="L517" s="727"/>
      <c r="M517" s="728"/>
      <c r="N517" s="737" t="s">
        <v>1498</v>
      </c>
      <c r="O517" s="737" t="s">
        <v>841</v>
      </c>
      <c r="P517" s="728" t="s">
        <v>923</v>
      </c>
    </row>
    <row r="518" spans="2:16" s="723" customFormat="1" ht="12" customHeight="1">
      <c r="B518" s="722"/>
      <c r="J518" s="735" t="s">
        <v>15</v>
      </c>
      <c r="K518" s="736"/>
      <c r="L518" s="727"/>
      <c r="M518" s="728"/>
      <c r="N518" s="737" t="s">
        <v>284</v>
      </c>
      <c r="O518" s="737" t="s">
        <v>351</v>
      </c>
      <c r="P518" s="728" t="s">
        <v>924</v>
      </c>
    </row>
    <row r="519" spans="2:16" s="723" customFormat="1" ht="12" customHeight="1">
      <c r="B519" s="722"/>
      <c r="J519" s="735" t="s">
        <v>1493</v>
      </c>
      <c r="K519" s="736"/>
      <c r="L519" s="727"/>
      <c r="M519" s="728"/>
      <c r="N519" s="737" t="s">
        <v>286</v>
      </c>
      <c r="O519" s="737" t="s">
        <v>3158</v>
      </c>
      <c r="P519" s="728" t="s">
        <v>925</v>
      </c>
    </row>
    <row r="520" spans="2:16" s="723" customFormat="1" ht="12" customHeight="1">
      <c r="B520" s="722"/>
      <c r="J520" s="735" t="s">
        <v>1495</v>
      </c>
      <c r="K520" s="736"/>
      <c r="L520" s="727"/>
      <c r="M520" s="728"/>
      <c r="N520" s="737" t="s">
        <v>2231</v>
      </c>
      <c r="O520" s="737" t="s">
        <v>1266</v>
      </c>
      <c r="P520" s="728" t="s">
        <v>926</v>
      </c>
    </row>
    <row r="521" spans="2:16" s="723" customFormat="1" ht="12" customHeight="1">
      <c r="B521" s="722"/>
      <c r="J521" s="735" t="s">
        <v>1497</v>
      </c>
      <c r="K521" s="736"/>
      <c r="L521" s="727"/>
      <c r="M521" s="728"/>
      <c r="N521" s="737" t="s">
        <v>3055</v>
      </c>
      <c r="O521" s="737" t="s">
        <v>1504</v>
      </c>
      <c r="P521" s="728" t="s">
        <v>927</v>
      </c>
    </row>
    <row r="522" spans="2:16" s="723" customFormat="1" ht="12" customHeight="1">
      <c r="B522" s="722"/>
      <c r="J522" s="735" t="s">
        <v>283</v>
      </c>
      <c r="K522" s="736"/>
      <c r="L522" s="727"/>
      <c r="M522" s="728"/>
      <c r="N522" s="737" t="s">
        <v>614</v>
      </c>
      <c r="O522" s="737" t="s">
        <v>2347</v>
      </c>
      <c r="P522" s="728" t="s">
        <v>928</v>
      </c>
    </row>
    <row r="523" spans="2:16" s="723" customFormat="1" ht="12" customHeight="1">
      <c r="B523" s="722"/>
      <c r="J523" s="735" t="s">
        <v>285</v>
      </c>
      <c r="K523" s="736"/>
      <c r="L523" s="727"/>
      <c r="M523" s="728"/>
      <c r="N523" s="737" t="s">
        <v>873</v>
      </c>
      <c r="O523" s="737" t="s">
        <v>178</v>
      </c>
      <c r="P523" s="728" t="s">
        <v>929</v>
      </c>
    </row>
    <row r="524" spans="2:16" s="723" customFormat="1" ht="12" customHeight="1">
      <c r="B524" s="722"/>
      <c r="J524" s="735" t="s">
        <v>2230</v>
      </c>
      <c r="K524" s="736"/>
      <c r="L524" s="727"/>
      <c r="M524" s="728"/>
      <c r="N524" s="737" t="s">
        <v>688</v>
      </c>
      <c r="O524" s="737" t="s">
        <v>1036</v>
      </c>
      <c r="P524" s="728" t="s">
        <v>930</v>
      </c>
    </row>
    <row r="525" spans="2:16" s="723" customFormat="1" ht="12" customHeight="1">
      <c r="B525" s="722"/>
      <c r="J525" s="735" t="s">
        <v>3054</v>
      </c>
      <c r="K525" s="736"/>
      <c r="L525" s="727"/>
      <c r="M525" s="728"/>
      <c r="N525" s="737" t="s">
        <v>690</v>
      </c>
      <c r="O525" s="737" t="s">
        <v>1763</v>
      </c>
      <c r="P525" s="728" t="s">
        <v>931</v>
      </c>
    </row>
    <row r="526" spans="2:16" s="723" customFormat="1" ht="12" customHeight="1">
      <c r="B526" s="722"/>
      <c r="J526" s="735" t="s">
        <v>613</v>
      </c>
      <c r="K526" s="736"/>
      <c r="L526" s="727"/>
      <c r="M526" s="728"/>
      <c r="N526" s="737" t="s">
        <v>692</v>
      </c>
      <c r="O526" s="737" t="s">
        <v>1902</v>
      </c>
      <c r="P526" s="728" t="s">
        <v>932</v>
      </c>
    </row>
    <row r="527" spans="2:16" s="723" customFormat="1" ht="12" customHeight="1">
      <c r="B527" s="722"/>
      <c r="J527" s="735" t="s">
        <v>1735</v>
      </c>
      <c r="K527" s="736"/>
      <c r="L527" s="727"/>
      <c r="M527" s="728"/>
      <c r="N527" s="737" t="s">
        <v>694</v>
      </c>
      <c r="O527" s="737" t="s">
        <v>1266</v>
      </c>
      <c r="P527" s="728" t="s">
        <v>933</v>
      </c>
    </row>
    <row r="528" spans="2:16" s="723" customFormat="1" ht="12" customHeight="1">
      <c r="B528" s="722"/>
      <c r="J528" s="735" t="s">
        <v>832</v>
      </c>
      <c r="K528" s="736"/>
      <c r="L528" s="727"/>
      <c r="M528" s="728"/>
      <c r="N528" s="737" t="s">
        <v>696</v>
      </c>
      <c r="O528" s="737" t="s">
        <v>2478</v>
      </c>
      <c r="P528" s="728" t="s">
        <v>934</v>
      </c>
    </row>
    <row r="529" spans="2:16" s="723" customFormat="1" ht="12" customHeight="1">
      <c r="B529" s="722"/>
      <c r="J529" s="735" t="s">
        <v>874</v>
      </c>
      <c r="K529" s="736"/>
      <c r="L529" s="727"/>
      <c r="M529" s="728"/>
      <c r="N529" s="737" t="s">
        <v>709</v>
      </c>
      <c r="O529" s="737" t="s">
        <v>362</v>
      </c>
      <c r="P529" s="728" t="s">
        <v>935</v>
      </c>
    </row>
    <row r="530" spans="2:16" s="723" customFormat="1" ht="12" customHeight="1">
      <c r="B530" s="722"/>
      <c r="J530" s="735" t="s">
        <v>875</v>
      </c>
      <c r="K530" s="736"/>
      <c r="L530" s="727"/>
      <c r="M530" s="728"/>
      <c r="N530" s="737" t="s">
        <v>711</v>
      </c>
      <c r="O530" s="737" t="s">
        <v>550</v>
      </c>
      <c r="P530" s="728" t="s">
        <v>936</v>
      </c>
    </row>
    <row r="531" spans="2:16" s="723" customFormat="1" ht="12" customHeight="1">
      <c r="B531" s="722"/>
      <c r="J531" s="735" t="s">
        <v>689</v>
      </c>
      <c r="K531" s="736"/>
      <c r="L531" s="727"/>
      <c r="M531" s="728"/>
      <c r="N531" s="741" t="s">
        <v>880</v>
      </c>
      <c r="O531" s="737" t="s">
        <v>1627</v>
      </c>
      <c r="P531" s="728" t="s">
        <v>937</v>
      </c>
    </row>
    <row r="532" spans="2:16" s="723" customFormat="1" ht="12" customHeight="1">
      <c r="B532" s="722"/>
      <c r="J532" s="735" t="s">
        <v>691</v>
      </c>
      <c r="K532" s="736"/>
      <c r="L532" s="727"/>
      <c r="M532" s="728"/>
      <c r="N532" s="742" t="s">
        <v>1223</v>
      </c>
      <c r="O532" s="737" t="s">
        <v>841</v>
      </c>
      <c r="P532" s="1381" t="s">
        <v>1218</v>
      </c>
    </row>
    <row r="533" spans="2:16" s="723" customFormat="1" ht="12" customHeight="1">
      <c r="B533" s="722"/>
      <c r="J533" s="735" t="s">
        <v>693</v>
      </c>
      <c r="K533" s="736"/>
      <c r="L533" s="727"/>
      <c r="M533" s="728"/>
      <c r="N533" s="737" t="s">
        <v>2236</v>
      </c>
      <c r="O533" s="737" t="s">
        <v>850</v>
      </c>
      <c r="P533" s="728" t="s">
        <v>938</v>
      </c>
    </row>
    <row r="534" spans="2:16" s="723" customFormat="1" ht="12" customHeight="1">
      <c r="B534" s="722"/>
      <c r="J534" s="735" t="s">
        <v>695</v>
      </c>
      <c r="K534" s="736"/>
      <c r="L534" s="727"/>
      <c r="M534" s="728"/>
      <c r="N534" s="737" t="s">
        <v>2793</v>
      </c>
      <c r="O534" s="737" t="s">
        <v>1504</v>
      </c>
      <c r="P534" s="728" t="s">
        <v>939</v>
      </c>
    </row>
    <row r="535" spans="2:16" s="723" customFormat="1" ht="12" customHeight="1">
      <c r="B535" s="722"/>
      <c r="J535" s="735" t="s">
        <v>708</v>
      </c>
      <c r="K535" s="736"/>
      <c r="L535" s="727"/>
      <c r="M535" s="728"/>
      <c r="N535" s="737" t="s">
        <v>2238</v>
      </c>
      <c r="O535" s="737" t="s">
        <v>2720</v>
      </c>
      <c r="P535" s="728" t="s">
        <v>940</v>
      </c>
    </row>
    <row r="536" spans="2:16" s="723" customFormat="1" ht="12" customHeight="1">
      <c r="B536" s="722"/>
      <c r="J536" s="735" t="s">
        <v>710</v>
      </c>
      <c r="K536" s="736"/>
      <c r="L536" s="727"/>
      <c r="M536" s="728"/>
      <c r="N536" s="737" t="s">
        <v>595</v>
      </c>
      <c r="O536" s="737" t="s">
        <v>1754</v>
      </c>
      <c r="P536" s="728" t="s">
        <v>941</v>
      </c>
    </row>
    <row r="537" spans="2:16" s="723" customFormat="1" ht="12" customHeight="1">
      <c r="B537" s="722"/>
      <c r="J537" s="735" t="s">
        <v>904</v>
      </c>
      <c r="K537" s="736"/>
      <c r="L537" s="727"/>
      <c r="M537" s="728"/>
      <c r="N537" s="626" t="s">
        <v>201</v>
      </c>
      <c r="O537" s="626" t="s">
        <v>175</v>
      </c>
      <c r="P537" s="1382" t="s">
        <v>2856</v>
      </c>
    </row>
    <row r="538" spans="2:16" s="723" customFormat="1" ht="12" customHeight="1">
      <c r="B538" s="722"/>
      <c r="J538" s="735" t="s">
        <v>760</v>
      </c>
      <c r="K538" s="736"/>
      <c r="L538" s="727"/>
      <c r="M538" s="728"/>
      <c r="N538" s="737" t="s">
        <v>1690</v>
      </c>
      <c r="O538" s="737" t="s">
        <v>357</v>
      </c>
      <c r="P538" s="728" t="s">
        <v>942</v>
      </c>
    </row>
    <row r="539" spans="2:16" s="723" customFormat="1" ht="12" customHeight="1">
      <c r="B539" s="722"/>
      <c r="J539" s="735" t="s">
        <v>761</v>
      </c>
      <c r="K539" s="736"/>
      <c r="L539" s="727"/>
      <c r="M539" s="728"/>
      <c r="N539" s="737" t="s">
        <v>1395</v>
      </c>
      <c r="O539" s="737" t="s">
        <v>1899</v>
      </c>
      <c r="P539" s="728" t="s">
        <v>943</v>
      </c>
    </row>
    <row r="540" spans="2:16" s="723" customFormat="1" ht="12" customHeight="1">
      <c r="B540" s="722"/>
      <c r="J540" s="735" t="s">
        <v>2792</v>
      </c>
      <c r="K540" s="736"/>
      <c r="L540" s="727"/>
      <c r="M540" s="728"/>
      <c r="N540" s="626" t="s">
        <v>1467</v>
      </c>
      <c r="O540" s="626" t="s">
        <v>192</v>
      </c>
      <c r="P540" s="1382" t="s">
        <v>2856</v>
      </c>
    </row>
    <row r="541" spans="2:16" s="723" customFormat="1" ht="12" customHeight="1">
      <c r="B541" s="722"/>
      <c r="J541" s="735" t="s">
        <v>593</v>
      </c>
      <c r="K541" s="736"/>
      <c r="L541" s="727"/>
      <c r="M541" s="728"/>
      <c r="N541" s="737" t="s">
        <v>145</v>
      </c>
      <c r="O541" s="737" t="s">
        <v>3319</v>
      </c>
      <c r="P541" s="728" t="s">
        <v>944</v>
      </c>
    </row>
    <row r="542" spans="2:16" s="723" customFormat="1" ht="12" customHeight="1">
      <c r="B542" s="722"/>
      <c r="J542" s="735" t="s">
        <v>594</v>
      </c>
      <c r="K542" s="736"/>
      <c r="L542" s="727"/>
      <c r="M542" s="728"/>
      <c r="N542" s="737" t="s">
        <v>3381</v>
      </c>
      <c r="O542" s="737" t="s">
        <v>1766</v>
      </c>
      <c r="P542" s="728" t="s">
        <v>945</v>
      </c>
    </row>
    <row r="543" spans="2:16" s="723" customFormat="1" ht="12" customHeight="1">
      <c r="B543" s="722"/>
      <c r="J543" s="735" t="s">
        <v>1689</v>
      </c>
      <c r="K543" s="736"/>
      <c r="L543" s="727"/>
      <c r="M543" s="728"/>
      <c r="N543" s="737" t="s">
        <v>148</v>
      </c>
      <c r="O543" s="737" t="s">
        <v>841</v>
      </c>
      <c r="P543" s="728" t="s">
        <v>946</v>
      </c>
    </row>
    <row r="544" spans="2:16" s="723" customFormat="1" ht="12" customHeight="1">
      <c r="B544" s="722"/>
      <c r="J544" s="735" t="s">
        <v>1394</v>
      </c>
      <c r="K544" s="736"/>
      <c r="L544" s="727"/>
      <c r="M544" s="728"/>
      <c r="N544" s="737" t="s">
        <v>150</v>
      </c>
      <c r="O544" s="737" t="s">
        <v>3264</v>
      </c>
      <c r="P544" s="728" t="s">
        <v>947</v>
      </c>
    </row>
    <row r="545" spans="2:16" s="723" customFormat="1" ht="12" customHeight="1">
      <c r="B545" s="722"/>
      <c r="J545" s="735" t="s">
        <v>1396</v>
      </c>
      <c r="K545" s="736"/>
      <c r="L545" s="727"/>
      <c r="M545" s="728"/>
      <c r="N545" s="737" t="s">
        <v>3392</v>
      </c>
      <c r="O545" s="737" t="s">
        <v>1758</v>
      </c>
      <c r="P545" s="728" t="s">
        <v>948</v>
      </c>
    </row>
    <row r="546" spans="2:16" s="723" customFormat="1" ht="12" customHeight="1">
      <c r="B546" s="722"/>
      <c r="J546" s="735" t="s">
        <v>1397</v>
      </c>
      <c r="K546" s="736"/>
      <c r="L546" s="727"/>
      <c r="M546" s="728"/>
      <c r="N546" s="737" t="s">
        <v>2810</v>
      </c>
      <c r="O546" s="737" t="s">
        <v>3270</v>
      </c>
      <c r="P546" s="728" t="s">
        <v>949</v>
      </c>
    </row>
    <row r="547" spans="2:16" s="723" customFormat="1" ht="12" customHeight="1">
      <c r="B547" s="722"/>
      <c r="J547" s="735" t="s">
        <v>146</v>
      </c>
      <c r="K547" s="736"/>
      <c r="L547" s="727"/>
      <c r="M547" s="728"/>
      <c r="N547" s="737" t="s">
        <v>1059</v>
      </c>
      <c r="O547" s="737" t="s">
        <v>128</v>
      </c>
      <c r="P547" s="728" t="s">
        <v>950</v>
      </c>
    </row>
    <row r="548" spans="2:16" s="723" customFormat="1" ht="12" customHeight="1">
      <c r="B548" s="722"/>
      <c r="J548" s="735" t="s">
        <v>147</v>
      </c>
      <c r="K548" s="736"/>
      <c r="L548" s="727"/>
      <c r="M548" s="728"/>
      <c r="N548" s="737" t="s">
        <v>1060</v>
      </c>
      <c r="O548" s="737" t="s">
        <v>201</v>
      </c>
      <c r="P548" s="728" t="s">
        <v>951</v>
      </c>
    </row>
    <row r="549" spans="2:16" s="723" customFormat="1" ht="12" customHeight="1">
      <c r="B549" s="722"/>
      <c r="J549" s="735" t="s">
        <v>149</v>
      </c>
      <c r="K549" s="736"/>
      <c r="L549" s="727"/>
      <c r="M549" s="728"/>
      <c r="N549" s="737" t="s">
        <v>893</v>
      </c>
      <c r="O549" s="737" t="s">
        <v>1038</v>
      </c>
      <c r="P549" s="728" t="s">
        <v>952</v>
      </c>
    </row>
    <row r="550" spans="2:16" s="723" customFormat="1" ht="12" customHeight="1">
      <c r="B550" s="722"/>
      <c r="J550" s="735" t="s">
        <v>3391</v>
      </c>
      <c r="K550" s="736"/>
      <c r="L550" s="727"/>
      <c r="M550" s="728"/>
      <c r="N550" s="737" t="s">
        <v>895</v>
      </c>
      <c r="O550" s="737" t="s">
        <v>1513</v>
      </c>
      <c r="P550" s="728" t="s">
        <v>895</v>
      </c>
    </row>
    <row r="551" spans="2:16" s="723" customFormat="1" ht="12" customHeight="1">
      <c r="B551" s="722"/>
      <c r="J551" s="735" t="s">
        <v>2809</v>
      </c>
      <c r="K551" s="736"/>
      <c r="L551" s="727"/>
      <c r="M551" s="728"/>
      <c r="N551" s="737" t="s">
        <v>3012</v>
      </c>
      <c r="O551" s="737" t="s">
        <v>1627</v>
      </c>
      <c r="P551" s="728" t="s">
        <v>953</v>
      </c>
    </row>
    <row r="552" spans="2:16" s="723" customFormat="1" ht="12" customHeight="1">
      <c r="B552" s="722"/>
      <c r="J552" s="735" t="s">
        <v>2811</v>
      </c>
      <c r="K552" s="736"/>
      <c r="L552" s="727"/>
      <c r="M552" s="728"/>
      <c r="N552" s="626" t="s">
        <v>3012</v>
      </c>
      <c r="O552" s="626" t="s">
        <v>1627</v>
      </c>
      <c r="P552" s="1382" t="s">
        <v>2856</v>
      </c>
    </row>
    <row r="553" spans="2:16" s="723" customFormat="1" ht="12" customHeight="1">
      <c r="B553" s="722"/>
      <c r="J553" s="735" t="s">
        <v>762</v>
      </c>
      <c r="K553" s="736"/>
      <c r="L553" s="727"/>
      <c r="M553" s="728"/>
      <c r="N553" s="737" t="s">
        <v>48</v>
      </c>
      <c r="O553" s="737" t="s">
        <v>1757</v>
      </c>
      <c r="P553" s="728" t="s">
        <v>954</v>
      </c>
    </row>
    <row r="554" spans="2:16" s="723" customFormat="1" ht="12" customHeight="1">
      <c r="B554" s="722"/>
      <c r="J554" s="735" t="s">
        <v>3073</v>
      </c>
      <c r="K554" s="736"/>
      <c r="L554" s="727"/>
      <c r="M554" s="728"/>
      <c r="N554" s="737" t="s">
        <v>2975</v>
      </c>
      <c r="O554" s="737" t="s">
        <v>1751</v>
      </c>
      <c r="P554" s="728" t="s">
        <v>955</v>
      </c>
    </row>
    <row r="555" spans="2:16" s="723" customFormat="1" ht="12" customHeight="1">
      <c r="B555" s="722"/>
      <c r="J555" s="735" t="s">
        <v>892</v>
      </c>
      <c r="K555" s="736"/>
      <c r="L555" s="727"/>
      <c r="M555" s="728"/>
      <c r="N555" s="737" t="s">
        <v>1224</v>
      </c>
      <c r="O555" s="737" t="s">
        <v>192</v>
      </c>
      <c r="P555" s="1381" t="s">
        <v>1218</v>
      </c>
    </row>
    <row r="556" spans="2:16" s="723" customFormat="1" ht="12" customHeight="1">
      <c r="B556" s="722"/>
      <c r="J556" s="735" t="s">
        <v>894</v>
      </c>
      <c r="K556" s="736"/>
      <c r="L556" s="727"/>
      <c r="M556" s="728"/>
      <c r="N556" s="737" t="s">
        <v>1434</v>
      </c>
      <c r="O556" s="737" t="s">
        <v>1501</v>
      </c>
      <c r="P556" s="728" t="s">
        <v>956</v>
      </c>
    </row>
    <row r="557" spans="2:16" s="723" customFormat="1" ht="12" customHeight="1">
      <c r="B557" s="722"/>
      <c r="J557" s="735" t="s">
        <v>3011</v>
      </c>
      <c r="K557" s="736"/>
      <c r="L557" s="727"/>
      <c r="M557" s="728"/>
      <c r="N557" s="737" t="s">
        <v>428</v>
      </c>
      <c r="O557" s="737" t="s">
        <v>3386</v>
      </c>
      <c r="P557" s="728" t="s">
        <v>957</v>
      </c>
    </row>
    <row r="558" spans="2:16" s="723" customFormat="1" ht="12" customHeight="1">
      <c r="B558" s="722"/>
      <c r="J558" s="735" t="s">
        <v>46</v>
      </c>
      <c r="K558" s="736"/>
      <c r="L558" s="727"/>
      <c r="M558" s="728"/>
      <c r="N558" s="737" t="s">
        <v>430</v>
      </c>
      <c r="O558" s="737" t="s">
        <v>2886</v>
      </c>
      <c r="P558" s="728" t="s">
        <v>958</v>
      </c>
    </row>
    <row r="559" spans="2:16" s="723" customFormat="1" ht="12" customHeight="1">
      <c r="B559" s="722"/>
      <c r="J559" s="735" t="s">
        <v>47</v>
      </c>
      <c r="K559" s="736"/>
      <c r="L559" s="727"/>
      <c r="M559" s="728"/>
      <c r="N559" s="737" t="s">
        <v>432</v>
      </c>
      <c r="O559" s="737" t="s">
        <v>3319</v>
      </c>
      <c r="P559" s="728" t="s">
        <v>959</v>
      </c>
    </row>
    <row r="560" spans="2:16" s="723" customFormat="1" ht="12" customHeight="1">
      <c r="B560" s="722"/>
      <c r="J560" s="735" t="s">
        <v>2974</v>
      </c>
      <c r="K560" s="736"/>
      <c r="L560" s="727"/>
      <c r="M560" s="728"/>
      <c r="N560" s="737" t="s">
        <v>3386</v>
      </c>
      <c r="O560" s="737" t="s">
        <v>2476</v>
      </c>
      <c r="P560" s="728" t="s">
        <v>960</v>
      </c>
    </row>
    <row r="561" spans="2:16" s="723" customFormat="1" ht="12" customHeight="1">
      <c r="B561" s="722"/>
      <c r="J561" s="735" t="s">
        <v>3002</v>
      </c>
      <c r="K561" s="736"/>
      <c r="L561" s="727"/>
      <c r="M561" s="728"/>
      <c r="N561" s="737" t="s">
        <v>2044</v>
      </c>
      <c r="O561" s="737" t="s">
        <v>3268</v>
      </c>
      <c r="P561" s="728" t="s">
        <v>961</v>
      </c>
    </row>
    <row r="562" spans="2:16" s="723" customFormat="1" ht="12" customHeight="1">
      <c r="B562" s="722"/>
      <c r="J562" s="735" t="s">
        <v>427</v>
      </c>
      <c r="K562" s="736"/>
      <c r="L562" s="727"/>
      <c r="M562" s="728"/>
      <c r="N562" s="737" t="s">
        <v>2046</v>
      </c>
      <c r="O562" s="737" t="s">
        <v>355</v>
      </c>
      <c r="P562" s="728" t="s">
        <v>962</v>
      </c>
    </row>
    <row r="563" spans="2:16" s="723" customFormat="1" ht="12" customHeight="1">
      <c r="B563" s="722"/>
      <c r="J563" s="735" t="s">
        <v>429</v>
      </c>
      <c r="K563" s="736"/>
      <c r="L563" s="727"/>
      <c r="M563" s="728"/>
      <c r="N563" s="737" t="s">
        <v>1882</v>
      </c>
      <c r="O563" s="737" t="s">
        <v>127</v>
      </c>
      <c r="P563" s="728" t="s">
        <v>963</v>
      </c>
    </row>
    <row r="564" spans="2:16" s="723" customFormat="1" ht="12" customHeight="1">
      <c r="B564" s="722"/>
      <c r="J564" s="735" t="s">
        <v>431</v>
      </c>
      <c r="K564" s="736"/>
      <c r="L564" s="727"/>
      <c r="M564" s="728"/>
      <c r="N564" s="737" t="s">
        <v>3219</v>
      </c>
      <c r="O564" s="737" t="s">
        <v>3270</v>
      </c>
      <c r="P564" s="728" t="s">
        <v>964</v>
      </c>
    </row>
    <row r="565" spans="2:16" s="723" customFormat="1" ht="12" customHeight="1">
      <c r="B565" s="722"/>
      <c r="J565" s="735" t="s">
        <v>433</v>
      </c>
      <c r="K565" s="736"/>
      <c r="L565" s="727"/>
      <c r="M565" s="728"/>
      <c r="N565" s="626" t="s">
        <v>1468</v>
      </c>
      <c r="O565" s="626" t="s">
        <v>808</v>
      </c>
      <c r="P565" s="1382" t="s">
        <v>2856</v>
      </c>
    </row>
    <row r="566" spans="2:16" s="723" customFormat="1" ht="12" customHeight="1">
      <c r="B566" s="722"/>
      <c r="J566" s="735" t="s">
        <v>2043</v>
      </c>
      <c r="K566" s="736"/>
      <c r="L566" s="727"/>
      <c r="M566" s="728"/>
      <c r="N566" s="626" t="s">
        <v>1469</v>
      </c>
      <c r="O566" s="626" t="s">
        <v>808</v>
      </c>
      <c r="P566" s="1382" t="s">
        <v>2856</v>
      </c>
    </row>
    <row r="567" spans="2:16" s="723" customFormat="1" ht="12" customHeight="1">
      <c r="B567" s="722"/>
      <c r="J567" s="735" t="s">
        <v>2045</v>
      </c>
      <c r="K567" s="736"/>
      <c r="L567" s="727"/>
      <c r="M567" s="728"/>
      <c r="N567" s="626" t="s">
        <v>1470</v>
      </c>
      <c r="O567" s="626" t="s">
        <v>808</v>
      </c>
      <c r="P567" s="1382" t="s">
        <v>2856</v>
      </c>
    </row>
    <row r="568" spans="2:16" s="723" customFormat="1" ht="12" customHeight="1">
      <c r="B568" s="722"/>
      <c r="J568" s="735" t="s">
        <v>2047</v>
      </c>
      <c r="K568" s="736"/>
      <c r="L568" s="727"/>
      <c r="M568" s="728"/>
      <c r="N568" s="737" t="s">
        <v>2518</v>
      </c>
      <c r="O568" s="737" t="s">
        <v>3387</v>
      </c>
      <c r="P568" s="728" t="s">
        <v>965</v>
      </c>
    </row>
    <row r="569" spans="2:16" s="723" customFormat="1" ht="12" customHeight="1">
      <c r="B569" s="722"/>
      <c r="J569" s="735" t="s">
        <v>3390</v>
      </c>
      <c r="K569" s="736"/>
      <c r="L569" s="727"/>
      <c r="M569" s="728"/>
      <c r="N569" s="737" t="s">
        <v>2529</v>
      </c>
      <c r="O569" s="737" t="s">
        <v>110</v>
      </c>
      <c r="P569" s="728" t="s">
        <v>966</v>
      </c>
    </row>
    <row r="570" spans="2:16" s="723" customFormat="1" ht="12" customHeight="1">
      <c r="B570" s="722"/>
      <c r="J570" s="735" t="s">
        <v>3220</v>
      </c>
      <c r="K570" s="736"/>
      <c r="L570" s="727"/>
      <c r="M570" s="728"/>
      <c r="N570" s="737" t="s">
        <v>2531</v>
      </c>
      <c r="O570" s="737" t="s">
        <v>2969</v>
      </c>
      <c r="P570" s="728" t="s">
        <v>967</v>
      </c>
    </row>
    <row r="571" spans="2:16" s="723" customFormat="1" ht="12" customHeight="1">
      <c r="B571" s="722"/>
      <c r="J571" s="735" t="s">
        <v>2528</v>
      </c>
      <c r="K571" s="736"/>
      <c r="L571" s="727"/>
      <c r="M571" s="728"/>
      <c r="N571" s="737" t="s">
        <v>2534</v>
      </c>
      <c r="O571" s="737" t="s">
        <v>2969</v>
      </c>
      <c r="P571" s="728" t="s">
        <v>968</v>
      </c>
    </row>
    <row r="572" spans="2:16" s="723" customFormat="1" ht="12" customHeight="1">
      <c r="B572" s="722"/>
      <c r="J572" s="735" t="s">
        <v>2530</v>
      </c>
      <c r="K572" s="736"/>
      <c r="L572" s="727"/>
      <c r="M572" s="728"/>
      <c r="N572" s="737" t="s">
        <v>2536</v>
      </c>
      <c r="O572" s="737" t="s">
        <v>343</v>
      </c>
      <c r="P572" s="728" t="s">
        <v>969</v>
      </c>
    </row>
    <row r="573" spans="2:16" s="723" customFormat="1" ht="12" customHeight="1">
      <c r="B573" s="722"/>
      <c r="J573" s="735" t="s">
        <v>2532</v>
      </c>
      <c r="K573" s="736"/>
      <c r="L573" s="727"/>
      <c r="M573" s="728"/>
      <c r="N573" s="737" t="s">
        <v>2538</v>
      </c>
      <c r="O573" s="737" t="s">
        <v>2347</v>
      </c>
      <c r="P573" s="728" t="s">
        <v>970</v>
      </c>
    </row>
    <row r="574" spans="2:16" s="723" customFormat="1" ht="12" customHeight="1">
      <c r="B574" s="722"/>
      <c r="J574" s="735" t="s">
        <v>2533</v>
      </c>
      <c r="K574" s="736"/>
      <c r="L574" s="727"/>
      <c r="M574" s="728"/>
      <c r="N574" s="737" t="s">
        <v>2540</v>
      </c>
      <c r="O574" s="737" t="s">
        <v>353</v>
      </c>
      <c r="P574" s="728" t="s">
        <v>971</v>
      </c>
    </row>
    <row r="575" spans="2:16" s="723" customFormat="1" ht="12" customHeight="1">
      <c r="B575" s="722"/>
      <c r="J575" s="735" t="s">
        <v>2535</v>
      </c>
      <c r="K575" s="736"/>
      <c r="L575" s="727"/>
      <c r="M575" s="728"/>
      <c r="N575" s="737" t="s">
        <v>3387</v>
      </c>
      <c r="O575" s="737" t="s">
        <v>112</v>
      </c>
      <c r="P575" s="728" t="s">
        <v>972</v>
      </c>
    </row>
    <row r="576" spans="2:16" s="723" customFormat="1" ht="12" customHeight="1">
      <c r="B576" s="722"/>
      <c r="J576" s="735" t="s">
        <v>2537</v>
      </c>
      <c r="K576" s="736"/>
      <c r="L576" s="727"/>
      <c r="M576" s="728"/>
      <c r="N576" s="737" t="s">
        <v>2656</v>
      </c>
      <c r="O576" s="737" t="s">
        <v>114</v>
      </c>
      <c r="P576" s="728" t="s">
        <v>973</v>
      </c>
    </row>
    <row r="577" spans="2:16" s="723" customFormat="1" ht="12" customHeight="1">
      <c r="B577" s="722"/>
      <c r="J577" s="735" t="s">
        <v>2539</v>
      </c>
      <c r="K577" s="736"/>
      <c r="L577" s="727"/>
      <c r="M577" s="728"/>
      <c r="N577" s="737" t="s">
        <v>2509</v>
      </c>
      <c r="O577" s="737" t="s">
        <v>1502</v>
      </c>
      <c r="P577" s="728" t="s">
        <v>974</v>
      </c>
    </row>
    <row r="578" spans="2:16" s="723" customFormat="1" ht="12" customHeight="1">
      <c r="B578" s="722"/>
      <c r="J578" s="735" t="s">
        <v>2541</v>
      </c>
      <c r="K578" s="736"/>
      <c r="L578" s="727"/>
      <c r="M578" s="728"/>
      <c r="N578" s="737" t="s">
        <v>3388</v>
      </c>
      <c r="O578" s="737" t="s">
        <v>1754</v>
      </c>
      <c r="P578" s="728" t="s">
        <v>975</v>
      </c>
    </row>
    <row r="579" spans="2:16" s="723" customFormat="1" ht="12" customHeight="1">
      <c r="B579" s="722"/>
      <c r="J579" s="735" t="s">
        <v>2542</v>
      </c>
      <c r="K579" s="736"/>
      <c r="L579" s="727"/>
      <c r="M579" s="728"/>
      <c r="N579" s="737" t="s">
        <v>2322</v>
      </c>
      <c r="O579" s="737" t="s">
        <v>2886</v>
      </c>
      <c r="P579" s="728" t="s">
        <v>976</v>
      </c>
    </row>
    <row r="580" spans="2:16" s="723" customFormat="1" ht="12" customHeight="1">
      <c r="B580" s="722"/>
      <c r="J580" s="735" t="s">
        <v>2508</v>
      </c>
      <c r="K580" s="736"/>
      <c r="L580" s="727"/>
      <c r="M580" s="728"/>
      <c r="N580" s="737" t="s">
        <v>1225</v>
      </c>
      <c r="O580" s="737" t="s">
        <v>2893</v>
      </c>
      <c r="P580" s="1381" t="s">
        <v>1218</v>
      </c>
    </row>
    <row r="581" spans="2:16" s="723" customFormat="1" ht="12" customHeight="1">
      <c r="B581" s="722"/>
      <c r="J581" s="735" t="s">
        <v>2320</v>
      </c>
      <c r="K581" s="736"/>
      <c r="L581" s="727"/>
      <c r="M581" s="728"/>
      <c r="N581" s="737" t="s">
        <v>2999</v>
      </c>
      <c r="O581" s="737" t="s">
        <v>2349</v>
      </c>
      <c r="P581" s="728" t="s">
        <v>977</v>
      </c>
    </row>
    <row r="582" spans="2:16" s="723" customFormat="1" ht="12" customHeight="1">
      <c r="B582" s="722"/>
      <c r="J582" s="735" t="s">
        <v>2321</v>
      </c>
      <c r="K582" s="736"/>
      <c r="L582" s="727"/>
      <c r="M582" s="728"/>
      <c r="N582" s="737" t="s">
        <v>3001</v>
      </c>
      <c r="O582" s="737" t="s">
        <v>2890</v>
      </c>
      <c r="P582" s="728" t="s">
        <v>978</v>
      </c>
    </row>
    <row r="583" spans="2:16" s="723" customFormat="1" ht="12" customHeight="1">
      <c r="B583" s="722"/>
      <c r="J583" s="735" t="s">
        <v>2323</v>
      </c>
      <c r="K583" s="736"/>
      <c r="L583" s="727"/>
      <c r="M583" s="728"/>
      <c r="N583" s="737" t="s">
        <v>728</v>
      </c>
      <c r="O583" s="737" t="s">
        <v>3386</v>
      </c>
      <c r="P583" s="728" t="s">
        <v>979</v>
      </c>
    </row>
    <row r="584" spans="2:16" s="723" customFormat="1" ht="12" customHeight="1">
      <c r="B584" s="722"/>
      <c r="J584" s="735" t="s">
        <v>3000</v>
      </c>
      <c r="K584" s="736"/>
      <c r="L584" s="727"/>
      <c r="M584" s="728"/>
      <c r="N584" s="737" t="s">
        <v>730</v>
      </c>
      <c r="O584" s="737" t="s">
        <v>1627</v>
      </c>
      <c r="P584" s="728" t="s">
        <v>980</v>
      </c>
    </row>
    <row r="585" spans="2:16" s="723" customFormat="1" ht="12" customHeight="1">
      <c r="B585" s="722"/>
      <c r="J585" s="735" t="s">
        <v>727</v>
      </c>
      <c r="K585" s="736"/>
      <c r="L585" s="727"/>
      <c r="M585" s="728"/>
      <c r="N585" s="626" t="s">
        <v>1471</v>
      </c>
      <c r="O585" s="626" t="s">
        <v>808</v>
      </c>
      <c r="P585" s="1382" t="s">
        <v>2856</v>
      </c>
    </row>
    <row r="586" spans="2:16" s="723" customFormat="1" ht="12" customHeight="1">
      <c r="B586" s="722"/>
      <c r="J586" s="735" t="s">
        <v>729</v>
      </c>
      <c r="K586" s="736"/>
      <c r="L586" s="727"/>
      <c r="M586" s="728"/>
      <c r="N586" s="737" t="s">
        <v>732</v>
      </c>
      <c r="O586" s="737" t="s">
        <v>2346</v>
      </c>
      <c r="P586" s="728" t="s">
        <v>981</v>
      </c>
    </row>
    <row r="587" spans="2:16" s="723" customFormat="1" ht="12" customHeight="1">
      <c r="B587" s="722"/>
      <c r="J587" s="735" t="s">
        <v>731</v>
      </c>
      <c r="K587" s="736"/>
      <c r="L587" s="727"/>
      <c r="M587" s="728"/>
      <c r="N587" s="737" t="s">
        <v>1593</v>
      </c>
      <c r="O587" s="737" t="s">
        <v>1502</v>
      </c>
      <c r="P587" s="728" t="s">
        <v>982</v>
      </c>
    </row>
    <row r="588" spans="2:16" s="723" customFormat="1" ht="12" customHeight="1">
      <c r="B588" s="722"/>
      <c r="J588" s="735" t="s">
        <v>2768</v>
      </c>
      <c r="K588" s="736"/>
      <c r="L588" s="727"/>
      <c r="M588" s="728"/>
      <c r="N588" s="737" t="s">
        <v>1893</v>
      </c>
      <c r="O588" s="737" t="s">
        <v>2347</v>
      </c>
      <c r="P588" s="728" t="s">
        <v>983</v>
      </c>
    </row>
    <row r="589" spans="2:16" s="723" customFormat="1" ht="12" customHeight="1">
      <c r="B589" s="722"/>
      <c r="J589" s="735" t="s">
        <v>1892</v>
      </c>
      <c r="K589" s="736"/>
      <c r="L589" s="727"/>
      <c r="M589" s="728"/>
      <c r="N589" s="737" t="s">
        <v>1895</v>
      </c>
      <c r="O589" s="737" t="s">
        <v>1753</v>
      </c>
      <c r="P589" s="728" t="s">
        <v>1895</v>
      </c>
    </row>
    <row r="590" spans="2:16" s="723" customFormat="1" ht="12" customHeight="1">
      <c r="B590" s="722"/>
      <c r="J590" s="735" t="s">
        <v>1894</v>
      </c>
      <c r="K590" s="736"/>
      <c r="L590" s="727"/>
      <c r="M590" s="728"/>
      <c r="N590" s="737" t="s">
        <v>1897</v>
      </c>
      <c r="O590" s="737" t="s">
        <v>843</v>
      </c>
      <c r="P590" s="728" t="s">
        <v>1897</v>
      </c>
    </row>
    <row r="591" spans="2:16" s="723" customFormat="1" ht="12" customHeight="1">
      <c r="B591" s="722"/>
      <c r="J591" s="735" t="s">
        <v>1896</v>
      </c>
      <c r="K591" s="736"/>
      <c r="L591" s="727"/>
      <c r="M591" s="728"/>
      <c r="N591" s="737" t="s">
        <v>2042</v>
      </c>
      <c r="O591" s="737" t="s">
        <v>2472</v>
      </c>
      <c r="P591" s="728" t="s">
        <v>984</v>
      </c>
    </row>
    <row r="592" spans="2:16" s="723" customFormat="1" ht="12" customHeight="1">
      <c r="B592" s="722"/>
      <c r="J592" s="735" t="s">
        <v>2041</v>
      </c>
      <c r="K592" s="736"/>
      <c r="L592" s="727"/>
      <c r="M592" s="728"/>
      <c r="N592" s="737" t="s">
        <v>2835</v>
      </c>
      <c r="O592" s="737" t="s">
        <v>2236</v>
      </c>
      <c r="P592" s="728" t="s">
        <v>985</v>
      </c>
    </row>
    <row r="593" spans="2:20" s="723" customFormat="1" ht="12" customHeight="1">
      <c r="B593" s="722"/>
      <c r="J593" s="735" t="s">
        <v>2834</v>
      </c>
      <c r="K593" s="736"/>
      <c r="L593" s="727"/>
      <c r="M593" s="728"/>
      <c r="N593" s="737" t="s">
        <v>2837</v>
      </c>
      <c r="O593" s="737" t="s">
        <v>1759</v>
      </c>
      <c r="P593" s="728" t="s">
        <v>986</v>
      </c>
    </row>
    <row r="594" spans="2:20" s="723" customFormat="1" ht="12" customHeight="1">
      <c r="B594" s="722"/>
      <c r="J594" s="735" t="s">
        <v>2836</v>
      </c>
      <c r="K594" s="736"/>
      <c r="L594" s="727"/>
      <c r="M594" s="728"/>
      <c r="N594" s="737" t="s">
        <v>1883</v>
      </c>
      <c r="O594" s="737" t="s">
        <v>355</v>
      </c>
      <c r="P594" s="728" t="s">
        <v>987</v>
      </c>
      <c r="R594" s="626" t="s">
        <v>99</v>
      </c>
      <c r="S594" s="626" t="s">
        <v>101</v>
      </c>
      <c r="T594" s="626" t="s">
        <v>100</v>
      </c>
    </row>
    <row r="595" spans="2:20" s="723" customFormat="1" ht="12" customHeight="1">
      <c r="B595" s="722"/>
      <c r="J595" s="735" t="s">
        <v>2838</v>
      </c>
      <c r="K595" s="736"/>
      <c r="L595" s="727"/>
      <c r="M595" s="728"/>
      <c r="N595" s="737" t="s">
        <v>1885</v>
      </c>
      <c r="O595" s="737" t="s">
        <v>352</v>
      </c>
      <c r="P595" s="728" t="s">
        <v>988</v>
      </c>
      <c r="R595" s="626" t="s">
        <v>3358</v>
      </c>
      <c r="S595" s="626" t="s">
        <v>808</v>
      </c>
      <c r="T595" s="1382" t="s">
        <v>2856</v>
      </c>
    </row>
    <row r="596" spans="2:20" s="723" customFormat="1" ht="12" customHeight="1">
      <c r="B596" s="722"/>
      <c r="J596" s="735" t="s">
        <v>1884</v>
      </c>
      <c r="K596" s="736"/>
      <c r="L596" s="727"/>
      <c r="M596" s="728"/>
      <c r="N596" s="626" t="s">
        <v>1472</v>
      </c>
      <c r="O596" s="626" t="s">
        <v>2349</v>
      </c>
      <c r="P596" s="1382" t="s">
        <v>2856</v>
      </c>
      <c r="R596" s="626" t="s">
        <v>3359</v>
      </c>
      <c r="S596" s="626" t="s">
        <v>351</v>
      </c>
      <c r="T596" s="1382" t="s">
        <v>2856</v>
      </c>
    </row>
    <row r="597" spans="2:20" s="723" customFormat="1" ht="12" customHeight="1">
      <c r="B597" s="722"/>
      <c r="J597" s="735" t="s">
        <v>1886</v>
      </c>
      <c r="K597" s="736"/>
      <c r="L597" s="727"/>
      <c r="M597" s="728"/>
      <c r="N597" s="737" t="s">
        <v>1887</v>
      </c>
      <c r="O597" s="737" t="s">
        <v>808</v>
      </c>
      <c r="P597" s="728" t="s">
        <v>989</v>
      </c>
      <c r="R597" s="626" t="s">
        <v>3360</v>
      </c>
      <c r="S597" s="626" t="s">
        <v>3264</v>
      </c>
      <c r="T597" s="1382" t="s">
        <v>2856</v>
      </c>
    </row>
    <row r="598" spans="2:20" s="723" customFormat="1" ht="12" customHeight="1">
      <c r="B598" s="722"/>
      <c r="J598" s="735" t="s">
        <v>2015</v>
      </c>
      <c r="K598" s="736"/>
      <c r="L598" s="727"/>
      <c r="M598" s="728"/>
      <c r="N598" s="737" t="s">
        <v>2016</v>
      </c>
      <c r="O598" s="737" t="s">
        <v>347</v>
      </c>
      <c r="P598" s="728" t="s">
        <v>990</v>
      </c>
      <c r="R598" s="626" t="s">
        <v>3361</v>
      </c>
      <c r="S598" s="626"/>
      <c r="T598" s="1382" t="s">
        <v>2856</v>
      </c>
    </row>
    <row r="599" spans="2:20" s="723" customFormat="1" ht="12" customHeight="1">
      <c r="B599" s="722"/>
      <c r="J599" s="735" t="s">
        <v>2017</v>
      </c>
      <c r="K599" s="736"/>
      <c r="L599" s="727"/>
      <c r="M599" s="728"/>
      <c r="N599" s="737" t="s">
        <v>2767</v>
      </c>
      <c r="O599" s="737" t="s">
        <v>1350</v>
      </c>
      <c r="P599" s="728" t="s">
        <v>991</v>
      </c>
      <c r="R599" s="626" t="s">
        <v>3362</v>
      </c>
      <c r="S599" s="626" t="s">
        <v>2719</v>
      </c>
      <c r="T599" s="1382" t="s">
        <v>2856</v>
      </c>
    </row>
    <row r="600" spans="2:20" s="723" customFormat="1" ht="12" customHeight="1">
      <c r="B600" s="722"/>
      <c r="J600" s="735" t="s">
        <v>2766</v>
      </c>
      <c r="K600" s="736"/>
      <c r="L600" s="727"/>
      <c r="M600" s="728"/>
      <c r="N600" s="737" t="s">
        <v>2578</v>
      </c>
      <c r="O600" s="737" t="s">
        <v>2661</v>
      </c>
      <c r="P600" s="728" t="s">
        <v>992</v>
      </c>
      <c r="R600" s="626" t="s">
        <v>3363</v>
      </c>
      <c r="S600" s="626" t="s">
        <v>3264</v>
      </c>
      <c r="T600" s="1382" t="s">
        <v>2856</v>
      </c>
    </row>
    <row r="601" spans="2:20" s="723" customFormat="1" ht="12" customHeight="1">
      <c r="B601" s="722"/>
      <c r="J601" s="735" t="s">
        <v>2577</v>
      </c>
      <c r="K601" s="736"/>
      <c r="L601" s="727"/>
      <c r="M601" s="728"/>
      <c r="N601" s="737" t="s">
        <v>307</v>
      </c>
      <c r="O601" s="737" t="s">
        <v>2661</v>
      </c>
      <c r="P601" s="728" t="s">
        <v>993</v>
      </c>
      <c r="R601" s="626" t="s">
        <v>3364</v>
      </c>
      <c r="S601" s="626" t="s">
        <v>1761</v>
      </c>
      <c r="T601" s="1382" t="s">
        <v>2856</v>
      </c>
    </row>
    <row r="602" spans="2:20" s="723" customFormat="1" ht="12" customHeight="1">
      <c r="B602" s="722"/>
      <c r="J602" s="735" t="s">
        <v>306</v>
      </c>
      <c r="K602" s="736"/>
      <c r="L602" s="727"/>
      <c r="M602" s="728"/>
      <c r="N602" s="737" t="s">
        <v>2375</v>
      </c>
      <c r="O602" s="737" t="s">
        <v>2895</v>
      </c>
      <c r="P602" s="728" t="s">
        <v>994</v>
      </c>
      <c r="R602" s="626" t="s">
        <v>3365</v>
      </c>
      <c r="S602" s="626" t="s">
        <v>2721</v>
      </c>
      <c r="T602" s="1382" t="s">
        <v>2856</v>
      </c>
    </row>
    <row r="603" spans="2:20" s="723" customFormat="1" ht="12" customHeight="1">
      <c r="B603" s="722"/>
      <c r="J603" s="735" t="s">
        <v>2374</v>
      </c>
      <c r="K603" s="736"/>
      <c r="L603" s="727"/>
      <c r="M603" s="728"/>
      <c r="N603" s="737" t="s">
        <v>288</v>
      </c>
      <c r="O603" s="737" t="s">
        <v>853</v>
      </c>
      <c r="P603" s="728" t="s">
        <v>995</v>
      </c>
      <c r="R603" s="626" t="s">
        <v>3366</v>
      </c>
      <c r="S603" s="626" t="s">
        <v>852</v>
      </c>
      <c r="T603" s="1382" t="s">
        <v>2856</v>
      </c>
    </row>
    <row r="604" spans="2:20" s="723" customFormat="1" ht="12" customHeight="1">
      <c r="B604" s="722"/>
      <c r="J604" s="735" t="s">
        <v>287</v>
      </c>
      <c r="K604" s="736"/>
      <c r="L604" s="727"/>
      <c r="M604" s="728"/>
      <c r="N604" s="737" t="s">
        <v>1598</v>
      </c>
      <c r="O604" s="737" t="s">
        <v>175</v>
      </c>
      <c r="P604" s="728" t="s">
        <v>996</v>
      </c>
      <c r="R604" s="626" t="s">
        <v>3367</v>
      </c>
      <c r="S604" s="626" t="s">
        <v>808</v>
      </c>
      <c r="T604" s="1382" t="s">
        <v>2856</v>
      </c>
    </row>
    <row r="605" spans="2:20" s="723" customFormat="1" ht="12" customHeight="1">
      <c r="B605" s="722"/>
      <c r="J605" s="735" t="s">
        <v>303</v>
      </c>
      <c r="K605" s="736"/>
      <c r="L605" s="727"/>
      <c r="M605" s="728"/>
      <c r="N605" s="737" t="s">
        <v>1600</v>
      </c>
      <c r="O605" s="737" t="s">
        <v>175</v>
      </c>
      <c r="P605" s="728" t="s">
        <v>997</v>
      </c>
      <c r="R605" s="626" t="s">
        <v>3368</v>
      </c>
      <c r="S605" s="626" t="s">
        <v>2890</v>
      </c>
      <c r="T605" s="1382" t="s">
        <v>2856</v>
      </c>
    </row>
    <row r="606" spans="2:20" s="723" customFormat="1" ht="12" customHeight="1">
      <c r="B606" s="722"/>
      <c r="J606" s="735" t="s">
        <v>1599</v>
      </c>
      <c r="K606" s="736"/>
      <c r="L606" s="727"/>
      <c r="M606" s="728"/>
      <c r="N606" s="737" t="s">
        <v>1049</v>
      </c>
      <c r="O606" s="737" t="s">
        <v>1761</v>
      </c>
      <c r="P606" s="728" t="s">
        <v>998</v>
      </c>
      <c r="R606" s="626" t="s">
        <v>3369</v>
      </c>
      <c r="S606" s="626" t="s">
        <v>3319</v>
      </c>
      <c r="T606" s="1382" t="s">
        <v>2856</v>
      </c>
    </row>
    <row r="607" spans="2:20" s="723" customFormat="1" ht="12" customHeight="1">
      <c r="B607" s="722"/>
      <c r="J607" s="735" t="s">
        <v>1048</v>
      </c>
      <c r="K607" s="736"/>
      <c r="L607" s="727"/>
      <c r="M607" s="728"/>
      <c r="N607" s="737" t="s">
        <v>268</v>
      </c>
      <c r="O607" s="737" t="s">
        <v>3386</v>
      </c>
      <c r="P607" s="728" t="s">
        <v>999</v>
      </c>
      <c r="R607" s="626" t="s">
        <v>2971</v>
      </c>
      <c r="S607" s="626" t="s">
        <v>3316</v>
      </c>
      <c r="T607" s="1382" t="s">
        <v>2856</v>
      </c>
    </row>
    <row r="608" spans="2:20" s="723" customFormat="1" ht="12" customHeight="1">
      <c r="B608" s="722"/>
      <c r="J608" s="735" t="s">
        <v>1050</v>
      </c>
      <c r="K608" s="736"/>
      <c r="L608" s="727"/>
      <c r="M608" s="728"/>
      <c r="N608" s="737" t="s">
        <v>1431</v>
      </c>
      <c r="O608" s="737" t="s">
        <v>3160</v>
      </c>
      <c r="P608" s="728" t="s">
        <v>1000</v>
      </c>
      <c r="R608" s="626" t="s">
        <v>3370</v>
      </c>
      <c r="S608" s="626" t="s">
        <v>2890</v>
      </c>
      <c r="T608" s="1382" t="s">
        <v>2856</v>
      </c>
    </row>
    <row r="609" spans="2:20" s="723" customFormat="1" ht="12" customHeight="1">
      <c r="B609" s="722"/>
      <c r="J609" s="735" t="s">
        <v>1430</v>
      </c>
      <c r="K609" s="736"/>
      <c r="L609" s="727"/>
      <c r="M609" s="728"/>
      <c r="N609" s="737" t="s">
        <v>2444</v>
      </c>
      <c r="O609" s="737" t="s">
        <v>3267</v>
      </c>
      <c r="P609" s="728" t="s">
        <v>1001</v>
      </c>
      <c r="R609" s="626" t="s">
        <v>3371</v>
      </c>
      <c r="S609" s="626" t="s">
        <v>3267</v>
      </c>
      <c r="T609" s="1382" t="s">
        <v>2856</v>
      </c>
    </row>
    <row r="610" spans="2:20" s="723" customFormat="1" ht="12" customHeight="1">
      <c r="B610" s="722"/>
      <c r="J610" s="735" t="s">
        <v>1432</v>
      </c>
      <c r="K610" s="736"/>
      <c r="L610" s="727"/>
      <c r="M610" s="728"/>
      <c r="N610" s="737" t="s">
        <v>2514</v>
      </c>
      <c r="O610" s="737" t="s">
        <v>116</v>
      </c>
      <c r="P610" s="1381" t="s">
        <v>1218</v>
      </c>
      <c r="R610" s="626" t="s">
        <v>3372</v>
      </c>
      <c r="S610" s="626" t="s">
        <v>2719</v>
      </c>
      <c r="T610" s="1382" t="s">
        <v>2856</v>
      </c>
    </row>
    <row r="611" spans="2:20" s="723" customFormat="1" ht="12" customHeight="1">
      <c r="B611" s="722"/>
      <c r="J611" s="735" t="s">
        <v>2513</v>
      </c>
      <c r="K611" s="736"/>
      <c r="L611" s="727"/>
      <c r="M611" s="728"/>
      <c r="N611" s="737" t="s">
        <v>1507</v>
      </c>
      <c r="O611" s="737" t="s">
        <v>1036</v>
      </c>
      <c r="P611" s="728" t="s">
        <v>1002</v>
      </c>
      <c r="R611" s="626" t="s">
        <v>1453</v>
      </c>
      <c r="S611" s="626" t="s">
        <v>1902</v>
      </c>
      <c r="T611" s="1382" t="s">
        <v>2856</v>
      </c>
    </row>
    <row r="612" spans="2:20" s="723" customFormat="1" ht="12" customHeight="1">
      <c r="B612" s="722"/>
      <c r="J612" s="735" t="s">
        <v>2515</v>
      </c>
      <c r="K612" s="736"/>
      <c r="L612" s="727"/>
      <c r="M612" s="728"/>
      <c r="N612" s="626" t="s">
        <v>1473</v>
      </c>
      <c r="O612" s="626" t="s">
        <v>1352</v>
      </c>
      <c r="P612" s="1382" t="s">
        <v>2856</v>
      </c>
      <c r="R612" s="626" t="s">
        <v>1300</v>
      </c>
      <c r="S612" s="626" t="s">
        <v>1511</v>
      </c>
      <c r="T612" s="1382" t="s">
        <v>2856</v>
      </c>
    </row>
    <row r="613" spans="2:20" s="723" customFormat="1" ht="12" customHeight="1">
      <c r="B613" s="722"/>
      <c r="J613" s="735" t="s">
        <v>2516</v>
      </c>
      <c r="K613" s="736"/>
      <c r="L613" s="727"/>
      <c r="M613" s="728"/>
      <c r="N613" s="737" t="s">
        <v>1511</v>
      </c>
      <c r="O613" s="737" t="s">
        <v>1758</v>
      </c>
      <c r="P613" s="728" t="s">
        <v>1003</v>
      </c>
      <c r="R613" s="626" t="s">
        <v>1454</v>
      </c>
      <c r="S613" s="626" t="s">
        <v>808</v>
      </c>
      <c r="T613" s="1382" t="s">
        <v>2856</v>
      </c>
    </row>
    <row r="614" spans="2:20" s="723" customFormat="1" ht="12" customHeight="1">
      <c r="B614" s="722"/>
      <c r="J614" s="735" t="s">
        <v>1547</v>
      </c>
      <c r="K614" s="736"/>
      <c r="L614" s="727"/>
      <c r="M614" s="728"/>
      <c r="N614" s="737" t="s">
        <v>437</v>
      </c>
      <c r="O614" s="737" t="s">
        <v>853</v>
      </c>
      <c r="P614" s="728" t="s">
        <v>1004</v>
      </c>
      <c r="R614" s="626" t="s">
        <v>1455</v>
      </c>
      <c r="S614" s="626" t="s">
        <v>2620</v>
      </c>
      <c r="T614" s="1382" t="s">
        <v>2856</v>
      </c>
    </row>
    <row r="615" spans="2:20" s="723" customFormat="1" ht="12" customHeight="1">
      <c r="B615" s="722"/>
      <c r="J615" s="735" t="s">
        <v>436</v>
      </c>
      <c r="K615" s="736"/>
      <c r="L615" s="727"/>
      <c r="M615" s="728"/>
      <c r="N615" s="626" t="s">
        <v>1474</v>
      </c>
      <c r="O615" s="626" t="s">
        <v>128</v>
      </c>
      <c r="P615" s="1382" t="s">
        <v>2856</v>
      </c>
      <c r="R615" s="626" t="s">
        <v>1456</v>
      </c>
      <c r="S615" s="626" t="s">
        <v>2717</v>
      </c>
      <c r="T615" s="1382" t="s">
        <v>2856</v>
      </c>
    </row>
    <row r="616" spans="2:20" s="723" customFormat="1" ht="12" customHeight="1">
      <c r="B616" s="722"/>
      <c r="J616" s="735" t="s">
        <v>4</v>
      </c>
      <c r="K616" s="736"/>
      <c r="L616" s="727"/>
      <c r="M616" s="728"/>
      <c r="N616" s="737" t="s">
        <v>5</v>
      </c>
      <c r="O616" s="737" t="s">
        <v>1751</v>
      </c>
      <c r="P616" s="728" t="s">
        <v>5</v>
      </c>
      <c r="R616" s="626" t="s">
        <v>1457</v>
      </c>
      <c r="S616" s="626" t="s">
        <v>1504</v>
      </c>
      <c r="T616" s="1382" t="s">
        <v>2856</v>
      </c>
    </row>
    <row r="617" spans="2:20" s="723" customFormat="1" ht="12" customHeight="1">
      <c r="B617" s="722"/>
      <c r="J617" s="735" t="s">
        <v>6</v>
      </c>
      <c r="K617" s="736"/>
      <c r="L617" s="727"/>
      <c r="M617" s="728"/>
      <c r="N617" s="737" t="s">
        <v>7</v>
      </c>
      <c r="O617" s="737" t="s">
        <v>3156</v>
      </c>
      <c r="P617" s="728" t="s">
        <v>1005</v>
      </c>
      <c r="Q617" s="1383"/>
      <c r="R617" s="626" t="s">
        <v>1458</v>
      </c>
      <c r="S617" s="626" t="s">
        <v>1977</v>
      </c>
      <c r="T617" s="1382" t="s">
        <v>2856</v>
      </c>
    </row>
    <row r="618" spans="2:20" s="723" customFormat="1" ht="12" customHeight="1">
      <c r="B618" s="722"/>
      <c r="J618" s="735" t="s">
        <v>8</v>
      </c>
      <c r="K618" s="736"/>
      <c r="L618" s="727"/>
      <c r="M618" s="728"/>
      <c r="N618" s="737" t="s">
        <v>9</v>
      </c>
      <c r="O618" s="737" t="s">
        <v>2626</v>
      </c>
      <c r="P618" s="728" t="s">
        <v>1006</v>
      </c>
      <c r="R618" s="626" t="s">
        <v>1459</v>
      </c>
      <c r="S618" s="626" t="s">
        <v>3264</v>
      </c>
      <c r="T618" s="1382" t="s">
        <v>2856</v>
      </c>
    </row>
    <row r="619" spans="2:20" s="723" customFormat="1" ht="12" customHeight="1">
      <c r="B619" s="722"/>
      <c r="J619" s="735" t="s">
        <v>10</v>
      </c>
      <c r="K619" s="736"/>
      <c r="L619" s="727"/>
      <c r="M619" s="728"/>
      <c r="N619" s="626" t="s">
        <v>1475</v>
      </c>
      <c r="O619" s="626" t="s">
        <v>808</v>
      </c>
      <c r="P619" s="1382" t="s">
        <v>2856</v>
      </c>
      <c r="R619" s="626" t="s">
        <v>1460</v>
      </c>
      <c r="S619" s="626" t="s">
        <v>175</v>
      </c>
      <c r="T619" s="1382" t="s">
        <v>2856</v>
      </c>
    </row>
    <row r="620" spans="2:20" s="723" customFormat="1" ht="12" customHeight="1">
      <c r="B620" s="722"/>
      <c r="J620" s="735" t="s">
        <v>2859</v>
      </c>
      <c r="K620" s="736"/>
      <c r="L620" s="727"/>
      <c r="M620" s="728"/>
      <c r="N620" s="626" t="s">
        <v>1476</v>
      </c>
      <c r="O620" s="626" t="s">
        <v>348</v>
      </c>
      <c r="P620" s="1382" t="s">
        <v>2856</v>
      </c>
      <c r="R620" s="626" t="s">
        <v>1461</v>
      </c>
      <c r="S620" s="626" t="s">
        <v>1768</v>
      </c>
      <c r="T620" s="1382" t="s">
        <v>2856</v>
      </c>
    </row>
    <row r="621" spans="2:20" s="723" customFormat="1" ht="12" customHeight="1">
      <c r="B621" s="722"/>
      <c r="J621" s="735" t="s">
        <v>2861</v>
      </c>
      <c r="K621" s="736"/>
      <c r="L621" s="727"/>
      <c r="M621" s="728"/>
      <c r="N621" s="737" t="s">
        <v>2858</v>
      </c>
      <c r="O621" s="737" t="s">
        <v>1761</v>
      </c>
      <c r="P621" s="728" t="s">
        <v>1007</v>
      </c>
      <c r="R621" s="626" t="s">
        <v>1462</v>
      </c>
      <c r="S621" s="626" t="s">
        <v>1977</v>
      </c>
      <c r="T621" s="1382" t="s">
        <v>2856</v>
      </c>
    </row>
    <row r="622" spans="2:20" s="723" customFormat="1" ht="12" customHeight="1">
      <c r="B622" s="722"/>
      <c r="J622" s="735" t="s">
        <v>2863</v>
      </c>
      <c r="K622" s="736"/>
      <c r="L622" s="727"/>
      <c r="M622" s="728"/>
      <c r="N622" s="737" t="s">
        <v>2860</v>
      </c>
      <c r="O622" s="737" t="s">
        <v>2901</v>
      </c>
      <c r="P622" s="728" t="s">
        <v>1008</v>
      </c>
      <c r="R622" s="626" t="s">
        <v>1463</v>
      </c>
      <c r="S622" s="626" t="s">
        <v>1518</v>
      </c>
      <c r="T622" s="1382" t="s">
        <v>2856</v>
      </c>
    </row>
    <row r="623" spans="2:20" s="723" customFormat="1" ht="12" customHeight="1">
      <c r="B623" s="722"/>
      <c r="J623" s="735" t="s">
        <v>2865</v>
      </c>
      <c r="K623" s="736"/>
      <c r="L623" s="727"/>
      <c r="M623" s="728"/>
      <c r="N623" s="737" t="s">
        <v>2862</v>
      </c>
      <c r="O623" s="737" t="s">
        <v>192</v>
      </c>
      <c r="P623" s="728" t="s">
        <v>1009</v>
      </c>
      <c r="R623" s="626" t="s">
        <v>1464</v>
      </c>
      <c r="S623" s="626" t="s">
        <v>2717</v>
      </c>
      <c r="T623" s="1382" t="s">
        <v>2856</v>
      </c>
    </row>
    <row r="624" spans="2:20" s="723" customFormat="1" ht="12" customHeight="1">
      <c r="B624" s="722"/>
      <c r="J624" s="735" t="s">
        <v>2867</v>
      </c>
      <c r="K624" s="736"/>
      <c r="L624" s="727"/>
      <c r="M624" s="728"/>
      <c r="N624" s="737" t="s">
        <v>2864</v>
      </c>
      <c r="O624" s="737" t="s">
        <v>1899</v>
      </c>
      <c r="P624" s="728" t="s">
        <v>1010</v>
      </c>
      <c r="R624" s="737" t="s">
        <v>1222</v>
      </c>
      <c r="S624" s="737" t="s">
        <v>1268</v>
      </c>
      <c r="T624" s="1382" t="s">
        <v>2856</v>
      </c>
    </row>
    <row r="625" spans="2:20" s="723" customFormat="1" ht="12" customHeight="1">
      <c r="B625" s="722"/>
      <c r="J625" s="735" t="s">
        <v>92</v>
      </c>
      <c r="K625" s="736"/>
      <c r="L625" s="727"/>
      <c r="M625" s="728"/>
      <c r="N625" s="737" t="s">
        <v>2866</v>
      </c>
      <c r="O625" s="737" t="s">
        <v>853</v>
      </c>
      <c r="P625" s="728" t="s">
        <v>1011</v>
      </c>
      <c r="R625" s="626" t="s">
        <v>1465</v>
      </c>
      <c r="S625" s="626" t="s">
        <v>3267</v>
      </c>
      <c r="T625" s="1382" t="s">
        <v>2856</v>
      </c>
    </row>
    <row r="626" spans="2:20" s="723" customFormat="1" ht="12" customHeight="1">
      <c r="B626" s="722"/>
      <c r="J626" s="735" t="s">
        <v>2729</v>
      </c>
      <c r="K626" s="736"/>
      <c r="L626" s="727"/>
      <c r="M626" s="728"/>
      <c r="N626" s="737" t="s">
        <v>93</v>
      </c>
      <c r="O626" s="737" t="s">
        <v>127</v>
      </c>
      <c r="P626" s="728" t="s">
        <v>1012</v>
      </c>
      <c r="R626" s="626" t="s">
        <v>2072</v>
      </c>
      <c r="S626" s="626" t="s">
        <v>3316</v>
      </c>
      <c r="T626" s="1382" t="s">
        <v>2856</v>
      </c>
    </row>
    <row r="627" spans="2:20" s="723" customFormat="1" ht="12" customHeight="1">
      <c r="B627" s="722"/>
      <c r="J627" s="735" t="s">
        <v>1971</v>
      </c>
      <c r="K627" s="736"/>
      <c r="L627" s="727"/>
      <c r="M627" s="728"/>
      <c r="N627" s="737" t="s">
        <v>1970</v>
      </c>
      <c r="O627" s="737" t="s">
        <v>2903</v>
      </c>
      <c r="P627" s="728" t="s">
        <v>1013</v>
      </c>
      <c r="R627" s="626" t="s">
        <v>1466</v>
      </c>
      <c r="S627" s="626"/>
      <c r="T627" s="1382" t="s">
        <v>2856</v>
      </c>
    </row>
    <row r="628" spans="2:20" s="723" customFormat="1" ht="12" customHeight="1">
      <c r="B628" s="722"/>
      <c r="J628" s="735" t="s">
        <v>1973</v>
      </c>
      <c r="K628" s="736"/>
      <c r="L628" s="727"/>
      <c r="M628" s="728"/>
      <c r="N628" s="737" t="s">
        <v>1972</v>
      </c>
      <c r="O628" s="737" t="s">
        <v>217</v>
      </c>
      <c r="P628" s="728" t="s">
        <v>1014</v>
      </c>
      <c r="R628" s="626" t="s">
        <v>201</v>
      </c>
      <c r="S628" s="626" t="s">
        <v>175</v>
      </c>
      <c r="T628" s="1382" t="s">
        <v>2856</v>
      </c>
    </row>
    <row r="629" spans="2:20" s="723" customFormat="1" ht="12" customHeight="1">
      <c r="B629" s="722"/>
      <c r="J629" s="735" t="s">
        <v>1975</v>
      </c>
      <c r="K629" s="736"/>
      <c r="L629" s="727"/>
      <c r="M629" s="728"/>
      <c r="N629" s="737" t="s">
        <v>1974</v>
      </c>
      <c r="O629" s="737" t="s">
        <v>1902</v>
      </c>
      <c r="P629" s="728" t="s">
        <v>1015</v>
      </c>
      <c r="R629" s="626" t="s">
        <v>1467</v>
      </c>
      <c r="S629" s="626" t="s">
        <v>192</v>
      </c>
      <c r="T629" s="1382" t="s">
        <v>2856</v>
      </c>
    </row>
    <row r="630" spans="2:20" s="723" customFormat="1" ht="12" customHeight="1">
      <c r="B630" s="722"/>
      <c r="J630" s="735" t="s">
        <v>66</v>
      </c>
      <c r="K630" s="736"/>
      <c r="L630" s="727"/>
      <c r="M630" s="728"/>
      <c r="N630" s="737" t="s">
        <v>1976</v>
      </c>
      <c r="O630" s="737" t="s">
        <v>2893</v>
      </c>
      <c r="P630" s="728" t="s">
        <v>1016</v>
      </c>
      <c r="R630" s="626" t="s">
        <v>3012</v>
      </c>
      <c r="S630" s="626" t="s">
        <v>1627</v>
      </c>
      <c r="T630" s="1382" t="s">
        <v>2856</v>
      </c>
    </row>
    <row r="631" spans="2:20" s="723" customFormat="1" ht="12" customHeight="1">
      <c r="B631" s="722"/>
      <c r="J631" s="735" t="s">
        <v>68</v>
      </c>
      <c r="K631" s="736"/>
      <c r="L631" s="727"/>
      <c r="M631" s="728"/>
      <c r="N631" s="737" t="s">
        <v>67</v>
      </c>
      <c r="O631" s="737" t="s">
        <v>1759</v>
      </c>
      <c r="P631" s="728" t="s">
        <v>1017</v>
      </c>
      <c r="R631" s="626" t="s">
        <v>1468</v>
      </c>
      <c r="S631" s="626" t="s">
        <v>808</v>
      </c>
      <c r="T631" s="1382" t="s">
        <v>2856</v>
      </c>
    </row>
    <row r="632" spans="2:20" s="723" customFormat="1" ht="12" customHeight="1">
      <c r="B632" s="722"/>
      <c r="J632" s="735" t="s">
        <v>70</v>
      </c>
      <c r="K632" s="736"/>
      <c r="L632" s="727"/>
      <c r="M632" s="728"/>
      <c r="N632" s="737" t="s">
        <v>69</v>
      </c>
      <c r="O632" s="737" t="s">
        <v>112</v>
      </c>
      <c r="P632" s="728" t="s">
        <v>1018</v>
      </c>
      <c r="R632" s="626" t="s">
        <v>1469</v>
      </c>
      <c r="S632" s="626" t="s">
        <v>808</v>
      </c>
      <c r="T632" s="1382" t="s">
        <v>2856</v>
      </c>
    </row>
    <row r="633" spans="2:20" s="723" customFormat="1" ht="12" customHeight="1">
      <c r="B633" s="722"/>
      <c r="J633" s="735" t="s">
        <v>72</v>
      </c>
      <c r="K633" s="736"/>
      <c r="L633" s="727"/>
      <c r="M633" s="728"/>
      <c r="N633" s="737" t="s">
        <v>71</v>
      </c>
      <c r="O633" s="737" t="s">
        <v>1272</v>
      </c>
      <c r="P633" s="728" t="s">
        <v>1019</v>
      </c>
      <c r="R633" s="626" t="s">
        <v>1470</v>
      </c>
      <c r="S633" s="626" t="s">
        <v>808</v>
      </c>
      <c r="T633" s="1382" t="s">
        <v>2856</v>
      </c>
    </row>
    <row r="634" spans="2:20" s="723" customFormat="1" ht="12" customHeight="1">
      <c r="B634" s="722"/>
      <c r="J634" s="735" t="s">
        <v>74</v>
      </c>
      <c r="K634" s="736"/>
      <c r="L634" s="727"/>
      <c r="M634" s="728"/>
      <c r="N634" s="737" t="s">
        <v>73</v>
      </c>
      <c r="O634" s="737" t="s">
        <v>1977</v>
      </c>
      <c r="P634" s="728" t="s">
        <v>1020</v>
      </c>
      <c r="R634" s="626" t="s">
        <v>1471</v>
      </c>
      <c r="S634" s="626" t="s">
        <v>808</v>
      </c>
      <c r="T634" s="1382" t="s">
        <v>2856</v>
      </c>
    </row>
    <row r="635" spans="2:20" s="723" customFormat="1" ht="12" customHeight="1">
      <c r="B635" s="722"/>
      <c r="J635" s="735" t="s">
        <v>1167</v>
      </c>
      <c r="K635" s="736"/>
      <c r="L635" s="727"/>
      <c r="M635" s="728"/>
      <c r="N635" s="737" t="s">
        <v>1168</v>
      </c>
      <c r="O635" s="737" t="s">
        <v>3264</v>
      </c>
      <c r="P635" s="728" t="s">
        <v>1021</v>
      </c>
      <c r="R635" s="626" t="s">
        <v>1472</v>
      </c>
      <c r="S635" s="626" t="s">
        <v>2349</v>
      </c>
      <c r="T635" s="1382" t="s">
        <v>2856</v>
      </c>
    </row>
    <row r="636" spans="2:20" s="723" customFormat="1" ht="12" customHeight="1">
      <c r="B636" s="722"/>
      <c r="J636" s="735" t="s">
        <v>1032</v>
      </c>
      <c r="K636" s="736"/>
      <c r="L636" s="727"/>
      <c r="M636" s="728"/>
      <c r="N636" s="737" t="s">
        <v>1033</v>
      </c>
      <c r="O636" s="737" t="s">
        <v>3270</v>
      </c>
      <c r="P636" s="728" t="s">
        <v>1022</v>
      </c>
      <c r="R636" s="626" t="s">
        <v>1473</v>
      </c>
      <c r="S636" s="626" t="s">
        <v>1352</v>
      </c>
      <c r="T636" s="1382" t="s">
        <v>2856</v>
      </c>
    </row>
    <row r="637" spans="2:20" s="723" customFormat="1" ht="12" customHeight="1">
      <c r="B637" s="722"/>
      <c r="J637" s="735" t="s">
        <v>1034</v>
      </c>
      <c r="K637" s="736"/>
      <c r="L637" s="727"/>
      <c r="M637" s="728"/>
      <c r="N637" s="737" t="s">
        <v>1337</v>
      </c>
      <c r="O637" s="737" t="s">
        <v>3320</v>
      </c>
      <c r="P637" s="728" t="s">
        <v>1023</v>
      </c>
      <c r="R637" s="626" t="s">
        <v>1474</v>
      </c>
      <c r="S637" s="626" t="s">
        <v>128</v>
      </c>
      <c r="T637" s="1382" t="s">
        <v>2856</v>
      </c>
    </row>
    <row r="638" spans="2:20" s="723" customFormat="1" ht="12" customHeight="1">
      <c r="B638" s="722"/>
      <c r="J638" s="735" t="s">
        <v>1594</v>
      </c>
      <c r="K638" s="736"/>
      <c r="L638" s="727"/>
      <c r="M638" s="728"/>
      <c r="N638" s="626" t="s">
        <v>1477</v>
      </c>
      <c r="O638" s="626" t="s">
        <v>352</v>
      </c>
      <c r="P638" s="1382" t="s">
        <v>2856</v>
      </c>
      <c r="R638" s="626" t="s">
        <v>1475</v>
      </c>
      <c r="S638" s="626" t="s">
        <v>808</v>
      </c>
      <c r="T638" s="1382" t="s">
        <v>2856</v>
      </c>
    </row>
    <row r="639" spans="2:20" s="723" customFormat="1" ht="12" customHeight="1">
      <c r="B639" s="722"/>
      <c r="J639" s="735" t="s">
        <v>1447</v>
      </c>
      <c r="K639" s="736"/>
      <c r="L639" s="727"/>
      <c r="M639" s="728"/>
      <c r="N639" s="737" t="s">
        <v>1595</v>
      </c>
      <c r="O639" s="737" t="s">
        <v>2661</v>
      </c>
      <c r="P639" s="728" t="s">
        <v>1024</v>
      </c>
      <c r="R639" s="626" t="s">
        <v>1476</v>
      </c>
      <c r="S639" s="626" t="s">
        <v>348</v>
      </c>
      <c r="T639" s="1382" t="s">
        <v>2856</v>
      </c>
    </row>
    <row r="640" spans="2:20" s="723" customFormat="1" ht="12" customHeight="1">
      <c r="B640" s="722"/>
      <c r="J640" s="735" t="s">
        <v>1448</v>
      </c>
      <c r="K640" s="736"/>
      <c r="L640" s="727"/>
      <c r="M640" s="728"/>
      <c r="N640" s="737" t="s">
        <v>1449</v>
      </c>
      <c r="O640" s="737" t="s">
        <v>1505</v>
      </c>
      <c r="P640" s="728" t="s">
        <v>1025</v>
      </c>
      <c r="R640" s="626" t="s">
        <v>1477</v>
      </c>
      <c r="S640" s="626" t="s">
        <v>352</v>
      </c>
      <c r="T640" s="1382" t="s">
        <v>2856</v>
      </c>
    </row>
    <row r="641" spans="2:20" s="723" customFormat="1" ht="12" customHeight="1">
      <c r="B641" s="722"/>
      <c r="J641" s="735" t="s">
        <v>1450</v>
      </c>
      <c r="K641" s="736"/>
      <c r="L641" s="727"/>
      <c r="M641" s="728"/>
      <c r="N641" s="737" t="s">
        <v>2993</v>
      </c>
      <c r="O641" s="737" t="s">
        <v>2886</v>
      </c>
      <c r="P641" s="728" t="s">
        <v>1026</v>
      </c>
      <c r="R641" s="626" t="s">
        <v>1226</v>
      </c>
      <c r="S641" s="626" t="s">
        <v>1747</v>
      </c>
      <c r="T641" s="1382" t="s">
        <v>2856</v>
      </c>
    </row>
    <row r="642" spans="2:20" s="723" customFormat="1" ht="12" customHeight="1">
      <c r="B642" s="722"/>
      <c r="J642" s="735" t="s">
        <v>2992</v>
      </c>
      <c r="K642" s="736"/>
      <c r="L642" s="727"/>
      <c r="M642" s="728"/>
      <c r="N642" s="737" t="s">
        <v>2995</v>
      </c>
      <c r="O642" s="737" t="s">
        <v>844</v>
      </c>
      <c r="P642" s="728" t="s">
        <v>1027</v>
      </c>
      <c r="R642" s="626" t="s">
        <v>1478</v>
      </c>
      <c r="S642" s="626" t="s">
        <v>852</v>
      </c>
      <c r="T642" s="1382" t="s">
        <v>2856</v>
      </c>
    </row>
    <row r="643" spans="2:20" s="723" customFormat="1" ht="12" customHeight="1">
      <c r="B643" s="722"/>
      <c r="J643" s="735" t="s">
        <v>2994</v>
      </c>
      <c r="K643" s="736"/>
      <c r="L643" s="727"/>
      <c r="M643" s="728"/>
      <c r="N643" s="737" t="s">
        <v>2465</v>
      </c>
      <c r="O643" s="737" t="s">
        <v>1038</v>
      </c>
      <c r="P643" s="728" t="s">
        <v>1028</v>
      </c>
      <c r="R643" s="626" t="s">
        <v>1479</v>
      </c>
      <c r="S643" s="626" t="s">
        <v>1977</v>
      </c>
      <c r="T643" s="1382" t="s">
        <v>2856</v>
      </c>
    </row>
    <row r="644" spans="2:20" s="723" customFormat="1" ht="12" customHeight="1">
      <c r="B644" s="722"/>
      <c r="J644" s="735" t="s">
        <v>2464</v>
      </c>
      <c r="K644" s="736"/>
      <c r="L644" s="727"/>
      <c r="M644" s="728"/>
      <c r="N644" s="737" t="s">
        <v>3307</v>
      </c>
      <c r="O644" s="737" t="s">
        <v>2719</v>
      </c>
      <c r="P644" s="728" t="s">
        <v>1029</v>
      </c>
      <c r="R644" s="626" t="s">
        <v>1480</v>
      </c>
      <c r="S644" s="626" t="s">
        <v>808</v>
      </c>
      <c r="T644" s="1382" t="s">
        <v>2856</v>
      </c>
    </row>
    <row r="645" spans="2:20" s="723" customFormat="1" ht="12" customHeight="1">
      <c r="B645" s="722"/>
      <c r="J645" s="735" t="s">
        <v>3306</v>
      </c>
      <c r="K645" s="736"/>
      <c r="L645" s="727"/>
      <c r="M645" s="728"/>
      <c r="N645" s="737" t="s">
        <v>2881</v>
      </c>
      <c r="O645" s="737" t="s">
        <v>1627</v>
      </c>
      <c r="P645" s="728" t="s">
        <v>1030</v>
      </c>
      <c r="R645" s="626" t="s">
        <v>1481</v>
      </c>
      <c r="S645" s="626" t="s">
        <v>844</v>
      </c>
      <c r="T645" s="1382" t="s">
        <v>2856</v>
      </c>
    </row>
    <row r="646" spans="2:20" s="723" customFormat="1" ht="12" customHeight="1">
      <c r="B646" s="722"/>
      <c r="J646" s="735" t="s">
        <v>2880</v>
      </c>
      <c r="K646" s="736"/>
      <c r="L646" s="727"/>
      <c r="M646" s="728"/>
      <c r="N646" s="737" t="s">
        <v>2215</v>
      </c>
      <c r="O646" s="737" t="s">
        <v>846</v>
      </c>
      <c r="P646" s="728" t="s">
        <v>642</v>
      </c>
      <c r="R646" s="626" t="s">
        <v>1482</v>
      </c>
      <c r="S646" s="626" t="s">
        <v>175</v>
      </c>
      <c r="T646" s="1382" t="s">
        <v>2856</v>
      </c>
    </row>
    <row r="647" spans="2:20" s="723" customFormat="1" ht="12" customHeight="1">
      <c r="B647" s="722"/>
      <c r="J647" s="735" t="s">
        <v>2213</v>
      </c>
      <c r="K647" s="736"/>
      <c r="L647" s="727"/>
      <c r="M647" s="728"/>
      <c r="N647" s="737" t="s">
        <v>1226</v>
      </c>
      <c r="O647" s="737" t="s">
        <v>1747</v>
      </c>
      <c r="P647" s="1381" t="s">
        <v>1218</v>
      </c>
      <c r="R647" s="626" t="s">
        <v>1483</v>
      </c>
      <c r="S647" s="626" t="s">
        <v>2620</v>
      </c>
      <c r="T647" s="1382" t="s">
        <v>2856</v>
      </c>
    </row>
    <row r="648" spans="2:20" s="723" customFormat="1" ht="12" customHeight="1">
      <c r="B648" s="722"/>
      <c r="J648" s="735" t="s">
        <v>2214</v>
      </c>
      <c r="K648" s="736"/>
      <c r="L648" s="727"/>
      <c r="M648" s="728"/>
      <c r="N648" s="626" t="s">
        <v>1226</v>
      </c>
      <c r="O648" s="626" t="s">
        <v>1747</v>
      </c>
      <c r="P648" s="1382" t="s">
        <v>2856</v>
      </c>
      <c r="R648" s="626" t="s">
        <v>1484</v>
      </c>
      <c r="S648" s="626" t="s">
        <v>2717</v>
      </c>
      <c r="T648" s="1382" t="s">
        <v>2856</v>
      </c>
    </row>
    <row r="649" spans="2:20" s="723" customFormat="1" ht="12" customHeight="1">
      <c r="B649" s="722"/>
      <c r="J649" s="735" t="s">
        <v>2216</v>
      </c>
      <c r="K649" s="736"/>
      <c r="L649" s="727"/>
      <c r="M649" s="728"/>
      <c r="N649" s="737" t="s">
        <v>2218</v>
      </c>
      <c r="O649" s="737" t="s">
        <v>3381</v>
      </c>
      <c r="P649" s="728" t="s">
        <v>643</v>
      </c>
      <c r="R649" s="626" t="s">
        <v>1485</v>
      </c>
      <c r="S649" s="626" t="s">
        <v>808</v>
      </c>
      <c r="T649" s="1382" t="s">
        <v>2856</v>
      </c>
    </row>
    <row r="650" spans="2:20" s="723" customFormat="1" ht="12" customHeight="1">
      <c r="B650" s="722"/>
      <c r="J650" s="735" t="s">
        <v>2217</v>
      </c>
      <c r="K650" s="736"/>
      <c r="L650" s="727"/>
      <c r="M650" s="728"/>
      <c r="N650" s="737" t="s">
        <v>2221</v>
      </c>
      <c r="O650" s="737" t="s">
        <v>2236</v>
      </c>
      <c r="P650" s="728" t="s">
        <v>2221</v>
      </c>
      <c r="R650" s="626" t="s">
        <v>1486</v>
      </c>
      <c r="S650" s="626" t="s">
        <v>2349</v>
      </c>
      <c r="T650" s="1382" t="s">
        <v>2856</v>
      </c>
    </row>
    <row r="651" spans="2:20" s="723" customFormat="1" ht="12" customHeight="1">
      <c r="B651" s="722"/>
      <c r="J651" s="735" t="s">
        <v>2219</v>
      </c>
      <c r="K651" s="736"/>
      <c r="L651" s="727"/>
      <c r="M651" s="728"/>
      <c r="N651" s="626" t="s">
        <v>1479</v>
      </c>
      <c r="O651" s="626" t="s">
        <v>1977</v>
      </c>
      <c r="P651" s="1382" t="s">
        <v>2856</v>
      </c>
      <c r="R651" s="626" t="s">
        <v>1487</v>
      </c>
      <c r="S651" s="626" t="s">
        <v>3267</v>
      </c>
      <c r="T651" s="1382" t="s">
        <v>2856</v>
      </c>
    </row>
    <row r="652" spans="2:20" s="723" customFormat="1" ht="12" customHeight="1">
      <c r="B652" s="722"/>
      <c r="J652" s="735" t="s">
        <v>2220</v>
      </c>
      <c r="K652" s="736"/>
      <c r="L652" s="727"/>
      <c r="M652" s="728"/>
      <c r="N652" s="737" t="s">
        <v>3181</v>
      </c>
      <c r="O652" s="737" t="s">
        <v>112</v>
      </c>
      <c r="P652" s="728" t="s">
        <v>644</v>
      </c>
      <c r="R652" s="626" t="s">
        <v>1488</v>
      </c>
      <c r="S652" s="626" t="s">
        <v>175</v>
      </c>
      <c r="T652" s="1382" t="s">
        <v>2856</v>
      </c>
    </row>
    <row r="653" spans="2:20" s="723" customFormat="1" ht="12" customHeight="1">
      <c r="B653" s="722"/>
      <c r="J653" s="735" t="s">
        <v>2222</v>
      </c>
      <c r="K653" s="736"/>
      <c r="L653" s="727"/>
      <c r="M653" s="728"/>
      <c r="N653" s="737" t="s">
        <v>1208</v>
      </c>
      <c r="O653" s="737" t="s">
        <v>1627</v>
      </c>
      <c r="P653" s="728" t="s">
        <v>645</v>
      </c>
      <c r="R653" s="626" t="s">
        <v>1489</v>
      </c>
      <c r="S653" s="626" t="s">
        <v>175</v>
      </c>
      <c r="T653" s="1382" t="s">
        <v>2856</v>
      </c>
    </row>
    <row r="654" spans="2:20" s="723" customFormat="1" ht="12" customHeight="1">
      <c r="B654" s="722"/>
      <c r="J654" s="735" t="s">
        <v>3182</v>
      </c>
      <c r="K654" s="736"/>
      <c r="L654" s="727"/>
      <c r="M654" s="728"/>
      <c r="N654" s="737" t="s">
        <v>1737</v>
      </c>
      <c r="O654" s="737" t="s">
        <v>2618</v>
      </c>
      <c r="P654" s="728" t="s">
        <v>646</v>
      </c>
    </row>
    <row r="655" spans="2:20" s="723" customFormat="1" ht="12" customHeight="1">
      <c r="B655" s="722"/>
      <c r="J655" s="735" t="s">
        <v>183</v>
      </c>
      <c r="K655" s="736"/>
      <c r="L655" s="727"/>
      <c r="M655" s="728"/>
      <c r="N655" s="737" t="s">
        <v>184</v>
      </c>
      <c r="O655" s="737" t="s">
        <v>1763</v>
      </c>
      <c r="P655" s="728" t="s">
        <v>647</v>
      </c>
    </row>
    <row r="656" spans="2:20" s="723" customFormat="1" ht="12" customHeight="1">
      <c r="B656" s="722"/>
      <c r="J656" s="735" t="s">
        <v>1388</v>
      </c>
      <c r="K656" s="736"/>
      <c r="L656" s="727"/>
      <c r="M656" s="728"/>
      <c r="N656" s="737" t="s">
        <v>1390</v>
      </c>
      <c r="O656" s="737" t="s">
        <v>2346</v>
      </c>
      <c r="P656" s="728" t="s">
        <v>648</v>
      </c>
    </row>
    <row r="657" spans="2:16" s="723" customFormat="1" ht="12" customHeight="1">
      <c r="B657" s="722"/>
      <c r="J657" s="735" t="s">
        <v>1389</v>
      </c>
      <c r="K657" s="736"/>
      <c r="L657" s="727"/>
      <c r="M657" s="728"/>
      <c r="N657" s="737" t="s">
        <v>1760</v>
      </c>
      <c r="O657" s="737" t="s">
        <v>175</v>
      </c>
      <c r="P657" s="728" t="s">
        <v>649</v>
      </c>
    </row>
    <row r="658" spans="2:16" s="723" customFormat="1" ht="12" customHeight="1">
      <c r="B658" s="722"/>
      <c r="J658" s="735" t="s">
        <v>1391</v>
      </c>
      <c r="K658" s="736"/>
      <c r="L658" s="727"/>
      <c r="M658" s="728"/>
      <c r="N658" s="737" t="s">
        <v>3314</v>
      </c>
      <c r="O658" s="737" t="s">
        <v>1266</v>
      </c>
      <c r="P658" s="728" t="s">
        <v>650</v>
      </c>
    </row>
    <row r="659" spans="2:16" s="723" customFormat="1" ht="12" customHeight="1">
      <c r="B659" s="722"/>
      <c r="J659" s="735" t="s">
        <v>3136</v>
      </c>
      <c r="K659" s="736"/>
      <c r="L659" s="727"/>
      <c r="M659" s="728"/>
      <c r="N659" s="626" t="s">
        <v>1480</v>
      </c>
      <c r="O659" s="626" t="s">
        <v>808</v>
      </c>
      <c r="P659" s="1382" t="s">
        <v>2856</v>
      </c>
    </row>
    <row r="660" spans="2:16" s="723" customFormat="1" ht="12" customHeight="1">
      <c r="B660" s="722"/>
      <c r="J660" s="735" t="s">
        <v>3313</v>
      </c>
      <c r="K660" s="736"/>
      <c r="L660" s="727"/>
      <c r="M660" s="728"/>
      <c r="N660" s="737" t="s">
        <v>2886</v>
      </c>
      <c r="O660" s="737" t="s">
        <v>114</v>
      </c>
      <c r="P660" s="728" t="s">
        <v>651</v>
      </c>
    </row>
    <row r="661" spans="2:16" s="723" customFormat="1" ht="12" customHeight="1">
      <c r="B661" s="722"/>
      <c r="J661" s="735" t="s">
        <v>2713</v>
      </c>
      <c r="K661" s="736"/>
      <c r="L661" s="727"/>
      <c r="M661" s="728"/>
      <c r="N661" s="737" t="s">
        <v>2074</v>
      </c>
      <c r="O661" s="737" t="s">
        <v>2073</v>
      </c>
      <c r="P661" s="728"/>
    </row>
    <row r="662" spans="2:16" s="723" customFormat="1" ht="12" customHeight="1">
      <c r="B662" s="722"/>
      <c r="J662" s="735" t="s">
        <v>1340</v>
      </c>
      <c r="K662" s="736"/>
      <c r="L662" s="727"/>
      <c r="M662" s="728"/>
      <c r="N662" s="737" t="s">
        <v>1917</v>
      </c>
      <c r="O662" s="737" t="s">
        <v>3319</v>
      </c>
      <c r="P662" s="728" t="s">
        <v>652</v>
      </c>
    </row>
    <row r="663" spans="2:16" s="723" customFormat="1" ht="12" customHeight="1">
      <c r="B663" s="722"/>
      <c r="J663" s="735" t="s">
        <v>1159</v>
      </c>
      <c r="K663" s="736"/>
      <c r="L663" s="727"/>
      <c r="M663" s="728"/>
      <c r="N663" s="737" t="s">
        <v>1919</v>
      </c>
      <c r="O663" s="737" t="s">
        <v>357</v>
      </c>
      <c r="P663" s="728" t="s">
        <v>653</v>
      </c>
    </row>
    <row r="664" spans="2:16" s="723" customFormat="1" ht="12" customHeight="1">
      <c r="B664" s="722"/>
      <c r="J664" s="735" t="s">
        <v>1916</v>
      </c>
      <c r="K664" s="736"/>
      <c r="L664" s="727"/>
      <c r="M664" s="728"/>
      <c r="N664" s="626" t="s">
        <v>1481</v>
      </c>
      <c r="O664" s="626" t="s">
        <v>844</v>
      </c>
      <c r="P664" s="1382" t="s">
        <v>2856</v>
      </c>
    </row>
    <row r="665" spans="2:16" s="723" customFormat="1" ht="12" customHeight="1">
      <c r="B665" s="722"/>
      <c r="J665" s="735" t="s">
        <v>1918</v>
      </c>
      <c r="K665" s="736"/>
      <c r="L665" s="727"/>
      <c r="M665" s="728"/>
      <c r="N665" s="737" t="s">
        <v>1740</v>
      </c>
      <c r="O665" s="737" t="s">
        <v>2899</v>
      </c>
      <c r="P665" s="728" t="s">
        <v>654</v>
      </c>
    </row>
    <row r="666" spans="2:16" s="723" customFormat="1" ht="12" customHeight="1">
      <c r="B666" s="722"/>
      <c r="J666" s="735" t="s">
        <v>1920</v>
      </c>
      <c r="K666" s="736"/>
      <c r="L666" s="727"/>
      <c r="M666" s="728"/>
      <c r="N666" s="737" t="s">
        <v>1742</v>
      </c>
      <c r="O666" s="737" t="s">
        <v>3319</v>
      </c>
      <c r="P666" s="728" t="s">
        <v>655</v>
      </c>
    </row>
    <row r="667" spans="2:16" s="723" customFormat="1" ht="12" customHeight="1">
      <c r="B667" s="722"/>
      <c r="J667" s="735" t="s">
        <v>1739</v>
      </c>
      <c r="K667" s="736"/>
      <c r="L667" s="727"/>
      <c r="M667" s="728"/>
      <c r="N667" s="737" t="s">
        <v>2704</v>
      </c>
      <c r="O667" s="737" t="s">
        <v>1515</v>
      </c>
      <c r="P667" s="728" t="s">
        <v>656</v>
      </c>
    </row>
    <row r="668" spans="2:16" s="723" customFormat="1" ht="12" customHeight="1">
      <c r="B668" s="722"/>
      <c r="J668" s="735" t="s">
        <v>1741</v>
      </c>
      <c r="K668" s="736"/>
      <c r="L668" s="727"/>
      <c r="M668" s="728"/>
      <c r="N668" s="737" t="s">
        <v>1040</v>
      </c>
      <c r="O668" s="737" t="s">
        <v>347</v>
      </c>
      <c r="P668" s="728" t="s">
        <v>657</v>
      </c>
    </row>
    <row r="669" spans="2:16" s="723" customFormat="1" ht="12" customHeight="1">
      <c r="B669" s="722"/>
      <c r="J669" s="735" t="s">
        <v>2703</v>
      </c>
      <c r="K669" s="736"/>
      <c r="L669" s="727"/>
      <c r="M669" s="728"/>
      <c r="N669" s="737" t="s">
        <v>1692</v>
      </c>
      <c r="O669" s="737" t="s">
        <v>857</v>
      </c>
      <c r="P669" s="728" t="s">
        <v>658</v>
      </c>
    </row>
    <row r="670" spans="2:16" s="723" customFormat="1" ht="12" customHeight="1">
      <c r="B670" s="722"/>
      <c r="J670" s="735" t="s">
        <v>1039</v>
      </c>
      <c r="K670" s="736"/>
      <c r="L670" s="727"/>
      <c r="M670" s="728"/>
      <c r="N670" s="626" t="s">
        <v>1482</v>
      </c>
      <c r="O670" s="626" t="s">
        <v>175</v>
      </c>
      <c r="P670" s="1382" t="s">
        <v>2856</v>
      </c>
    </row>
    <row r="671" spans="2:16" s="723" customFormat="1" ht="12" customHeight="1">
      <c r="B671" s="722"/>
      <c r="J671" s="735" t="s">
        <v>1691</v>
      </c>
      <c r="K671" s="736"/>
      <c r="L671" s="727"/>
      <c r="M671" s="728"/>
      <c r="N671" s="737" t="s">
        <v>2592</v>
      </c>
      <c r="O671" s="737" t="s">
        <v>1513</v>
      </c>
      <c r="P671" s="728" t="s">
        <v>659</v>
      </c>
    </row>
    <row r="672" spans="2:16" s="723" customFormat="1" ht="12" customHeight="1">
      <c r="B672" s="722"/>
      <c r="J672" s="735" t="s">
        <v>2590</v>
      </c>
      <c r="K672" s="736"/>
      <c r="L672" s="727"/>
      <c r="M672" s="728"/>
      <c r="N672" s="737" t="s">
        <v>2594</v>
      </c>
      <c r="O672" s="737" t="s">
        <v>1901</v>
      </c>
      <c r="P672" s="728" t="s">
        <v>660</v>
      </c>
    </row>
    <row r="673" spans="2:16" s="723" customFormat="1" ht="12" customHeight="1">
      <c r="B673" s="722"/>
      <c r="J673" s="735" t="s">
        <v>2591</v>
      </c>
      <c r="K673" s="736"/>
      <c r="L673" s="727"/>
      <c r="M673" s="728"/>
      <c r="N673" s="737" t="s">
        <v>2596</v>
      </c>
      <c r="O673" s="737" t="s">
        <v>3267</v>
      </c>
      <c r="P673" s="728" t="s">
        <v>661</v>
      </c>
    </row>
    <row r="674" spans="2:16" s="723" customFormat="1" ht="12" customHeight="1">
      <c r="B674" s="722"/>
      <c r="J674" s="735" t="s">
        <v>2593</v>
      </c>
      <c r="K674" s="736"/>
      <c r="L674" s="727"/>
      <c r="M674" s="728"/>
      <c r="N674" s="737" t="s">
        <v>2598</v>
      </c>
      <c r="O674" s="737" t="s">
        <v>127</v>
      </c>
      <c r="P674" s="728" t="s">
        <v>662</v>
      </c>
    </row>
    <row r="675" spans="2:16" s="723" customFormat="1" ht="12" customHeight="1">
      <c r="B675" s="722"/>
      <c r="J675" s="735" t="s">
        <v>2595</v>
      </c>
      <c r="K675" s="736"/>
      <c r="L675" s="727"/>
      <c r="M675" s="728"/>
      <c r="N675" s="737" t="s">
        <v>637</v>
      </c>
      <c r="O675" s="737" t="s">
        <v>2720</v>
      </c>
      <c r="P675" s="728" t="s">
        <v>663</v>
      </c>
    </row>
    <row r="676" spans="2:16" s="723" customFormat="1" ht="12" customHeight="1">
      <c r="B676" s="722"/>
      <c r="J676" s="735" t="s">
        <v>2597</v>
      </c>
      <c r="K676" s="736"/>
      <c r="L676" s="727"/>
      <c r="M676" s="728"/>
      <c r="N676" s="737" t="s">
        <v>3324</v>
      </c>
      <c r="O676" s="737" t="s">
        <v>2622</v>
      </c>
      <c r="P676" s="728" t="s">
        <v>664</v>
      </c>
    </row>
    <row r="677" spans="2:16" s="723" customFormat="1" ht="12" customHeight="1">
      <c r="B677" s="722"/>
      <c r="J677" s="735" t="s">
        <v>636</v>
      </c>
      <c r="K677" s="736"/>
      <c r="L677" s="727"/>
      <c r="M677" s="728"/>
      <c r="N677" s="737" t="s">
        <v>3326</v>
      </c>
      <c r="O677" s="737" t="s">
        <v>3317</v>
      </c>
      <c r="P677" s="728" t="s">
        <v>665</v>
      </c>
    </row>
    <row r="678" spans="2:16" s="723" customFormat="1" ht="12" customHeight="1">
      <c r="B678" s="722"/>
      <c r="J678" s="735" t="s">
        <v>3323</v>
      </c>
      <c r="K678" s="736"/>
      <c r="L678" s="727"/>
      <c r="M678" s="728"/>
      <c r="N678" s="737" t="s">
        <v>1569</v>
      </c>
      <c r="O678" s="737" t="s">
        <v>344</v>
      </c>
      <c r="P678" s="728" t="s">
        <v>666</v>
      </c>
    </row>
    <row r="679" spans="2:16" s="723" customFormat="1" ht="12" customHeight="1">
      <c r="B679" s="722"/>
      <c r="J679" s="735" t="s">
        <v>3325</v>
      </c>
      <c r="K679" s="736"/>
      <c r="L679" s="727"/>
      <c r="M679" s="728"/>
      <c r="N679" s="737" t="s">
        <v>3303</v>
      </c>
      <c r="O679" s="737" t="s">
        <v>1272</v>
      </c>
      <c r="P679" s="728" t="s">
        <v>667</v>
      </c>
    </row>
    <row r="680" spans="2:16" s="723" customFormat="1" ht="12" customHeight="1">
      <c r="B680" s="722"/>
      <c r="J680" s="735" t="s">
        <v>1568</v>
      </c>
      <c r="K680" s="736"/>
      <c r="L680" s="727"/>
      <c r="M680" s="728"/>
      <c r="N680" s="737" t="s">
        <v>1209</v>
      </c>
      <c r="O680" s="737" t="s">
        <v>1768</v>
      </c>
      <c r="P680" s="728" t="s">
        <v>668</v>
      </c>
    </row>
    <row r="681" spans="2:16" s="723" customFormat="1" ht="12" customHeight="1">
      <c r="B681" s="722"/>
      <c r="J681" s="735" t="s">
        <v>3302</v>
      </c>
      <c r="K681" s="736"/>
      <c r="L681" s="727"/>
      <c r="M681" s="728"/>
      <c r="N681" s="626" t="s">
        <v>1478</v>
      </c>
      <c r="O681" s="626" t="s">
        <v>852</v>
      </c>
      <c r="P681" s="1382" t="s">
        <v>2856</v>
      </c>
    </row>
    <row r="682" spans="2:16" s="723" customFormat="1" ht="12" customHeight="1">
      <c r="B682" s="722"/>
      <c r="J682" s="735" t="s">
        <v>3304</v>
      </c>
      <c r="K682" s="736"/>
      <c r="L682" s="727"/>
      <c r="M682" s="728"/>
      <c r="N682" s="737" t="s">
        <v>1990</v>
      </c>
      <c r="O682" s="737" t="s">
        <v>360</v>
      </c>
      <c r="P682" s="728" t="s">
        <v>669</v>
      </c>
    </row>
    <row r="683" spans="2:16" s="723" customFormat="1" ht="12" customHeight="1">
      <c r="B683" s="722"/>
      <c r="J683" s="735" t="s">
        <v>1988</v>
      </c>
      <c r="K683" s="736"/>
      <c r="L683" s="727"/>
      <c r="M683" s="728"/>
      <c r="N683" s="737" t="s">
        <v>2817</v>
      </c>
      <c r="O683" s="737" t="s">
        <v>1761</v>
      </c>
      <c r="P683" s="728" t="s">
        <v>670</v>
      </c>
    </row>
    <row r="684" spans="2:16" s="723" customFormat="1" ht="12" customHeight="1">
      <c r="B684" s="722"/>
      <c r="J684" s="735" t="s">
        <v>1989</v>
      </c>
      <c r="K684" s="736"/>
      <c r="L684" s="727"/>
      <c r="M684" s="728"/>
      <c r="N684" s="737" t="s">
        <v>2225</v>
      </c>
      <c r="O684" s="737" t="s">
        <v>1747</v>
      </c>
      <c r="P684" s="728" t="s">
        <v>671</v>
      </c>
    </row>
    <row r="685" spans="2:16" s="723" customFormat="1" ht="12" customHeight="1">
      <c r="B685" s="722"/>
      <c r="J685" s="735" t="s">
        <v>2815</v>
      </c>
      <c r="K685" s="736"/>
      <c r="L685" s="727"/>
      <c r="M685" s="728"/>
      <c r="N685" s="737" t="s">
        <v>1333</v>
      </c>
      <c r="O685" s="737" t="s">
        <v>2969</v>
      </c>
      <c r="P685" s="728" t="s">
        <v>672</v>
      </c>
    </row>
    <row r="686" spans="2:16" s="723" customFormat="1" ht="12" customHeight="1">
      <c r="B686" s="722"/>
      <c r="J686" s="735" t="s">
        <v>2816</v>
      </c>
      <c r="K686" s="736"/>
      <c r="L686" s="727"/>
      <c r="M686" s="728"/>
      <c r="N686" s="737" t="s">
        <v>1335</v>
      </c>
      <c r="O686" s="737" t="s">
        <v>351</v>
      </c>
      <c r="P686" s="728" t="s">
        <v>465</v>
      </c>
    </row>
    <row r="687" spans="2:16" s="723" customFormat="1" ht="12" customHeight="1">
      <c r="B687" s="722"/>
      <c r="J687" s="735" t="s">
        <v>2224</v>
      </c>
      <c r="K687" s="736"/>
      <c r="L687" s="727"/>
      <c r="M687" s="728"/>
      <c r="N687" s="737" t="s">
        <v>3283</v>
      </c>
      <c r="O687" s="737" t="s">
        <v>808</v>
      </c>
      <c r="P687" s="728" t="s">
        <v>466</v>
      </c>
    </row>
    <row r="688" spans="2:16" s="723" customFormat="1" ht="12" customHeight="1">
      <c r="B688" s="722"/>
      <c r="J688" s="735" t="s">
        <v>2226</v>
      </c>
      <c r="K688" s="736"/>
      <c r="L688" s="727"/>
      <c r="M688" s="728"/>
      <c r="N688" s="737" t="s">
        <v>2608</v>
      </c>
      <c r="O688" s="737" t="s">
        <v>127</v>
      </c>
      <c r="P688" s="728" t="s">
        <v>467</v>
      </c>
    </row>
    <row r="689" spans="2:16" s="723" customFormat="1" ht="12" customHeight="1">
      <c r="B689" s="722"/>
      <c r="J689" s="735" t="s">
        <v>1332</v>
      </c>
      <c r="K689" s="736"/>
      <c r="L689" s="727"/>
      <c r="M689" s="728"/>
      <c r="N689" s="737" t="s">
        <v>2611</v>
      </c>
      <c r="O689" s="737" t="s">
        <v>2969</v>
      </c>
      <c r="P689" s="728" t="s">
        <v>468</v>
      </c>
    </row>
    <row r="690" spans="2:16" s="723" customFormat="1" ht="12" customHeight="1">
      <c r="B690" s="722"/>
      <c r="J690" s="735" t="s">
        <v>1334</v>
      </c>
      <c r="K690" s="736"/>
      <c r="L690" s="727"/>
      <c r="M690" s="728"/>
      <c r="N690" s="737" t="s">
        <v>2613</v>
      </c>
      <c r="O690" s="737" t="s">
        <v>178</v>
      </c>
      <c r="P690" s="728" t="s">
        <v>469</v>
      </c>
    </row>
    <row r="691" spans="2:16" s="723" customFormat="1" ht="12" customHeight="1">
      <c r="B691" s="722"/>
      <c r="J691" s="735" t="s">
        <v>1336</v>
      </c>
      <c r="K691" s="736"/>
      <c r="L691" s="727"/>
      <c r="M691" s="728"/>
      <c r="N691" s="737" t="s">
        <v>828</v>
      </c>
      <c r="O691" s="737" t="s">
        <v>3160</v>
      </c>
      <c r="P691" s="728" t="s">
        <v>470</v>
      </c>
    </row>
    <row r="692" spans="2:16" s="723" customFormat="1" ht="12" customHeight="1">
      <c r="B692" s="722"/>
      <c r="J692" s="735" t="s">
        <v>3282</v>
      </c>
      <c r="K692" s="736"/>
      <c r="L692" s="727"/>
      <c r="M692" s="728"/>
      <c r="N692" s="737" t="s">
        <v>1210</v>
      </c>
      <c r="O692" s="737" t="s">
        <v>2890</v>
      </c>
      <c r="P692" s="728" t="s">
        <v>471</v>
      </c>
    </row>
    <row r="693" spans="2:16" s="723" customFormat="1" ht="12" customHeight="1">
      <c r="B693" s="722"/>
      <c r="J693" s="735" t="s">
        <v>3284</v>
      </c>
      <c r="K693" s="736"/>
      <c r="L693" s="727"/>
      <c r="M693" s="728"/>
      <c r="N693" s="626" t="s">
        <v>1483</v>
      </c>
      <c r="O693" s="626" t="s">
        <v>2620</v>
      </c>
      <c r="P693" s="1382" t="s">
        <v>2856</v>
      </c>
    </row>
    <row r="694" spans="2:16" s="723" customFormat="1" ht="12" customHeight="1">
      <c r="B694" s="722"/>
      <c r="J694" s="735" t="s">
        <v>3285</v>
      </c>
      <c r="K694" s="736"/>
      <c r="L694" s="727"/>
      <c r="M694" s="728"/>
      <c r="N694" s="626" t="s">
        <v>1484</v>
      </c>
      <c r="O694" s="626" t="s">
        <v>2717</v>
      </c>
      <c r="P694" s="1382" t="s">
        <v>2856</v>
      </c>
    </row>
    <row r="695" spans="2:16" s="723" customFormat="1" ht="12" customHeight="1">
      <c r="B695" s="722"/>
      <c r="J695" s="735" t="s">
        <v>2609</v>
      </c>
      <c r="K695" s="736"/>
      <c r="L695" s="727"/>
      <c r="M695" s="728"/>
      <c r="N695" s="737" t="s">
        <v>1910</v>
      </c>
      <c r="O695" s="737" t="s">
        <v>1631</v>
      </c>
      <c r="P695" s="728" t="s">
        <v>472</v>
      </c>
    </row>
    <row r="696" spans="2:16" s="723" customFormat="1" ht="12" customHeight="1">
      <c r="B696" s="722"/>
      <c r="J696" s="735" t="s">
        <v>2610</v>
      </c>
      <c r="K696" s="736"/>
      <c r="L696" s="727"/>
      <c r="M696" s="728"/>
      <c r="N696" s="737" t="s">
        <v>3039</v>
      </c>
      <c r="O696" s="737" t="s">
        <v>127</v>
      </c>
      <c r="P696" s="728" t="s">
        <v>473</v>
      </c>
    </row>
    <row r="697" spans="2:16" s="723" customFormat="1" ht="12" customHeight="1">
      <c r="B697" s="722"/>
      <c r="J697" s="735" t="s">
        <v>2612</v>
      </c>
      <c r="K697" s="736"/>
      <c r="L697" s="727"/>
      <c r="M697" s="728"/>
      <c r="N697" s="737" t="s">
        <v>1853</v>
      </c>
      <c r="O697" s="737" t="s">
        <v>2969</v>
      </c>
      <c r="P697" s="728" t="s">
        <v>474</v>
      </c>
    </row>
    <row r="698" spans="2:16" s="723" customFormat="1" ht="12" customHeight="1">
      <c r="B698" s="722"/>
      <c r="J698" s="735" t="s">
        <v>827</v>
      </c>
      <c r="K698" s="736"/>
      <c r="L698" s="727"/>
      <c r="M698" s="728"/>
      <c r="N698" s="737" t="s">
        <v>2983</v>
      </c>
      <c r="O698" s="737" t="s">
        <v>2626</v>
      </c>
      <c r="P698" s="728" t="s">
        <v>475</v>
      </c>
    </row>
    <row r="699" spans="2:16" s="723" customFormat="1" ht="12" customHeight="1">
      <c r="B699" s="722"/>
      <c r="J699" s="735" t="s">
        <v>829</v>
      </c>
      <c r="K699" s="736"/>
      <c r="L699" s="727"/>
      <c r="M699" s="728"/>
      <c r="N699" s="737" t="s">
        <v>2985</v>
      </c>
      <c r="O699" s="737" t="s">
        <v>2886</v>
      </c>
      <c r="P699" s="728" t="s">
        <v>476</v>
      </c>
    </row>
    <row r="700" spans="2:16" s="723" customFormat="1" ht="12" customHeight="1">
      <c r="B700" s="722"/>
      <c r="J700" s="735" t="s">
        <v>830</v>
      </c>
      <c r="K700" s="736"/>
      <c r="L700" s="727"/>
      <c r="M700" s="728"/>
      <c r="N700" s="737" t="s">
        <v>2987</v>
      </c>
      <c r="O700" s="737" t="s">
        <v>3160</v>
      </c>
      <c r="P700" s="728" t="s">
        <v>477</v>
      </c>
    </row>
    <row r="701" spans="2:16" s="723" customFormat="1" ht="12" customHeight="1">
      <c r="B701" s="722"/>
      <c r="J701" s="735" t="s">
        <v>3038</v>
      </c>
      <c r="K701" s="736"/>
      <c r="L701" s="727"/>
      <c r="M701" s="728"/>
      <c r="N701" s="737" t="s">
        <v>1524</v>
      </c>
      <c r="O701" s="737" t="s">
        <v>2897</v>
      </c>
      <c r="P701" s="728" t="s">
        <v>478</v>
      </c>
    </row>
    <row r="702" spans="2:16" s="723" customFormat="1" ht="12" customHeight="1">
      <c r="B702" s="722"/>
      <c r="J702" s="735" t="s">
        <v>75</v>
      </c>
      <c r="K702" s="736"/>
      <c r="L702" s="727"/>
      <c r="M702" s="728"/>
      <c r="N702" s="737" t="s">
        <v>1526</v>
      </c>
      <c r="O702" s="737" t="s">
        <v>1501</v>
      </c>
      <c r="P702" s="728" t="s">
        <v>479</v>
      </c>
    </row>
    <row r="703" spans="2:16" s="723" customFormat="1" ht="12" customHeight="1">
      <c r="B703" s="722"/>
      <c r="J703" s="735" t="s">
        <v>1854</v>
      </c>
      <c r="K703" s="736"/>
      <c r="L703" s="727"/>
      <c r="M703" s="728"/>
      <c r="N703" s="737" t="s">
        <v>2762</v>
      </c>
      <c r="O703" s="737" t="s">
        <v>346</v>
      </c>
      <c r="P703" s="728" t="s">
        <v>480</v>
      </c>
    </row>
    <row r="704" spans="2:16" s="723" customFormat="1" ht="12" customHeight="1">
      <c r="B704" s="722"/>
      <c r="J704" s="735" t="s">
        <v>2984</v>
      </c>
      <c r="K704" s="736"/>
      <c r="L704" s="727"/>
      <c r="M704" s="728"/>
      <c r="N704" s="737" t="s">
        <v>2680</v>
      </c>
      <c r="O704" s="737" t="s">
        <v>128</v>
      </c>
      <c r="P704" s="728" t="s">
        <v>481</v>
      </c>
    </row>
    <row r="705" spans="2:17" s="723" customFormat="1" ht="12" customHeight="1">
      <c r="B705" s="722"/>
      <c r="J705" s="735" t="s">
        <v>2986</v>
      </c>
      <c r="K705" s="736"/>
      <c r="L705" s="727"/>
      <c r="M705" s="728"/>
      <c r="N705" s="737" t="s">
        <v>2682</v>
      </c>
      <c r="O705" s="737" t="s">
        <v>355</v>
      </c>
      <c r="P705" s="728" t="s">
        <v>482</v>
      </c>
      <c r="Q705" s="1383"/>
    </row>
    <row r="706" spans="2:17" s="723" customFormat="1" ht="12" customHeight="1">
      <c r="B706" s="722"/>
      <c r="J706" s="735" t="s">
        <v>2502</v>
      </c>
      <c r="K706" s="736"/>
      <c r="L706" s="727"/>
      <c r="M706" s="728"/>
      <c r="N706" s="737" t="s">
        <v>2684</v>
      </c>
      <c r="O706" s="737" t="s">
        <v>201</v>
      </c>
      <c r="P706" s="728" t="s">
        <v>483</v>
      </c>
    </row>
    <row r="707" spans="2:17" s="723" customFormat="1" ht="12" customHeight="1">
      <c r="B707" s="722"/>
      <c r="J707" s="735" t="s">
        <v>1525</v>
      </c>
      <c r="K707" s="736"/>
      <c r="L707" s="727"/>
      <c r="M707" s="728"/>
      <c r="N707" s="737" t="s">
        <v>581</v>
      </c>
      <c r="O707" s="737" t="s">
        <v>1748</v>
      </c>
      <c r="P707" s="728" t="s">
        <v>484</v>
      </c>
    </row>
    <row r="708" spans="2:17" s="723" customFormat="1" ht="12" customHeight="1">
      <c r="B708" s="722"/>
      <c r="J708" s="735" t="s">
        <v>2761</v>
      </c>
      <c r="K708" s="736"/>
      <c r="L708" s="727"/>
      <c r="M708" s="728"/>
      <c r="N708" s="737" t="s">
        <v>2813</v>
      </c>
      <c r="O708" s="737" t="s">
        <v>1038</v>
      </c>
      <c r="P708" s="728" t="s">
        <v>485</v>
      </c>
    </row>
    <row r="709" spans="2:17" s="723" customFormat="1" ht="12" customHeight="1">
      <c r="B709" s="722"/>
      <c r="J709" s="735" t="s">
        <v>2679</v>
      </c>
      <c r="K709" s="736"/>
      <c r="L709" s="727"/>
      <c r="M709" s="728"/>
      <c r="N709" s="737" t="s">
        <v>2840</v>
      </c>
      <c r="O709" s="737" t="s">
        <v>112</v>
      </c>
      <c r="P709" s="728" t="s">
        <v>1422</v>
      </c>
    </row>
    <row r="710" spans="2:17" s="723" customFormat="1" ht="12" customHeight="1">
      <c r="B710" s="722"/>
      <c r="J710" s="735" t="s">
        <v>2681</v>
      </c>
      <c r="K710" s="736"/>
      <c r="L710" s="727"/>
      <c r="M710" s="728"/>
      <c r="N710" s="737" t="s">
        <v>1227</v>
      </c>
      <c r="O710" s="737" t="s">
        <v>2717</v>
      </c>
      <c r="P710" s="1381" t="s">
        <v>1218</v>
      </c>
    </row>
    <row r="711" spans="2:17" s="723" customFormat="1" ht="12" customHeight="1">
      <c r="B711" s="722"/>
      <c r="J711" s="735" t="s">
        <v>2683</v>
      </c>
      <c r="K711" s="736"/>
      <c r="L711" s="727"/>
      <c r="M711" s="728"/>
      <c r="N711" s="737" t="s">
        <v>2841</v>
      </c>
      <c r="O711" s="737" t="s">
        <v>2717</v>
      </c>
      <c r="P711" s="728" t="s">
        <v>486</v>
      </c>
    </row>
    <row r="712" spans="2:17" s="723" customFormat="1" ht="12" customHeight="1">
      <c r="B712" s="722"/>
      <c r="J712" s="735" t="s">
        <v>629</v>
      </c>
      <c r="K712" s="736"/>
      <c r="L712" s="727"/>
      <c r="M712" s="728"/>
      <c r="N712" s="737" t="s">
        <v>2842</v>
      </c>
      <c r="O712" s="737" t="s">
        <v>2347</v>
      </c>
      <c r="P712" s="728" t="s">
        <v>487</v>
      </c>
    </row>
    <row r="713" spans="2:17" s="723" customFormat="1" ht="12" customHeight="1">
      <c r="B713" s="722"/>
      <c r="J713" s="735" t="s">
        <v>580</v>
      </c>
      <c r="K713" s="736"/>
      <c r="L713" s="727"/>
      <c r="M713" s="728"/>
      <c r="N713" s="737" t="s">
        <v>3063</v>
      </c>
      <c r="O713" s="737" t="s">
        <v>2584</v>
      </c>
      <c r="P713" s="728" t="s">
        <v>488</v>
      </c>
    </row>
    <row r="714" spans="2:17" s="723" customFormat="1" ht="12" customHeight="1">
      <c r="B714" s="722"/>
      <c r="J714" s="735" t="s">
        <v>2812</v>
      </c>
      <c r="K714" s="736"/>
      <c r="L714" s="727"/>
      <c r="M714" s="728"/>
      <c r="N714" s="737" t="s">
        <v>3064</v>
      </c>
      <c r="O714" s="737" t="s">
        <v>175</v>
      </c>
      <c r="P714" s="728" t="s">
        <v>489</v>
      </c>
    </row>
    <row r="715" spans="2:17" s="723" customFormat="1" ht="12" customHeight="1">
      <c r="B715" s="722"/>
      <c r="J715" s="735" t="s">
        <v>2839</v>
      </c>
      <c r="K715" s="736"/>
      <c r="L715" s="727"/>
      <c r="M715" s="728"/>
      <c r="N715" s="737" t="s">
        <v>3065</v>
      </c>
      <c r="O715" s="737" t="s">
        <v>2349</v>
      </c>
      <c r="P715" s="728" t="s">
        <v>490</v>
      </c>
    </row>
    <row r="716" spans="2:17" s="723" customFormat="1" ht="12" customHeight="1">
      <c r="B716" s="722"/>
      <c r="J716" s="821"/>
      <c r="K716" s="822"/>
      <c r="L716" s="822"/>
      <c r="M716" s="823"/>
      <c r="N716" s="737" t="s">
        <v>3066</v>
      </c>
      <c r="O716" s="737" t="s">
        <v>1513</v>
      </c>
      <c r="P716" s="728" t="s">
        <v>491</v>
      </c>
    </row>
    <row r="717" spans="2:17" s="723" customFormat="1" ht="12" customHeight="1">
      <c r="B717" s="722"/>
      <c r="J717" s="743"/>
      <c r="K717" s="744"/>
      <c r="L717" s="745"/>
      <c r="N717" s="737" t="s">
        <v>3067</v>
      </c>
      <c r="O717" s="737" t="s">
        <v>3156</v>
      </c>
      <c r="P717" s="728" t="s">
        <v>492</v>
      </c>
    </row>
    <row r="718" spans="2:17" s="723" customFormat="1" ht="12" customHeight="1">
      <c r="B718" s="722"/>
      <c r="N718" s="737" t="s">
        <v>2988</v>
      </c>
      <c r="O718" s="737" t="s">
        <v>2891</v>
      </c>
      <c r="P718" s="728" t="s">
        <v>493</v>
      </c>
    </row>
    <row r="719" spans="2:17" s="723" customFormat="1" ht="12" customHeight="1">
      <c r="B719" s="722"/>
      <c r="G719" s="744"/>
      <c r="H719" s="745"/>
      <c r="N719" s="737" t="s">
        <v>2228</v>
      </c>
      <c r="O719" s="737" t="s">
        <v>3158</v>
      </c>
      <c r="P719" s="728" t="s">
        <v>494</v>
      </c>
    </row>
    <row r="720" spans="2:17" s="723" customFormat="1" ht="12" customHeight="1">
      <c r="B720" s="722"/>
      <c r="F720" s="743"/>
      <c r="G720" s="744"/>
      <c r="H720" s="745"/>
      <c r="N720" s="737" t="s">
        <v>2229</v>
      </c>
      <c r="O720" s="737" t="s">
        <v>212</v>
      </c>
      <c r="P720" s="728" t="s">
        <v>495</v>
      </c>
    </row>
    <row r="721" spans="2:16" s="723" customFormat="1" ht="12" customHeight="1">
      <c r="B721" s="722"/>
      <c r="F721" s="743"/>
      <c r="G721" s="744"/>
      <c r="H721" s="745"/>
      <c r="N721" s="737" t="s">
        <v>2376</v>
      </c>
      <c r="O721" s="737" t="s">
        <v>178</v>
      </c>
      <c r="P721" s="728" t="s">
        <v>496</v>
      </c>
    </row>
    <row r="722" spans="2:16" s="723" customFormat="1" ht="12" customHeight="1">
      <c r="B722" s="722"/>
      <c r="F722" s="743"/>
      <c r="G722" s="744"/>
      <c r="H722" s="745"/>
      <c r="N722" s="626" t="s">
        <v>1485</v>
      </c>
      <c r="O722" s="626" t="s">
        <v>808</v>
      </c>
      <c r="P722" s="1382" t="s">
        <v>2856</v>
      </c>
    </row>
    <row r="723" spans="2:16" s="723" customFormat="1" ht="12" customHeight="1">
      <c r="B723" s="722"/>
      <c r="F723" s="743"/>
      <c r="G723" s="744"/>
      <c r="H723" s="745"/>
      <c r="N723" s="737" t="s">
        <v>1211</v>
      </c>
      <c r="O723" s="737" t="s">
        <v>2660</v>
      </c>
      <c r="P723" s="728" t="s">
        <v>497</v>
      </c>
    </row>
    <row r="724" spans="2:16" s="723" customFormat="1" ht="12" customHeight="1">
      <c r="B724" s="722"/>
      <c r="F724" s="743"/>
      <c r="G724" s="744"/>
      <c r="H724" s="745"/>
      <c r="N724" s="737" t="s">
        <v>2377</v>
      </c>
      <c r="O724" s="737" t="s">
        <v>3319</v>
      </c>
      <c r="P724" s="728" t="s">
        <v>498</v>
      </c>
    </row>
    <row r="725" spans="2:16" s="723" customFormat="1" ht="12" customHeight="1">
      <c r="B725" s="722"/>
      <c r="F725" s="743"/>
      <c r="G725" s="744"/>
      <c r="H725" s="745"/>
      <c r="N725" s="737" t="s">
        <v>2378</v>
      </c>
      <c r="O725" s="737" t="s">
        <v>2969</v>
      </c>
      <c r="P725" s="728" t="s">
        <v>2378</v>
      </c>
    </row>
    <row r="726" spans="2:16" s="723" customFormat="1" ht="12" customHeight="1">
      <c r="B726" s="722"/>
      <c r="F726" s="743"/>
      <c r="G726" s="744"/>
      <c r="H726" s="745"/>
      <c r="N726" s="737" t="s">
        <v>2379</v>
      </c>
      <c r="O726" s="737" t="s">
        <v>2349</v>
      </c>
      <c r="P726" s="728" t="s">
        <v>499</v>
      </c>
    </row>
    <row r="727" spans="2:16" s="723" customFormat="1" ht="12" customHeight="1">
      <c r="B727" s="722"/>
      <c r="F727" s="743"/>
      <c r="G727" s="744"/>
      <c r="H727" s="745"/>
      <c r="N727" s="737" t="s">
        <v>2380</v>
      </c>
      <c r="O727" s="737" t="s">
        <v>175</v>
      </c>
      <c r="P727" s="728" t="s">
        <v>500</v>
      </c>
    </row>
    <row r="728" spans="2:16" s="723" customFormat="1" ht="12" customHeight="1">
      <c r="B728" s="722"/>
      <c r="F728" s="743"/>
      <c r="G728" s="744"/>
      <c r="H728" s="745"/>
      <c r="N728" s="737" t="s">
        <v>2381</v>
      </c>
      <c r="O728" s="737" t="s">
        <v>843</v>
      </c>
      <c r="P728" s="728" t="s">
        <v>501</v>
      </c>
    </row>
    <row r="729" spans="2:16" s="723" customFormat="1" ht="12" customHeight="1">
      <c r="B729" s="722"/>
      <c r="F729" s="743"/>
      <c r="G729" s="744"/>
      <c r="H729" s="745"/>
      <c r="N729" s="737" t="s">
        <v>2382</v>
      </c>
      <c r="O729" s="737" t="s">
        <v>1350</v>
      </c>
      <c r="P729" s="728" t="s">
        <v>502</v>
      </c>
    </row>
    <row r="730" spans="2:16" s="723" customFormat="1" ht="12" customHeight="1">
      <c r="B730" s="722"/>
      <c r="F730" s="743"/>
      <c r="G730" s="744"/>
      <c r="H730" s="745"/>
      <c r="N730" s="737" t="s">
        <v>2383</v>
      </c>
      <c r="O730" s="737" t="s">
        <v>1627</v>
      </c>
      <c r="P730" s="728" t="s">
        <v>2383</v>
      </c>
    </row>
    <row r="731" spans="2:16" s="723" customFormat="1" ht="12" customHeight="1">
      <c r="B731" s="722"/>
      <c r="F731" s="743"/>
      <c r="G731" s="744"/>
      <c r="H731" s="745"/>
      <c r="N731" s="737" t="s">
        <v>2384</v>
      </c>
      <c r="O731" s="737" t="s">
        <v>857</v>
      </c>
      <c r="P731" s="728" t="s">
        <v>503</v>
      </c>
    </row>
    <row r="732" spans="2:16" s="723" customFormat="1" ht="12" customHeight="1">
      <c r="B732" s="722"/>
      <c r="F732" s="743"/>
      <c r="G732" s="744"/>
      <c r="H732" s="745"/>
      <c r="N732" s="626" t="s">
        <v>1486</v>
      </c>
      <c r="O732" s="626" t="s">
        <v>2349</v>
      </c>
      <c r="P732" s="1382" t="s">
        <v>2856</v>
      </c>
    </row>
    <row r="733" spans="2:16" s="723" customFormat="1" ht="12" customHeight="1">
      <c r="B733" s="722"/>
      <c r="F733" s="743"/>
      <c r="G733" s="744"/>
      <c r="H733" s="745"/>
      <c r="N733" s="737" t="s">
        <v>2385</v>
      </c>
      <c r="O733" s="737" t="s">
        <v>201</v>
      </c>
      <c r="P733" s="728" t="s">
        <v>504</v>
      </c>
    </row>
    <row r="734" spans="2:16" s="723" customFormat="1" ht="12" customHeight="1">
      <c r="B734" s="722"/>
      <c r="F734" s="743"/>
      <c r="G734" s="744"/>
      <c r="H734" s="745"/>
      <c r="N734" s="737" t="s">
        <v>2386</v>
      </c>
      <c r="O734" s="737" t="s">
        <v>192</v>
      </c>
      <c r="P734" s="728" t="s">
        <v>505</v>
      </c>
    </row>
    <row r="735" spans="2:16" s="723" customFormat="1" ht="12" customHeight="1">
      <c r="B735" s="722"/>
      <c r="F735" s="743"/>
      <c r="G735" s="744"/>
      <c r="H735" s="745"/>
      <c r="N735" s="737" t="s">
        <v>2387</v>
      </c>
      <c r="O735" s="737" t="s">
        <v>2660</v>
      </c>
      <c r="P735" s="728" t="s">
        <v>506</v>
      </c>
    </row>
    <row r="736" spans="2:16" s="723" customFormat="1" ht="12" customHeight="1">
      <c r="B736" s="722"/>
      <c r="F736" s="743"/>
      <c r="G736" s="744"/>
      <c r="H736" s="745"/>
      <c r="N736" s="737" t="s">
        <v>2388</v>
      </c>
      <c r="O736" s="737" t="s">
        <v>175</v>
      </c>
      <c r="P736" s="728" t="s">
        <v>507</v>
      </c>
    </row>
    <row r="737" spans="2:16" s="723" customFormat="1" ht="12" customHeight="1">
      <c r="B737" s="722"/>
      <c r="F737" s="743"/>
      <c r="G737" s="744"/>
      <c r="H737" s="745"/>
      <c r="N737" s="737" t="s">
        <v>2389</v>
      </c>
      <c r="O737" s="737" t="s">
        <v>2618</v>
      </c>
      <c r="P737" s="728" t="s">
        <v>508</v>
      </c>
    </row>
    <row r="738" spans="2:16" s="723" customFormat="1" ht="12" customHeight="1">
      <c r="B738" s="722"/>
      <c r="F738" s="743"/>
      <c r="G738" s="744"/>
      <c r="H738" s="745"/>
      <c r="N738" s="737" t="s">
        <v>2390</v>
      </c>
      <c r="O738" s="737" t="s">
        <v>1763</v>
      </c>
      <c r="P738" s="1381" t="s">
        <v>1218</v>
      </c>
    </row>
    <row r="739" spans="2:16" s="723" customFormat="1" ht="12" customHeight="1">
      <c r="B739" s="722"/>
      <c r="F739" s="743"/>
      <c r="G739" s="744"/>
      <c r="H739" s="745"/>
      <c r="N739" s="737" t="s">
        <v>2391</v>
      </c>
      <c r="O739" s="737" t="s">
        <v>1350</v>
      </c>
      <c r="P739" s="728" t="s">
        <v>509</v>
      </c>
    </row>
    <row r="740" spans="2:16" s="723" customFormat="1" ht="12" customHeight="1">
      <c r="B740" s="722"/>
      <c r="F740" s="743"/>
      <c r="G740" s="744"/>
      <c r="H740" s="745"/>
      <c r="N740" s="737" t="s">
        <v>2392</v>
      </c>
      <c r="O740" s="737" t="s">
        <v>1038</v>
      </c>
      <c r="P740" s="728" t="s">
        <v>510</v>
      </c>
    </row>
    <row r="741" spans="2:16" s="723" customFormat="1" ht="12" customHeight="1">
      <c r="B741" s="722"/>
      <c r="F741" s="743"/>
      <c r="G741" s="744"/>
      <c r="H741" s="745"/>
      <c r="N741" s="626" t="s">
        <v>1487</v>
      </c>
      <c r="O741" s="626" t="s">
        <v>3267</v>
      </c>
      <c r="P741" s="1382" t="s">
        <v>2856</v>
      </c>
    </row>
    <row r="742" spans="2:16" s="723" customFormat="1" ht="12" customHeight="1">
      <c r="B742" s="722"/>
      <c r="F742" s="743"/>
      <c r="G742" s="744"/>
      <c r="H742" s="745"/>
      <c r="N742" s="737" t="s">
        <v>2393</v>
      </c>
      <c r="O742" s="737" t="s">
        <v>346</v>
      </c>
      <c r="P742" s="728" t="s">
        <v>511</v>
      </c>
    </row>
    <row r="743" spans="2:16" s="723" customFormat="1" ht="12" customHeight="1">
      <c r="B743" s="722"/>
      <c r="F743" s="743"/>
      <c r="G743" s="744"/>
      <c r="H743" s="745"/>
      <c r="N743" s="737" t="s">
        <v>2394</v>
      </c>
      <c r="O743" s="737" t="s">
        <v>360</v>
      </c>
      <c r="P743" s="728" t="s">
        <v>512</v>
      </c>
    </row>
    <row r="744" spans="2:16" s="723" customFormat="1" ht="12" customHeight="1">
      <c r="B744" s="722"/>
      <c r="F744" s="743"/>
      <c r="G744" s="744"/>
      <c r="H744" s="745"/>
      <c r="N744" s="737" t="s">
        <v>2395</v>
      </c>
      <c r="O744" s="737" t="s">
        <v>180</v>
      </c>
      <c r="P744" s="728" t="s">
        <v>513</v>
      </c>
    </row>
    <row r="745" spans="2:16" s="723" customFormat="1" ht="12" customHeight="1">
      <c r="B745" s="722"/>
      <c r="F745" s="743"/>
      <c r="G745" s="744"/>
      <c r="H745" s="745"/>
      <c r="N745" s="737" t="s">
        <v>2396</v>
      </c>
      <c r="O745" s="737" t="s">
        <v>2720</v>
      </c>
      <c r="P745" s="728" t="s">
        <v>514</v>
      </c>
    </row>
    <row r="746" spans="2:16" s="723" customFormat="1" ht="12" customHeight="1">
      <c r="B746" s="722"/>
      <c r="F746" s="743"/>
      <c r="G746" s="744"/>
      <c r="H746" s="745"/>
      <c r="N746" s="737" t="s">
        <v>2397</v>
      </c>
      <c r="O746" s="737" t="s">
        <v>1902</v>
      </c>
      <c r="P746" s="728" t="s">
        <v>515</v>
      </c>
    </row>
    <row r="747" spans="2:16" s="723" customFormat="1" ht="12" customHeight="1">
      <c r="B747" s="722"/>
      <c r="F747" s="743"/>
      <c r="G747" s="744"/>
      <c r="H747" s="745"/>
      <c r="N747" s="737" t="s">
        <v>2398</v>
      </c>
      <c r="O747" s="737" t="s">
        <v>2586</v>
      </c>
      <c r="P747" s="728" t="s">
        <v>516</v>
      </c>
    </row>
    <row r="748" spans="2:16" s="723" customFormat="1" ht="12" customHeight="1">
      <c r="B748" s="722"/>
      <c r="F748" s="743"/>
      <c r="G748" s="744"/>
      <c r="H748" s="745"/>
      <c r="N748" s="737" t="s">
        <v>2399</v>
      </c>
      <c r="O748" s="737" t="s">
        <v>352</v>
      </c>
      <c r="P748" s="728" t="s">
        <v>517</v>
      </c>
    </row>
    <row r="749" spans="2:16" s="723" customFormat="1" ht="12" customHeight="1">
      <c r="B749" s="722"/>
      <c r="F749" s="743"/>
      <c r="G749" s="744"/>
      <c r="H749" s="745"/>
      <c r="N749" s="737" t="s">
        <v>2400</v>
      </c>
      <c r="O749" s="737" t="s">
        <v>110</v>
      </c>
      <c r="P749" s="728" t="s">
        <v>518</v>
      </c>
    </row>
    <row r="750" spans="2:16" s="723" customFormat="1" ht="12" customHeight="1">
      <c r="B750" s="722"/>
      <c r="F750" s="743"/>
      <c r="G750" s="744"/>
      <c r="H750" s="745"/>
      <c r="N750" s="737" t="s">
        <v>323</v>
      </c>
      <c r="O750" s="737" t="s">
        <v>3160</v>
      </c>
      <c r="P750" s="728" t="s">
        <v>519</v>
      </c>
    </row>
    <row r="751" spans="2:16" s="723" customFormat="1" ht="12" customHeight="1">
      <c r="B751" s="722"/>
      <c r="F751" s="743"/>
      <c r="G751" s="744"/>
      <c r="H751" s="745"/>
      <c r="N751" s="737" t="s">
        <v>112</v>
      </c>
      <c r="O751" s="737" t="s">
        <v>3156</v>
      </c>
      <c r="P751" s="728" t="s">
        <v>520</v>
      </c>
    </row>
    <row r="752" spans="2:16" s="723" customFormat="1" ht="12" customHeight="1">
      <c r="B752" s="722"/>
      <c r="F752" s="743"/>
      <c r="G752" s="744"/>
      <c r="H752" s="745"/>
      <c r="N752" s="737" t="s">
        <v>324</v>
      </c>
      <c r="O752" s="737" t="s">
        <v>3387</v>
      </c>
      <c r="P752" s="728" t="s">
        <v>521</v>
      </c>
    </row>
    <row r="753" spans="2:16" s="723" customFormat="1" ht="12" customHeight="1">
      <c r="B753" s="722"/>
      <c r="F753" s="743"/>
      <c r="G753" s="744"/>
      <c r="H753" s="745"/>
      <c r="N753" s="737" t="s">
        <v>325</v>
      </c>
      <c r="O753" s="737" t="s">
        <v>347</v>
      </c>
      <c r="P753" s="728" t="s">
        <v>522</v>
      </c>
    </row>
    <row r="754" spans="2:16" s="723" customFormat="1" ht="12" customHeight="1">
      <c r="B754" s="722"/>
      <c r="F754" s="743"/>
      <c r="G754" s="744"/>
      <c r="H754" s="745"/>
      <c r="N754" s="737" t="s">
        <v>326</v>
      </c>
      <c r="O754" s="737" t="s">
        <v>2721</v>
      </c>
      <c r="P754" s="728" t="s">
        <v>523</v>
      </c>
    </row>
    <row r="755" spans="2:16" s="723" customFormat="1" ht="12" customHeight="1">
      <c r="B755" s="722"/>
      <c r="F755" s="743"/>
      <c r="G755" s="744"/>
      <c r="H755" s="745"/>
      <c r="N755" s="737" t="s">
        <v>327</v>
      </c>
      <c r="O755" s="737" t="s">
        <v>1763</v>
      </c>
      <c r="P755" s="728" t="s">
        <v>524</v>
      </c>
    </row>
    <row r="756" spans="2:16" s="723" customFormat="1" ht="12" customHeight="1">
      <c r="B756" s="722"/>
      <c r="F756" s="743"/>
      <c r="G756" s="744"/>
      <c r="H756" s="745"/>
      <c r="N756" s="737" t="s">
        <v>328</v>
      </c>
      <c r="O756" s="737" t="s">
        <v>2624</v>
      </c>
      <c r="P756" s="728" t="s">
        <v>525</v>
      </c>
    </row>
    <row r="757" spans="2:16" s="723" customFormat="1" ht="12" customHeight="1">
      <c r="B757" s="722"/>
      <c r="F757" s="743"/>
      <c r="G757" s="744"/>
      <c r="H757" s="745"/>
      <c r="N757" s="737" t="s">
        <v>329</v>
      </c>
      <c r="O757" s="737" t="s">
        <v>116</v>
      </c>
      <c r="P757" s="1381" t="s">
        <v>1218</v>
      </c>
    </row>
    <row r="758" spans="2:16" s="723" customFormat="1" ht="12" customHeight="1">
      <c r="B758" s="722"/>
      <c r="F758" s="743"/>
      <c r="G758" s="744"/>
      <c r="H758" s="745"/>
      <c r="N758" s="737" t="s">
        <v>330</v>
      </c>
      <c r="O758" s="737" t="s">
        <v>855</v>
      </c>
      <c r="P758" s="728" t="s">
        <v>526</v>
      </c>
    </row>
    <row r="759" spans="2:16" s="723" customFormat="1" ht="12" customHeight="1">
      <c r="B759" s="722"/>
      <c r="F759" s="743"/>
      <c r="G759" s="744"/>
      <c r="H759" s="745"/>
      <c r="N759" s="737" t="s">
        <v>120</v>
      </c>
      <c r="O759" s="737" t="s">
        <v>1748</v>
      </c>
      <c r="P759" s="728" t="s">
        <v>527</v>
      </c>
    </row>
    <row r="760" spans="2:16" s="723" customFormat="1" ht="12" customHeight="1">
      <c r="B760" s="722"/>
      <c r="F760" s="743"/>
      <c r="G760" s="744"/>
      <c r="H760" s="745"/>
      <c r="N760" s="737" t="s">
        <v>1999</v>
      </c>
      <c r="O760" s="737" t="s">
        <v>857</v>
      </c>
      <c r="P760" s="728" t="s">
        <v>528</v>
      </c>
    </row>
    <row r="761" spans="2:16" s="723" customFormat="1" ht="12" customHeight="1">
      <c r="B761" s="722"/>
      <c r="F761" s="743"/>
      <c r="G761" s="744"/>
      <c r="H761" s="745"/>
      <c r="N761" s="626" t="s">
        <v>1488</v>
      </c>
      <c r="O761" s="626" t="s">
        <v>175</v>
      </c>
      <c r="P761" s="1382" t="s">
        <v>2856</v>
      </c>
    </row>
    <row r="762" spans="2:16" s="723" customFormat="1" ht="12" customHeight="1">
      <c r="B762" s="722"/>
      <c r="F762" s="743"/>
      <c r="G762" s="744"/>
      <c r="H762" s="745"/>
      <c r="N762" s="737" t="s">
        <v>2000</v>
      </c>
      <c r="O762" s="737" t="s">
        <v>1038</v>
      </c>
      <c r="P762" s="728" t="s">
        <v>529</v>
      </c>
    </row>
    <row r="763" spans="2:16" s="723" customFormat="1" ht="12" customHeight="1">
      <c r="B763" s="722"/>
      <c r="F763" s="743"/>
      <c r="G763" s="744"/>
      <c r="H763" s="745"/>
      <c r="N763" s="737" t="s">
        <v>2001</v>
      </c>
      <c r="O763" s="737" t="s">
        <v>2472</v>
      </c>
      <c r="P763" s="728" t="s">
        <v>530</v>
      </c>
    </row>
    <row r="764" spans="2:16" s="723" customFormat="1" ht="12" customHeight="1">
      <c r="B764" s="722"/>
      <c r="F764" s="743"/>
      <c r="G764" s="744"/>
      <c r="H764" s="745"/>
      <c r="N764" s="737" t="s">
        <v>2002</v>
      </c>
      <c r="O764" s="737" t="s">
        <v>1504</v>
      </c>
      <c r="P764" s="728" t="s">
        <v>531</v>
      </c>
    </row>
    <row r="765" spans="2:16" s="723" customFormat="1" ht="12" customHeight="1">
      <c r="B765" s="722"/>
      <c r="F765" s="743"/>
      <c r="G765" s="744"/>
      <c r="H765" s="745"/>
      <c r="N765" s="626" t="s">
        <v>1489</v>
      </c>
      <c r="O765" s="626" t="s">
        <v>175</v>
      </c>
      <c r="P765" s="1382" t="s">
        <v>2856</v>
      </c>
    </row>
    <row r="766" spans="2:16" s="723" customFormat="1" ht="12" customHeight="1">
      <c r="B766" s="722"/>
      <c r="F766" s="743"/>
      <c r="G766" s="744"/>
      <c r="H766" s="745"/>
      <c r="N766" s="737" t="s">
        <v>2003</v>
      </c>
      <c r="O766" s="737" t="s">
        <v>1747</v>
      </c>
      <c r="P766" s="728" t="s">
        <v>532</v>
      </c>
    </row>
    <row r="767" spans="2:16" s="723" customFormat="1" ht="12" customHeight="1">
      <c r="B767" s="722"/>
      <c r="F767" s="743"/>
      <c r="G767" s="744"/>
      <c r="H767" s="745"/>
      <c r="N767" s="737" t="s">
        <v>2004</v>
      </c>
      <c r="O767" s="737" t="s">
        <v>181</v>
      </c>
      <c r="P767" s="728" t="s">
        <v>533</v>
      </c>
    </row>
    <row r="768" spans="2:16" s="723" customFormat="1" ht="12" customHeight="1">
      <c r="B768" s="722"/>
      <c r="F768" s="743"/>
      <c r="G768" s="744"/>
      <c r="H768" s="745"/>
      <c r="N768" s="737" t="s">
        <v>2005</v>
      </c>
      <c r="O768" s="737" t="s">
        <v>1768</v>
      </c>
      <c r="P768" s="728" t="s">
        <v>534</v>
      </c>
    </row>
    <row r="769" spans="2:16" s="723" customFormat="1" ht="12" customHeight="1">
      <c r="B769" s="722"/>
      <c r="F769" s="743"/>
      <c r="G769" s="744"/>
      <c r="H769" s="745"/>
      <c r="N769" s="737" t="s">
        <v>2006</v>
      </c>
      <c r="O769" s="737" t="s">
        <v>2586</v>
      </c>
      <c r="P769" s="728" t="s">
        <v>535</v>
      </c>
    </row>
    <row r="770" spans="2:16" s="723" customFormat="1" ht="12" customHeight="1">
      <c r="B770" s="722"/>
      <c r="F770" s="743"/>
      <c r="G770" s="744"/>
      <c r="H770" s="745"/>
      <c r="N770" s="737" t="s">
        <v>2007</v>
      </c>
      <c r="O770" s="737" t="s">
        <v>2897</v>
      </c>
      <c r="P770" s="728" t="s">
        <v>536</v>
      </c>
    </row>
    <row r="771" spans="2:16" s="723" customFormat="1" ht="12" customHeight="1">
      <c r="B771" s="722"/>
      <c r="F771" s="743"/>
      <c r="G771" s="744"/>
      <c r="H771" s="745"/>
      <c r="N771" s="737" t="s">
        <v>2008</v>
      </c>
      <c r="O771" s="737" t="s">
        <v>180</v>
      </c>
      <c r="P771" s="728" t="s">
        <v>537</v>
      </c>
    </row>
    <row r="772" spans="2:16" s="723" customFormat="1" ht="12" customHeight="1">
      <c r="B772" s="722"/>
      <c r="F772" s="743"/>
      <c r="G772" s="744"/>
      <c r="H772" s="745"/>
      <c r="N772" s="737" t="s">
        <v>3137</v>
      </c>
      <c r="O772" s="737" t="s">
        <v>857</v>
      </c>
      <c r="P772" s="728" t="s">
        <v>538</v>
      </c>
    </row>
    <row r="773" spans="2:16" s="723" customFormat="1" ht="12" customHeight="1">
      <c r="B773" s="722"/>
      <c r="F773" s="743"/>
      <c r="G773" s="744"/>
      <c r="H773" s="745"/>
      <c r="N773" s="737" t="s">
        <v>3138</v>
      </c>
      <c r="O773" s="737" t="s">
        <v>843</v>
      </c>
      <c r="P773" s="728" t="s">
        <v>539</v>
      </c>
    </row>
    <row r="774" spans="2:16" s="723" customFormat="1" ht="12" customHeight="1">
      <c r="B774" s="722"/>
      <c r="F774" s="743"/>
      <c r="G774" s="744"/>
      <c r="H774" s="745"/>
      <c r="N774" s="737" t="s">
        <v>3139</v>
      </c>
      <c r="O774" s="737" t="s">
        <v>360</v>
      </c>
      <c r="P774" s="728" t="s">
        <v>540</v>
      </c>
    </row>
    <row r="775" spans="2:16" s="723" customFormat="1" ht="12" customHeight="1">
      <c r="B775" s="722"/>
      <c r="F775" s="743"/>
      <c r="G775" s="744"/>
      <c r="H775" s="745"/>
      <c r="N775" s="737" t="s">
        <v>1228</v>
      </c>
      <c r="O775" s="737" t="s">
        <v>364</v>
      </c>
      <c r="P775" s="728" t="s">
        <v>541</v>
      </c>
    </row>
    <row r="776" spans="2:16" s="723" customFormat="1" ht="12" customHeight="1">
      <c r="B776" s="722"/>
      <c r="F776" s="743"/>
      <c r="G776" s="744"/>
      <c r="H776" s="745"/>
      <c r="N776" s="737" t="s">
        <v>1229</v>
      </c>
      <c r="O776" s="737" t="s">
        <v>2717</v>
      </c>
      <c r="P776" s="728" t="s">
        <v>542</v>
      </c>
    </row>
    <row r="777" spans="2:16" s="723" customFormat="1" ht="12" customHeight="1">
      <c r="B777" s="722"/>
      <c r="F777" s="743"/>
      <c r="G777" s="744"/>
      <c r="H777" s="745"/>
      <c r="N777" s="737" t="s">
        <v>1230</v>
      </c>
      <c r="O777" s="737" t="s">
        <v>2620</v>
      </c>
      <c r="P777" s="728" t="s">
        <v>543</v>
      </c>
    </row>
    <row r="778" spans="2:16" s="723" customFormat="1" ht="12" customHeight="1">
      <c r="B778" s="722"/>
      <c r="F778" s="743"/>
      <c r="G778" s="744"/>
      <c r="H778" s="745"/>
      <c r="N778" s="737" t="s">
        <v>1231</v>
      </c>
      <c r="O778" s="737" t="s">
        <v>1504</v>
      </c>
      <c r="P778" s="728" t="s">
        <v>544</v>
      </c>
    </row>
    <row r="779" spans="2:16" s="723" customFormat="1" ht="12" customHeight="1">
      <c r="B779" s="722"/>
      <c r="F779" s="743"/>
      <c r="G779" s="744"/>
      <c r="H779" s="745"/>
      <c r="N779" s="728"/>
      <c r="O779" s="728"/>
    </row>
    <row r="780" spans="2:16" s="723" customFormat="1" ht="12" customHeight="1">
      <c r="B780" s="722"/>
      <c r="F780" s="743"/>
      <c r="G780" s="744"/>
      <c r="H780" s="745"/>
      <c r="N780" s="746"/>
      <c r="O780" s="737" t="s">
        <v>98</v>
      </c>
    </row>
    <row r="781" spans="2:16" s="723" customFormat="1" ht="12" customHeight="1">
      <c r="B781" s="722"/>
      <c r="F781" s="743"/>
      <c r="G781" s="744"/>
      <c r="H781" s="745"/>
      <c r="N781" s="737" t="s">
        <v>3290</v>
      </c>
      <c r="O781" s="728"/>
    </row>
    <row r="782" spans="2:16" s="723" customFormat="1" ht="12" customHeight="1">
      <c r="B782" s="722"/>
      <c r="F782" s="743"/>
      <c r="G782" s="744"/>
      <c r="H782" s="745"/>
    </row>
    <row r="783" spans="2:16" s="723" customFormat="1" ht="12" customHeight="1">
      <c r="B783" s="722"/>
      <c r="F783" s="743"/>
      <c r="G783" s="744"/>
      <c r="H783" s="745"/>
    </row>
    <row r="784" spans="2:16" s="723" customFormat="1" ht="12" customHeight="1">
      <c r="B784" s="722"/>
      <c r="F784" s="743"/>
      <c r="G784" s="744"/>
      <c r="H784" s="745"/>
    </row>
    <row r="785" spans="2:8" s="723" customFormat="1" ht="12" customHeight="1">
      <c r="B785" s="722"/>
      <c r="F785" s="743"/>
      <c r="G785" s="744"/>
      <c r="H785" s="745"/>
    </row>
    <row r="786" spans="2:8" s="723" customFormat="1" ht="12" customHeight="1">
      <c r="B786" s="722"/>
      <c r="F786" s="743"/>
      <c r="G786" s="744"/>
      <c r="H786" s="745"/>
    </row>
    <row r="787" spans="2:8" s="723" customFormat="1" ht="12" customHeight="1">
      <c r="B787" s="722"/>
      <c r="F787" s="743"/>
      <c r="G787" s="744"/>
      <c r="H787" s="745"/>
    </row>
    <row r="788" spans="2:8" s="723" customFormat="1" ht="12" customHeight="1">
      <c r="B788" s="722"/>
      <c r="F788" s="743"/>
      <c r="G788" s="744"/>
      <c r="H788" s="745"/>
    </row>
    <row r="789" spans="2:8" s="723" customFormat="1" ht="12" customHeight="1">
      <c r="B789" s="722"/>
      <c r="F789" s="743"/>
    </row>
    <row r="790" spans="2:8" s="723" customFormat="1" ht="12" customHeight="1">
      <c r="B790" s="722"/>
    </row>
    <row r="791" spans="2:8" s="723" customFormat="1" ht="12" customHeight="1">
      <c r="B791" s="722"/>
    </row>
    <row r="792" spans="2:8" s="723" customFormat="1" ht="12" customHeight="1">
      <c r="B792" s="722"/>
    </row>
    <row r="793" spans="2:8" s="723" customFormat="1" ht="12" customHeight="1">
      <c r="B793" s="722"/>
    </row>
    <row r="794" spans="2:8" s="723" customFormat="1" ht="12" customHeight="1">
      <c r="B794" s="722"/>
    </row>
    <row r="795" spans="2:8" s="723" customFormat="1" ht="12" customHeight="1">
      <c r="B795" s="722"/>
    </row>
    <row r="796" spans="2:8" s="723" customFormat="1" ht="12" customHeight="1">
      <c r="B796" s="722"/>
    </row>
    <row r="797" spans="2:8" s="723" customFormat="1" ht="12" customHeight="1">
      <c r="B797" s="722"/>
    </row>
    <row r="798" spans="2:8" s="723" customFormat="1" ht="12" customHeight="1">
      <c r="B798" s="722"/>
    </row>
    <row r="799" spans="2:8" s="723" customFormat="1" ht="12" customHeight="1">
      <c r="B799" s="722"/>
    </row>
    <row r="800" spans="2:8" s="723" customFormat="1" ht="12" customHeight="1">
      <c r="B800" s="722"/>
    </row>
    <row r="801" spans="2:2" s="723" customFormat="1" ht="12" customHeight="1">
      <c r="B801" s="722"/>
    </row>
    <row r="802" spans="2:2" s="723" customFormat="1" ht="12" customHeight="1">
      <c r="B802" s="722"/>
    </row>
    <row r="803" spans="2:2" s="723" customFormat="1" ht="12" customHeight="1">
      <c r="B803" s="722"/>
    </row>
    <row r="804" spans="2:2" s="723" customFormat="1" ht="12" customHeight="1">
      <c r="B804" s="722"/>
    </row>
    <row r="805" spans="2:2" s="723" customFormat="1" ht="12" customHeight="1">
      <c r="B805" s="722"/>
    </row>
    <row r="806" spans="2:2" s="723" customFormat="1" ht="12" customHeight="1">
      <c r="B806" s="722"/>
    </row>
    <row r="807" spans="2:2" s="723" customFormat="1" ht="12" customHeight="1">
      <c r="B807" s="722"/>
    </row>
    <row r="808" spans="2:2" s="723" customFormat="1" ht="12" customHeight="1">
      <c r="B808" s="722"/>
    </row>
    <row r="809" spans="2:2" s="723" customFormat="1" ht="12" customHeight="1">
      <c r="B809" s="722"/>
    </row>
    <row r="810" spans="2:2" s="723" customFormat="1" ht="12" customHeight="1">
      <c r="B810" s="722"/>
    </row>
    <row r="811" spans="2:2" s="723" customFormat="1" ht="12" customHeight="1">
      <c r="B811" s="722"/>
    </row>
    <row r="812" spans="2:2" s="723" customFormat="1" ht="12" customHeight="1">
      <c r="B812" s="722"/>
    </row>
    <row r="813" spans="2:2" s="723" customFormat="1" ht="12" customHeight="1">
      <c r="B813" s="722"/>
    </row>
    <row r="814" spans="2:2" s="723" customFormat="1" ht="12" customHeight="1">
      <c r="B814" s="722"/>
    </row>
    <row r="815" spans="2:2" s="723" customFormat="1" ht="12" customHeight="1">
      <c r="B815" s="722"/>
    </row>
    <row r="816" spans="2:2" s="723" customFormat="1" ht="12" customHeight="1">
      <c r="B816" s="722"/>
    </row>
    <row r="817" spans="2:2" s="723" customFormat="1" ht="12" customHeight="1">
      <c r="B817" s="722"/>
    </row>
    <row r="818" spans="2:2" s="723" customFormat="1" ht="12" customHeight="1">
      <c r="B818" s="722"/>
    </row>
    <row r="819" spans="2:2" s="723" customFormat="1" ht="12" customHeight="1">
      <c r="B819" s="722"/>
    </row>
    <row r="820" spans="2:2" s="723" customFormat="1" ht="12" customHeight="1">
      <c r="B820" s="722"/>
    </row>
    <row r="821" spans="2:2" s="723" customFormat="1" ht="12" customHeight="1">
      <c r="B821" s="722"/>
    </row>
    <row r="822" spans="2:2" s="723" customFormat="1" ht="12" customHeight="1">
      <c r="B822" s="722"/>
    </row>
    <row r="823" spans="2:2" s="723" customFormat="1" ht="12" customHeight="1">
      <c r="B823" s="722"/>
    </row>
    <row r="824" spans="2:2" s="723" customFormat="1" ht="12" customHeight="1">
      <c r="B824" s="722"/>
    </row>
    <row r="825" spans="2:2" s="723" customFormat="1" ht="12" customHeight="1">
      <c r="B825" s="722"/>
    </row>
    <row r="826" spans="2:2" s="723" customFormat="1" ht="12" customHeight="1">
      <c r="B826" s="722"/>
    </row>
    <row r="827" spans="2:2" s="723" customFormat="1" ht="12" customHeight="1">
      <c r="B827" s="722"/>
    </row>
    <row r="828" spans="2:2" s="723" customFormat="1" ht="12" customHeight="1">
      <c r="B828" s="722"/>
    </row>
    <row r="829" spans="2:2" s="723" customFormat="1" ht="12" customHeight="1">
      <c r="B829" s="722"/>
    </row>
    <row r="830" spans="2:2" s="723" customFormat="1" ht="12" customHeight="1">
      <c r="B830" s="722"/>
    </row>
    <row r="831" spans="2:2" s="723" customFormat="1" ht="12" customHeight="1">
      <c r="B831" s="722"/>
    </row>
    <row r="832" spans="2:2" s="723" customFormat="1" ht="12" customHeight="1">
      <c r="B832" s="722"/>
    </row>
    <row r="833" spans="2:27" s="723" customFormat="1" ht="12" customHeight="1">
      <c r="B833" s="722"/>
    </row>
    <row r="834" spans="2:27" s="723" customFormat="1" ht="12" customHeight="1">
      <c r="B834" s="722"/>
    </row>
    <row r="835" spans="2:27" s="723" customFormat="1" ht="12" customHeight="1">
      <c r="B835" s="722"/>
    </row>
    <row r="836" spans="2:27" s="723" customFormat="1" ht="12" customHeight="1">
      <c r="B836" s="722"/>
    </row>
    <row r="837" spans="2:27" ht="12" customHeight="1">
      <c r="Z837" s="516"/>
      <c r="AA837" s="516"/>
    </row>
    <row r="838" spans="2:27" ht="12" customHeight="1">
      <c r="Z838" s="516"/>
      <c r="AA838" s="516"/>
    </row>
    <row r="839" spans="2:27" ht="12" customHeight="1">
      <c r="Z839" s="516"/>
      <c r="AA839" s="516"/>
    </row>
    <row r="840" spans="2:27" ht="12" customHeight="1">
      <c r="Z840" s="516"/>
      <c r="AA840" s="516"/>
    </row>
  </sheetData>
  <sheetProtection password="BD88" sheet="1" objects="1" scenarios="1" formatColumns="0" formatRows="0"/>
  <sortState ref="C181:H340">
    <sortCondition ref="C181:C340"/>
    <sortCondition ref="E181:E340"/>
  </sortState>
  <mergeCells count="148">
    <mergeCell ref="C115:E115"/>
    <mergeCell ref="F115:I115"/>
    <mergeCell ref="F116:I116"/>
    <mergeCell ref="M114:P114"/>
    <mergeCell ref="M113:P113"/>
    <mergeCell ref="N34:P34"/>
    <mergeCell ref="F36:K36"/>
    <mergeCell ref="M146:O146"/>
    <mergeCell ref="C117:E117"/>
    <mergeCell ref="F117:I117"/>
    <mergeCell ref="J117:L117"/>
    <mergeCell ref="C116:E116"/>
    <mergeCell ref="M142:O142"/>
    <mergeCell ref="M106:P106"/>
    <mergeCell ref="F106:I106"/>
    <mergeCell ref="J106:L106"/>
    <mergeCell ref="J146:K146"/>
    <mergeCell ref="M117:P117"/>
    <mergeCell ref="F104:I104"/>
    <mergeCell ref="M115:P115"/>
    <mergeCell ref="E140:K140"/>
    <mergeCell ref="E139:K139"/>
    <mergeCell ref="M140:P140"/>
    <mergeCell ref="M104:P104"/>
    <mergeCell ref="M107:P107"/>
    <mergeCell ref="C114:E114"/>
    <mergeCell ref="F108:I108"/>
    <mergeCell ref="H32:I32"/>
    <mergeCell ref="C107:E107"/>
    <mergeCell ref="O24:P24"/>
    <mergeCell ref="C110:P111"/>
    <mergeCell ref="M108:P108"/>
    <mergeCell ref="J28:L28"/>
    <mergeCell ref="M89:N89"/>
    <mergeCell ref="N65:P65"/>
    <mergeCell ref="O88:P88"/>
    <mergeCell ref="M88:N88"/>
    <mergeCell ref="E92:G92"/>
    <mergeCell ref="H75:J75"/>
    <mergeCell ref="K69:L69"/>
    <mergeCell ref="K71:L71"/>
    <mergeCell ref="N36:P36"/>
    <mergeCell ref="K67:L67"/>
    <mergeCell ref="F35:H35"/>
    <mergeCell ref="N37:O37"/>
    <mergeCell ref="J108:L108"/>
    <mergeCell ref="C108:E108"/>
    <mergeCell ref="E91:G91"/>
    <mergeCell ref="F9:H9"/>
    <mergeCell ref="Q167:U168"/>
    <mergeCell ref="O3:P3"/>
    <mergeCell ref="M139:P139"/>
    <mergeCell ref="E141:H141"/>
    <mergeCell ref="C104:E104"/>
    <mergeCell ref="L152:M152"/>
    <mergeCell ref="O158:P158"/>
    <mergeCell ref="J115:L115"/>
    <mergeCell ref="M105:P105"/>
    <mergeCell ref="F105:I105"/>
    <mergeCell ref="E142:G142"/>
    <mergeCell ref="M144:O144"/>
    <mergeCell ref="J144:K144"/>
    <mergeCell ref="J105:L105"/>
    <mergeCell ref="L92:M92"/>
    <mergeCell ref="M91:P91"/>
    <mergeCell ref="O92:P92"/>
    <mergeCell ref="I48:I49"/>
    <mergeCell ref="N157:O157"/>
    <mergeCell ref="C105:E105"/>
    <mergeCell ref="F107:I107"/>
    <mergeCell ref="C106:E106"/>
    <mergeCell ref="J107:L107"/>
    <mergeCell ref="A1:P1"/>
    <mergeCell ref="O17:P17"/>
    <mergeCell ref="H30:I30"/>
    <mergeCell ref="O4:P4"/>
    <mergeCell ref="F23:L23"/>
    <mergeCell ref="F24:L24"/>
    <mergeCell ref="J26:K26"/>
    <mergeCell ref="O16:P16"/>
    <mergeCell ref="O26:P26"/>
    <mergeCell ref="C27:D27"/>
    <mergeCell ref="F26:H26"/>
    <mergeCell ref="L18:P18"/>
    <mergeCell ref="J27:K27"/>
    <mergeCell ref="F30:G30"/>
    <mergeCell ref="F18:H18"/>
    <mergeCell ref="J30:K30"/>
    <mergeCell ref="J6:K6"/>
    <mergeCell ref="O9:P9"/>
    <mergeCell ref="O10:P10"/>
    <mergeCell ref="O23:P23"/>
    <mergeCell ref="J7:K7"/>
    <mergeCell ref="O25:P25"/>
    <mergeCell ref="F16:H16"/>
    <mergeCell ref="J17:K17"/>
    <mergeCell ref="J716:M716"/>
    <mergeCell ref="H164:I164"/>
    <mergeCell ref="H162:I162"/>
    <mergeCell ref="H163:I163"/>
    <mergeCell ref="A167:J167"/>
    <mergeCell ref="K167:P167"/>
    <mergeCell ref="C113:E113"/>
    <mergeCell ref="F113:I113"/>
    <mergeCell ref="L150:M150"/>
    <mergeCell ref="C150:F150"/>
    <mergeCell ref="O125:P125"/>
    <mergeCell ref="M141:O141"/>
    <mergeCell ref="M116:P116"/>
    <mergeCell ref="H126:I126"/>
    <mergeCell ref="J141:K141"/>
    <mergeCell ref="H123:I123"/>
    <mergeCell ref="I142:K142"/>
    <mergeCell ref="J114:L114"/>
    <mergeCell ref="F114:I114"/>
    <mergeCell ref="J116:L116"/>
    <mergeCell ref="J113:L113"/>
    <mergeCell ref="O124:P124"/>
    <mergeCell ref="L151:M151"/>
    <mergeCell ref="O159:P159"/>
    <mergeCell ref="J104:L104"/>
    <mergeCell ref="J32:K32"/>
    <mergeCell ref="E88:L88"/>
    <mergeCell ref="E90:G90"/>
    <mergeCell ref="H65:I65"/>
    <mergeCell ref="I37:K37"/>
    <mergeCell ref="K65:L65"/>
    <mergeCell ref="J35:L35"/>
    <mergeCell ref="I92:J92"/>
    <mergeCell ref="I91:K91"/>
    <mergeCell ref="K90:L90"/>
    <mergeCell ref="O89:P89"/>
    <mergeCell ref="N35:P35"/>
    <mergeCell ref="E89:L89"/>
    <mergeCell ref="F34:K34"/>
    <mergeCell ref="F14:L14"/>
    <mergeCell ref="F15:L15"/>
    <mergeCell ref="N14:P14"/>
    <mergeCell ref="F25:L25"/>
    <mergeCell ref="H31:I31"/>
    <mergeCell ref="O27:P27"/>
    <mergeCell ref="F31:G31"/>
    <mergeCell ref="N31:P31"/>
    <mergeCell ref="N32:O32"/>
    <mergeCell ref="F32:G32"/>
    <mergeCell ref="F37:G37"/>
    <mergeCell ref="O15:P15"/>
    <mergeCell ref="J31:K31"/>
  </mergeCells>
  <phoneticPr fontId="7" type="noConversion"/>
  <dataValidations count="19">
    <dataValidation type="list" allowBlank="1" showInputMessage="1" showErrorMessage="1" sqref="I150 H153 I154:I159 J81 H128 H119 H125 I146 D136 K136 I144 H131 O131 H83 D38 F27 H81 M81 P154:P157 I148">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2:G142 M141:O142 I142:K142">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1:K141 F37:G37 J26:K26 J17:K17 K90:L90">
      <formula1>1000000</formula1>
      <formula2>999999999</formula2>
    </dataValidation>
    <dataValidation type="list" showInputMessage="1" showErrorMessage="1" sqref="H121 O24 F28 F41 P77">
      <formula1>"Yes, No"</formula1>
    </dataValidation>
    <dataValidation type="whole" showInputMessage="1" showErrorMessage="1" error="This cell is formatted for 10 digit phone numbers.  Please enter only numeric characters.  Do not enter hyphens, parentheses, periods, or spaces." sqref="E92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2:P92 O15:O17 L92 I92">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0"/>
    <dataValidation type="list" allowBlank="1" showInputMessage="1" showErrorMessage="1" sqref="E88">
      <formula1>$J$176:$J$716</formula1>
    </dataValidation>
    <dataValidation type="list" allowBlank="1" showInputMessage="1" showErrorMessage="1" sqref="N78 N75:N76 N72 N66 N56 S48">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whole" operator="greaterThanOrEqual" showInputMessage="1" showErrorMessage="1" error="Please enter a whole number or leave this cell empty." sqref="F45 F31:H32 L29:P29 I31:K33 K42 M42:P42">
      <formula1>0</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7:K37"/>
    <dataValidation type="list" showInputMessage="1" showErrorMessage="1" sqref="O23:P23">
      <formula1>"Yes - no Master Plan, Yes- w/Master Plan, No"</formula1>
    </dataValidation>
    <dataValidation type="list" allowBlank="1" showInputMessage="1" showErrorMessage="1" sqref="F17">
      <formula1>$B$177:$B$227</formula1>
    </dataValidation>
    <dataValidation type="list" allowBlank="1" showInputMessage="1" showErrorMessage="1" sqref="F26:H26">
      <formula1>$N$177:$N$780</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s>
  <hyperlinks>
    <hyperlink ref="N31" r:id="rId1"/>
    <hyperlink ref="N32" r:id="rId2"/>
  </hyperlinks>
  <printOptions horizontalCentered="1"/>
  <pageMargins left="0.25" right="0.25" top="0.75" bottom="0.75" header="0.5" footer="0.5"/>
  <pageSetup fitToHeight="0" orientation="landscape" r:id="rId3"/>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7" max="16383" man="1"/>
    <brk id="93" max="16383" man="1"/>
    <brk id="132"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01"/>
  <sheetViews>
    <sheetView showGridLines="0" zoomScaleNormal="100" workbookViewId="0">
      <selection activeCell="L8" sqref="L8"/>
    </sheetView>
  </sheetViews>
  <sheetFormatPr defaultColWidth="9.140625" defaultRowHeight="12" customHeight="1"/>
  <cols>
    <col min="1" max="1" width="2.7109375" style="406" customWidth="1"/>
    <col min="2" max="4" width="2.28515625" style="406" customWidth="1"/>
    <col min="5" max="5" width="14.7109375" style="406" customWidth="1"/>
    <col min="6" max="6" width="6.140625" style="406" customWidth="1"/>
    <col min="7" max="7" width="2.7109375" style="406" customWidth="1"/>
    <col min="8" max="8" width="8" style="406" customWidth="1"/>
    <col min="9" max="9" width="6.28515625" style="406" customWidth="1"/>
    <col min="10" max="10" width="8.28515625" style="406" customWidth="1"/>
    <col min="11" max="11" width="9.7109375" style="406" customWidth="1"/>
    <col min="12" max="13" width="8.85546875" style="406" customWidth="1"/>
    <col min="14" max="14" width="9.42578125" style="406" customWidth="1"/>
    <col min="15" max="15" width="9.7109375" style="406" customWidth="1"/>
    <col min="16" max="16" width="6.140625" style="406" customWidth="1"/>
    <col min="17" max="19" width="6.28515625" style="406" customWidth="1"/>
    <col min="20" max="24" width="11.5703125" style="406" customWidth="1"/>
    <col min="25" max="16384" width="9.140625" style="406"/>
  </cols>
  <sheetData>
    <row r="1" spans="1:26" s="386" customFormat="1" ht="13.9" customHeight="1">
      <c r="A1" s="845" t="str">
        <f>CONCATENATE("PART TWO - DEVELOPMENT TEAM INFORMATION","  -  ",'Part I-Project Information'!$O$4," ",'Part I-Project Information'!$F$23,", ",'Part I-Project Information'!F26,", ",'Part I-Project Information'!J27," County")</f>
        <v>PART TWO - DEVELOPMENT TEAM INFORMATION  -  2013-011 Mountain View Senior Residences, Stone Mountain, DeKalb County</v>
      </c>
      <c r="B1" s="846"/>
      <c r="C1" s="846"/>
      <c r="D1" s="846"/>
      <c r="E1" s="846"/>
      <c r="F1" s="846"/>
      <c r="G1" s="846"/>
      <c r="H1" s="846"/>
      <c r="I1" s="846"/>
      <c r="J1" s="846"/>
      <c r="K1" s="846"/>
      <c r="L1" s="846"/>
      <c r="M1" s="846"/>
      <c r="N1" s="846"/>
      <c r="O1" s="846"/>
      <c r="P1" s="846"/>
      <c r="Q1" s="846"/>
      <c r="R1" s="846"/>
      <c r="S1" s="847"/>
    </row>
    <row r="3" spans="1:26" s="386" customFormat="1" ht="13.15" customHeight="1">
      <c r="A3" s="389" t="s">
        <v>796</v>
      </c>
      <c r="B3" s="393" t="s">
        <v>2562</v>
      </c>
      <c r="C3" s="393"/>
      <c r="E3" s="393"/>
      <c r="F3" s="393"/>
      <c r="G3" s="393"/>
      <c r="H3" s="393"/>
      <c r="I3" s="393"/>
      <c r="J3" s="393"/>
      <c r="K3" s="393"/>
      <c r="L3" s="393"/>
      <c r="M3" s="393"/>
    </row>
    <row r="4" spans="1:26" s="386" customFormat="1" ht="8.4499999999999993" customHeight="1">
      <c r="A4" s="389"/>
      <c r="B4" s="389"/>
      <c r="C4" s="389"/>
      <c r="D4" s="393"/>
      <c r="E4" s="393"/>
      <c r="F4" s="393"/>
      <c r="G4" s="393"/>
      <c r="H4" s="393"/>
      <c r="I4" s="393"/>
      <c r="J4" s="393"/>
    </row>
    <row r="5" spans="1:26" s="386" customFormat="1" ht="12.6" customHeight="1">
      <c r="B5" s="389" t="s">
        <v>2694</v>
      </c>
      <c r="C5" s="393" t="s">
        <v>2558</v>
      </c>
      <c r="H5" s="1294" t="s">
        <v>4063</v>
      </c>
      <c r="I5" s="1355"/>
      <c r="J5" s="1355"/>
      <c r="K5" s="1355"/>
      <c r="L5" s="1355"/>
      <c r="M5" s="1355"/>
      <c r="N5" s="1356"/>
      <c r="O5" s="782" t="s">
        <v>2701</v>
      </c>
      <c r="P5" s="782"/>
      <c r="Q5" s="1294" t="s">
        <v>4067</v>
      </c>
      <c r="R5" s="1355"/>
      <c r="S5" s="1356"/>
    </row>
    <row r="6" spans="1:26" s="386" customFormat="1" ht="12.6" customHeight="1">
      <c r="D6" s="431"/>
      <c r="E6" s="392" t="s">
        <v>1424</v>
      </c>
      <c r="F6" s="400"/>
      <c r="H6" s="1294" t="s">
        <v>4064</v>
      </c>
      <c r="I6" s="1355"/>
      <c r="J6" s="1355"/>
      <c r="K6" s="1355"/>
      <c r="L6" s="1355"/>
      <c r="M6" s="1355"/>
      <c r="N6" s="1356"/>
      <c r="O6" s="782" t="s">
        <v>2441</v>
      </c>
      <c r="Q6" s="1294" t="s">
        <v>4096</v>
      </c>
      <c r="R6" s="1355"/>
      <c r="S6" s="1356"/>
    </row>
    <row r="7" spans="1:26" s="386" customFormat="1" ht="12.6" customHeight="1">
      <c r="D7" s="431"/>
      <c r="E7" s="392" t="s">
        <v>798</v>
      </c>
      <c r="H7" s="1294" t="s">
        <v>214</v>
      </c>
      <c r="I7" s="1355"/>
      <c r="J7" s="1356"/>
      <c r="K7" s="1384" t="s">
        <v>1068</v>
      </c>
      <c r="L7" s="1294"/>
      <c r="M7" s="1355"/>
      <c r="N7" s="1356"/>
      <c r="O7" s="782" t="s">
        <v>2499</v>
      </c>
      <c r="Q7" s="1302">
        <v>4042702558</v>
      </c>
      <c r="R7" s="1307"/>
      <c r="S7" s="1303"/>
    </row>
    <row r="8" spans="1:26" s="386" customFormat="1" ht="12.6" customHeight="1">
      <c r="D8" s="431"/>
      <c r="E8" s="392" t="s">
        <v>2495</v>
      </c>
      <c r="H8" s="1308" t="s">
        <v>1242</v>
      </c>
      <c r="I8" s="790" t="s">
        <v>1711</v>
      </c>
      <c r="J8" s="1305">
        <v>300302612</v>
      </c>
      <c r="K8" s="1356"/>
      <c r="L8" s="351" t="s">
        <v>3743</v>
      </c>
      <c r="M8" s="1385" t="s">
        <v>4065</v>
      </c>
      <c r="N8" s="1386"/>
      <c r="O8" s="782" t="s">
        <v>2690</v>
      </c>
      <c r="Q8" s="1302">
        <v>4043160631</v>
      </c>
      <c r="R8" s="1307"/>
      <c r="S8" s="1303"/>
    </row>
    <row r="9" spans="1:26" s="386" customFormat="1" ht="12.6" customHeight="1">
      <c r="D9" s="431"/>
      <c r="E9" s="392" t="s">
        <v>2696</v>
      </c>
      <c r="H9" s="1302">
        <v>4042702558</v>
      </c>
      <c r="I9" s="1303"/>
      <c r="J9" s="1387"/>
      <c r="K9" s="790" t="s">
        <v>2498</v>
      </c>
      <c r="L9" s="1341">
        <v>4042702553</v>
      </c>
      <c r="M9" s="1388"/>
      <c r="N9" s="394" t="s">
        <v>2695</v>
      </c>
      <c r="O9" s="1309" t="s">
        <v>4066</v>
      </c>
      <c r="P9" s="1310"/>
      <c r="Q9" s="1310"/>
      <c r="R9" s="1310"/>
      <c r="S9" s="1311"/>
    </row>
    <row r="10" spans="1:26" s="386" customFormat="1" ht="13.15" customHeight="1">
      <c r="D10" s="431"/>
      <c r="E10" s="377" t="s">
        <v>3742</v>
      </c>
      <c r="H10" s="425"/>
      <c r="K10" s="351" t="s">
        <v>3744</v>
      </c>
      <c r="M10" s="1357">
        <v>4</v>
      </c>
      <c r="N10" s="472" t="s">
        <v>1712</v>
      </c>
      <c r="Q10" s="790"/>
    </row>
    <row r="11" spans="1:26" s="386" customFormat="1" ht="4.1500000000000004" customHeight="1">
      <c r="D11" s="432"/>
      <c r="E11" s="392"/>
      <c r="F11" s="393"/>
      <c r="G11" s="393"/>
      <c r="H11" s="393"/>
      <c r="I11" s="393"/>
      <c r="J11" s="393"/>
      <c r="N11" s="393"/>
      <c r="O11" s="393"/>
      <c r="P11" s="393"/>
      <c r="Q11" s="393"/>
      <c r="R11" s="393"/>
      <c r="S11" s="393"/>
      <c r="T11" s="393"/>
    </row>
    <row r="12" spans="1:26" s="386" customFormat="1" ht="13.15" customHeight="1">
      <c r="B12" s="430" t="s">
        <v>2697</v>
      </c>
      <c r="C12" s="393" t="s">
        <v>2559</v>
      </c>
      <c r="F12" s="393"/>
      <c r="G12" s="393"/>
      <c r="H12" s="393"/>
      <c r="I12" s="393"/>
      <c r="J12" s="393"/>
      <c r="N12" s="777" t="s">
        <v>3914</v>
      </c>
      <c r="P12" s="1389" t="s">
        <v>1710</v>
      </c>
      <c r="W12" s="1389"/>
      <c r="X12" s="1389"/>
      <c r="Y12" s="1389"/>
      <c r="Z12" s="1389"/>
    </row>
    <row r="13" spans="1:26" s="386" customFormat="1" ht="4.1500000000000004" customHeight="1">
      <c r="D13" s="432"/>
      <c r="E13" s="392"/>
      <c r="F13" s="393"/>
      <c r="G13" s="393"/>
      <c r="H13" s="393"/>
      <c r="I13" s="393"/>
      <c r="J13" s="393"/>
      <c r="N13" s="443"/>
      <c r="P13" s="440"/>
      <c r="W13" s="440"/>
      <c r="X13" s="440"/>
      <c r="Y13" s="351"/>
      <c r="Z13" s="351"/>
    </row>
    <row r="14" spans="1:26" s="386" customFormat="1" ht="13.15" customHeight="1">
      <c r="C14" s="433" t="s">
        <v>2698</v>
      </c>
      <c r="D14" s="430" t="s">
        <v>2699</v>
      </c>
      <c r="H14" s="787"/>
      <c r="I14" s="787"/>
      <c r="J14" s="787"/>
      <c r="N14" s="777" t="s">
        <v>3953</v>
      </c>
      <c r="P14" s="763" t="s">
        <v>3952</v>
      </c>
      <c r="W14" s="1390"/>
      <c r="X14" s="1390"/>
      <c r="Y14" s="1390"/>
      <c r="Z14" s="1390"/>
    </row>
    <row r="15" spans="1:26" s="386" customFormat="1" ht="4.1500000000000004" customHeight="1">
      <c r="D15" s="433"/>
      <c r="E15" s="434"/>
      <c r="H15" s="1391"/>
      <c r="I15" s="1391"/>
      <c r="J15" s="1391"/>
      <c r="K15" s="783"/>
      <c r="L15" s="1391"/>
      <c r="M15" s="1391"/>
      <c r="N15" s="783"/>
      <c r="O15" s="1392"/>
      <c r="P15" s="1392"/>
      <c r="Q15" s="790"/>
      <c r="R15" s="1392"/>
      <c r="S15" s="1392"/>
    </row>
    <row r="16" spans="1:26" s="386" customFormat="1" ht="12.6" customHeight="1">
      <c r="D16" s="389" t="s">
        <v>2831</v>
      </c>
      <c r="E16" s="386" t="s">
        <v>2560</v>
      </c>
      <c r="H16" s="1294" t="s">
        <v>4068</v>
      </c>
      <c r="I16" s="1355"/>
      <c r="J16" s="1355"/>
      <c r="K16" s="1355"/>
      <c r="L16" s="1355"/>
      <c r="M16" s="1355"/>
      <c r="N16" s="1356"/>
      <c r="O16" s="782" t="s">
        <v>2701</v>
      </c>
      <c r="P16" s="782"/>
      <c r="Q16" s="1294" t="s">
        <v>4067</v>
      </c>
      <c r="R16" s="1355"/>
      <c r="S16" s="1356"/>
    </row>
    <row r="17" spans="4:19" s="386" customFormat="1" ht="12.6" customHeight="1">
      <c r="D17" s="431"/>
      <c r="E17" s="392" t="s">
        <v>1424</v>
      </c>
      <c r="F17" s="400"/>
      <c r="H17" s="1294" t="s">
        <v>4064</v>
      </c>
      <c r="I17" s="1355"/>
      <c r="J17" s="1355"/>
      <c r="K17" s="1355"/>
      <c r="L17" s="1355"/>
      <c r="M17" s="1355"/>
      <c r="N17" s="1356"/>
      <c r="O17" s="782" t="s">
        <v>2441</v>
      </c>
      <c r="Q17" s="1294" t="s">
        <v>4096</v>
      </c>
      <c r="R17" s="1355"/>
      <c r="S17" s="1356"/>
    </row>
    <row r="18" spans="4:19" s="386" customFormat="1" ht="12.6" customHeight="1">
      <c r="D18" s="431"/>
      <c r="E18" s="392" t="s">
        <v>798</v>
      </c>
      <c r="H18" s="1294" t="s">
        <v>214</v>
      </c>
      <c r="I18" s="1355"/>
      <c r="J18" s="1356"/>
      <c r="O18" s="782" t="s">
        <v>2499</v>
      </c>
      <c r="Q18" s="1302">
        <v>4042702558</v>
      </c>
      <c r="R18" s="1307"/>
      <c r="S18" s="1303"/>
    </row>
    <row r="19" spans="4:19" s="386" customFormat="1" ht="12.6" customHeight="1">
      <c r="D19" s="389"/>
      <c r="E19" s="392" t="s">
        <v>2495</v>
      </c>
      <c r="H19" s="1308" t="s">
        <v>1242</v>
      </c>
      <c r="I19" s="790" t="s">
        <v>1711</v>
      </c>
      <c r="J19" s="1305">
        <v>300302612</v>
      </c>
      <c r="K19" s="1356"/>
      <c r="L19" s="351" t="s">
        <v>1713</v>
      </c>
      <c r="N19" s="1357">
        <v>4</v>
      </c>
      <c r="O19" s="782" t="s">
        <v>2690</v>
      </c>
      <c r="Q19" s="1302">
        <v>4043160631</v>
      </c>
      <c r="R19" s="1307"/>
      <c r="S19" s="1303"/>
    </row>
    <row r="20" spans="4:19" s="386" customFormat="1" ht="12.6" customHeight="1">
      <c r="D20" s="431"/>
      <c r="E20" s="392" t="s">
        <v>2696</v>
      </c>
      <c r="H20" s="1302">
        <v>4042702558</v>
      </c>
      <c r="I20" s="1303"/>
      <c r="J20" s="1387"/>
      <c r="K20" s="790" t="s">
        <v>2498</v>
      </c>
      <c r="L20" s="1341">
        <v>4042702553</v>
      </c>
      <c r="M20" s="1356"/>
      <c r="N20" s="394" t="s">
        <v>2695</v>
      </c>
      <c r="O20" s="1309" t="s">
        <v>4066</v>
      </c>
      <c r="P20" s="1310"/>
      <c r="Q20" s="1310"/>
      <c r="R20" s="1310"/>
      <c r="S20" s="1311"/>
    </row>
    <row r="21" spans="4:19" ht="4.1500000000000004" customHeight="1">
      <c r="D21" s="415"/>
      <c r="H21" s="1393"/>
      <c r="I21" s="1393"/>
      <c r="J21" s="1393"/>
      <c r="K21" s="790"/>
      <c r="L21" s="1393"/>
      <c r="M21" s="1393"/>
      <c r="N21" s="783"/>
      <c r="O21" s="1392"/>
      <c r="P21" s="1392"/>
      <c r="Q21" s="790"/>
      <c r="R21" s="1392"/>
      <c r="S21" s="1392"/>
    </row>
    <row r="22" spans="4:19" s="386" customFormat="1" ht="12.6" customHeight="1">
      <c r="D22" s="389" t="s">
        <v>2832</v>
      </c>
      <c r="E22" s="386" t="s">
        <v>2561</v>
      </c>
      <c r="F22" s="787"/>
      <c r="H22" s="1294" t="s">
        <v>4170</v>
      </c>
      <c r="I22" s="1355"/>
      <c r="J22" s="1355"/>
      <c r="K22" s="1355"/>
      <c r="L22" s="1355"/>
      <c r="M22" s="1355"/>
      <c r="N22" s="1356"/>
      <c r="O22" s="782" t="s">
        <v>2701</v>
      </c>
      <c r="P22" s="782"/>
      <c r="Q22" s="1294" t="s">
        <v>4146</v>
      </c>
      <c r="R22" s="1355"/>
      <c r="S22" s="1356"/>
    </row>
    <row r="23" spans="4:19" s="386" customFormat="1" ht="12.6" customHeight="1">
      <c r="D23" s="431"/>
      <c r="E23" s="392" t="s">
        <v>1424</v>
      </c>
      <c r="F23" s="400"/>
      <c r="H23" s="1294" t="s">
        <v>4147</v>
      </c>
      <c r="I23" s="1355"/>
      <c r="J23" s="1355"/>
      <c r="K23" s="1355"/>
      <c r="L23" s="1355"/>
      <c r="M23" s="1355"/>
      <c r="N23" s="1356"/>
      <c r="O23" s="782" t="s">
        <v>2441</v>
      </c>
      <c r="Q23" s="1294" t="s">
        <v>4153</v>
      </c>
      <c r="R23" s="1355"/>
      <c r="S23" s="1356"/>
    </row>
    <row r="24" spans="4:19" s="386" customFormat="1" ht="12.6" customHeight="1">
      <c r="D24" s="431"/>
      <c r="E24" s="392" t="s">
        <v>798</v>
      </c>
      <c r="H24" s="1294" t="s">
        <v>906</v>
      </c>
      <c r="I24" s="1355"/>
      <c r="J24" s="1356"/>
      <c r="O24" s="782" t="s">
        <v>2499</v>
      </c>
      <c r="Q24" s="1302">
        <v>7706707007</v>
      </c>
      <c r="R24" s="1307"/>
      <c r="S24" s="1303"/>
    </row>
    <row r="25" spans="4:19" s="386" customFormat="1" ht="12.6" customHeight="1">
      <c r="E25" s="392" t="s">
        <v>2495</v>
      </c>
      <c r="H25" s="1308" t="s">
        <v>1242</v>
      </c>
      <c r="I25" s="417" t="s">
        <v>2953</v>
      </c>
      <c r="J25" s="1305">
        <v>300960000</v>
      </c>
      <c r="K25" s="1356"/>
      <c r="O25" s="782" t="s">
        <v>2690</v>
      </c>
      <c r="Q25" s="1302">
        <v>4044065219</v>
      </c>
      <c r="R25" s="1307"/>
      <c r="S25" s="1303"/>
    </row>
    <row r="26" spans="4:19" s="386" customFormat="1" ht="12.6" customHeight="1">
      <c r="D26" s="431"/>
      <c r="E26" s="392" t="s">
        <v>2696</v>
      </c>
      <c r="H26" s="1302">
        <v>7706707007</v>
      </c>
      <c r="I26" s="1303"/>
      <c r="J26" s="1387"/>
      <c r="K26" s="790" t="s">
        <v>2498</v>
      </c>
      <c r="L26" s="1341">
        <v>7706707006</v>
      </c>
      <c r="M26" s="1356"/>
      <c r="N26" s="394" t="s">
        <v>2695</v>
      </c>
      <c r="O26" s="1309" t="s">
        <v>4148</v>
      </c>
      <c r="P26" s="1310"/>
      <c r="Q26" s="1310"/>
      <c r="R26" s="1310"/>
      <c r="S26" s="1311"/>
    </row>
    <row r="27" spans="4:19" s="386" customFormat="1" ht="4.1500000000000004" customHeight="1">
      <c r="D27" s="431"/>
      <c r="E27" s="787"/>
      <c r="F27" s="787"/>
      <c r="G27" s="782"/>
      <c r="H27" s="1393"/>
      <c r="I27" s="1393"/>
      <c r="J27" s="1393"/>
      <c r="K27" s="790"/>
      <c r="L27" s="1393"/>
      <c r="M27" s="1393"/>
      <c r="N27" s="783"/>
      <c r="O27" s="1392"/>
      <c r="P27" s="1392"/>
      <c r="Q27" s="790"/>
      <c r="R27" s="1392"/>
      <c r="S27" s="1392"/>
    </row>
    <row r="28" spans="4:19" s="386" customFormat="1" ht="12.6" customHeight="1">
      <c r="D28" s="389" t="s">
        <v>2427</v>
      </c>
      <c r="E28" s="386" t="s">
        <v>2561</v>
      </c>
      <c r="F28" s="787"/>
      <c r="H28" s="1294"/>
      <c r="I28" s="1355"/>
      <c r="J28" s="1355"/>
      <c r="K28" s="1355"/>
      <c r="L28" s="1355"/>
      <c r="M28" s="1355"/>
      <c r="N28" s="1356"/>
      <c r="O28" s="782" t="s">
        <v>2701</v>
      </c>
      <c r="P28" s="782"/>
      <c r="Q28" s="1294"/>
      <c r="R28" s="1355"/>
      <c r="S28" s="1356"/>
    </row>
    <row r="29" spans="4:19" s="386" customFormat="1" ht="12.6" customHeight="1">
      <c r="D29" s="431"/>
      <c r="E29" s="392" t="s">
        <v>1424</v>
      </c>
      <c r="F29" s="400"/>
      <c r="H29" s="1294"/>
      <c r="I29" s="1355"/>
      <c r="J29" s="1355"/>
      <c r="K29" s="1355"/>
      <c r="L29" s="1355"/>
      <c r="M29" s="1355"/>
      <c r="N29" s="1356"/>
      <c r="O29" s="782" t="s">
        <v>2441</v>
      </c>
      <c r="Q29" s="1294"/>
      <c r="R29" s="1355"/>
      <c r="S29" s="1356"/>
    </row>
    <row r="30" spans="4:19" s="386" customFormat="1" ht="12.6" customHeight="1">
      <c r="D30" s="431"/>
      <c r="E30" s="392" t="s">
        <v>798</v>
      </c>
      <c r="H30" s="1294"/>
      <c r="I30" s="1355"/>
      <c r="J30" s="1356"/>
      <c r="O30" s="782" t="s">
        <v>2499</v>
      </c>
      <c r="Q30" s="1302"/>
      <c r="R30" s="1307"/>
      <c r="S30" s="1303"/>
    </row>
    <row r="31" spans="4:19" s="386" customFormat="1" ht="12.6" customHeight="1">
      <c r="E31" s="392" t="s">
        <v>2495</v>
      </c>
      <c r="H31" s="1308"/>
      <c r="I31" s="417" t="s">
        <v>2953</v>
      </c>
      <c r="J31" s="1305"/>
      <c r="K31" s="1356"/>
      <c r="O31" s="782" t="s">
        <v>2690</v>
      </c>
      <c r="Q31" s="1302"/>
      <c r="R31" s="1307"/>
      <c r="S31" s="1303"/>
    </row>
    <row r="32" spans="4:19" s="386" customFormat="1" ht="12.6" customHeight="1">
      <c r="D32" s="431"/>
      <c r="E32" s="392" t="s">
        <v>2696</v>
      </c>
      <c r="H32" s="1302"/>
      <c r="I32" s="1303"/>
      <c r="J32" s="1387"/>
      <c r="K32" s="790" t="s">
        <v>2498</v>
      </c>
      <c r="L32" s="1341"/>
      <c r="M32" s="1356"/>
      <c r="N32" s="394" t="s">
        <v>2695</v>
      </c>
      <c r="O32" s="1309"/>
      <c r="P32" s="1310"/>
      <c r="Q32" s="1310"/>
      <c r="R32" s="1310"/>
      <c r="S32" s="1311"/>
    </row>
    <row r="33" spans="3:19" ht="4.1500000000000004" customHeight="1"/>
    <row r="34" spans="3:19" s="386" customFormat="1" ht="13.15" customHeight="1">
      <c r="C34" s="433" t="s">
        <v>2700</v>
      </c>
      <c r="D34" s="430" t="s">
        <v>2563</v>
      </c>
      <c r="H34" s="787"/>
      <c r="I34" s="787"/>
      <c r="J34" s="787"/>
      <c r="K34" s="787"/>
      <c r="L34" s="787"/>
      <c r="M34" s="787"/>
    </row>
    <row r="35" spans="3:19" s="386" customFormat="1" ht="4.1500000000000004" customHeight="1">
      <c r="C35" s="435"/>
      <c r="D35" s="430"/>
      <c r="H35" s="1391"/>
      <c r="I35" s="1391"/>
      <c r="J35" s="1391"/>
      <c r="K35" s="783"/>
      <c r="L35" s="1391"/>
      <c r="M35" s="1391"/>
      <c r="N35" s="783"/>
      <c r="O35" s="1392"/>
      <c r="P35" s="1392"/>
      <c r="Q35" s="790"/>
      <c r="R35" s="1392"/>
      <c r="S35" s="1392"/>
    </row>
    <row r="36" spans="3:19" s="386" customFormat="1" ht="12.6" customHeight="1">
      <c r="D36" s="389" t="s">
        <v>2831</v>
      </c>
      <c r="E36" s="386" t="s">
        <v>1055</v>
      </c>
      <c r="H36" s="1294" t="s">
        <v>4166</v>
      </c>
      <c r="I36" s="1355"/>
      <c r="J36" s="1355"/>
      <c r="K36" s="1355"/>
      <c r="L36" s="1355"/>
      <c r="M36" s="1355"/>
      <c r="N36" s="1356"/>
      <c r="O36" s="782" t="s">
        <v>2701</v>
      </c>
      <c r="P36" s="782"/>
      <c r="Q36" s="1294" t="s">
        <v>4171</v>
      </c>
      <c r="R36" s="1355"/>
      <c r="S36" s="1356"/>
    </row>
    <row r="37" spans="3:19" s="386" customFormat="1" ht="12.6" customHeight="1">
      <c r="D37" s="431"/>
      <c r="E37" s="392" t="s">
        <v>1424</v>
      </c>
      <c r="F37" s="400"/>
      <c r="H37" s="1294" t="s">
        <v>4173</v>
      </c>
      <c r="I37" s="1355"/>
      <c r="J37" s="1355"/>
      <c r="K37" s="1355"/>
      <c r="L37" s="1355"/>
      <c r="M37" s="1355"/>
      <c r="N37" s="1356"/>
      <c r="O37" s="782" t="s">
        <v>2441</v>
      </c>
      <c r="Q37" s="1294" t="s">
        <v>4096</v>
      </c>
      <c r="R37" s="1355"/>
      <c r="S37" s="1356"/>
    </row>
    <row r="38" spans="3:19" s="386" customFormat="1" ht="12.6" customHeight="1">
      <c r="D38" s="431"/>
      <c r="E38" s="392" t="s">
        <v>798</v>
      </c>
      <c r="H38" s="1294" t="s">
        <v>4174</v>
      </c>
      <c r="I38" s="1355"/>
      <c r="J38" s="1356"/>
      <c r="O38" s="782" t="s">
        <v>2499</v>
      </c>
      <c r="Q38" s="1302">
        <v>7704870555</v>
      </c>
      <c r="R38" s="1307"/>
      <c r="S38" s="1303"/>
    </row>
    <row r="39" spans="3:19" s="386" customFormat="1" ht="12.6" customHeight="1">
      <c r="E39" s="392" t="s">
        <v>2495</v>
      </c>
      <c r="H39" s="1308" t="s">
        <v>1242</v>
      </c>
      <c r="I39" s="417" t="s">
        <v>2953</v>
      </c>
      <c r="J39" s="1305">
        <v>302691080</v>
      </c>
      <c r="K39" s="1356"/>
      <c r="O39" s="782" t="s">
        <v>2690</v>
      </c>
      <c r="Q39" s="1302">
        <v>7702855165</v>
      </c>
      <c r="R39" s="1307"/>
      <c r="S39" s="1303"/>
    </row>
    <row r="40" spans="3:19" s="386" customFormat="1" ht="12.6" customHeight="1">
      <c r="D40" s="431"/>
      <c r="E40" s="392" t="s">
        <v>2696</v>
      </c>
      <c r="H40" s="1302">
        <v>7704870555</v>
      </c>
      <c r="I40" s="1303"/>
      <c r="J40" s="1387"/>
      <c r="K40" s="790" t="s">
        <v>2498</v>
      </c>
      <c r="L40" s="1341">
        <v>6783649958</v>
      </c>
      <c r="M40" s="1356"/>
      <c r="N40" s="394" t="s">
        <v>2695</v>
      </c>
      <c r="O40" s="1309" t="s">
        <v>4172</v>
      </c>
      <c r="P40" s="1310"/>
      <c r="Q40" s="1310"/>
      <c r="R40" s="1310"/>
      <c r="S40" s="1311"/>
    </row>
    <row r="41" spans="3:19" ht="4.1500000000000004" customHeight="1">
      <c r="H41" s="1393"/>
      <c r="I41" s="1393"/>
      <c r="J41" s="1393"/>
      <c r="K41" s="790"/>
      <c r="L41" s="1393"/>
      <c r="M41" s="1393"/>
      <c r="N41" s="783"/>
      <c r="O41" s="1392"/>
      <c r="P41" s="1392"/>
      <c r="Q41" s="790"/>
      <c r="R41" s="1392"/>
      <c r="S41" s="1392"/>
    </row>
    <row r="42" spans="3:19" s="386" customFormat="1" ht="12.6" customHeight="1">
      <c r="D42" s="389" t="s">
        <v>2832</v>
      </c>
      <c r="E42" s="386" t="s">
        <v>1056</v>
      </c>
      <c r="F42" s="389"/>
      <c r="H42" s="1294" t="s">
        <v>4166</v>
      </c>
      <c r="I42" s="1355"/>
      <c r="J42" s="1355"/>
      <c r="K42" s="1355"/>
      <c r="L42" s="1355"/>
      <c r="M42" s="1355"/>
      <c r="N42" s="1356"/>
      <c r="O42" s="782" t="s">
        <v>2701</v>
      </c>
      <c r="P42" s="782"/>
      <c r="Q42" s="1294" t="s">
        <v>4171</v>
      </c>
      <c r="R42" s="1355"/>
      <c r="S42" s="1356"/>
    </row>
    <row r="43" spans="3:19" s="386" customFormat="1" ht="12.6" customHeight="1">
      <c r="D43" s="431"/>
      <c r="E43" s="392" t="s">
        <v>1424</v>
      </c>
      <c r="F43" s="400"/>
      <c r="H43" s="1294" t="s">
        <v>4173</v>
      </c>
      <c r="I43" s="1355"/>
      <c r="J43" s="1355"/>
      <c r="K43" s="1355"/>
      <c r="L43" s="1355"/>
      <c r="M43" s="1355"/>
      <c r="N43" s="1356"/>
      <c r="O43" s="782" t="s">
        <v>2441</v>
      </c>
      <c r="Q43" s="1294" t="s">
        <v>4096</v>
      </c>
      <c r="R43" s="1355"/>
      <c r="S43" s="1356"/>
    </row>
    <row r="44" spans="3:19" s="386" customFormat="1" ht="12.6" customHeight="1">
      <c r="D44" s="431"/>
      <c r="E44" s="392" t="s">
        <v>798</v>
      </c>
      <c r="H44" s="1294" t="s">
        <v>4174</v>
      </c>
      <c r="I44" s="1355"/>
      <c r="J44" s="1356"/>
      <c r="O44" s="782" t="s">
        <v>2499</v>
      </c>
      <c r="Q44" s="1302">
        <v>7704870555</v>
      </c>
      <c r="R44" s="1307"/>
      <c r="S44" s="1303"/>
    </row>
    <row r="45" spans="3:19" s="386" customFormat="1" ht="12.6" customHeight="1">
      <c r="D45" s="389"/>
      <c r="E45" s="392" t="s">
        <v>2495</v>
      </c>
      <c r="H45" s="1308" t="s">
        <v>1242</v>
      </c>
      <c r="I45" s="417" t="s">
        <v>2953</v>
      </c>
      <c r="J45" s="1305">
        <v>302691080</v>
      </c>
      <c r="K45" s="1356"/>
      <c r="O45" s="782" t="s">
        <v>2690</v>
      </c>
      <c r="Q45" s="1302">
        <v>7702855165</v>
      </c>
      <c r="R45" s="1307"/>
      <c r="S45" s="1303"/>
    </row>
    <row r="46" spans="3:19" s="386" customFormat="1" ht="12.6" customHeight="1">
      <c r="D46" s="431"/>
      <c r="E46" s="392" t="s">
        <v>2696</v>
      </c>
      <c r="H46" s="1302">
        <v>7704870555</v>
      </c>
      <c r="I46" s="1303"/>
      <c r="J46" s="1387"/>
      <c r="K46" s="790" t="s">
        <v>2498</v>
      </c>
      <c r="L46" s="1341">
        <v>6783649958</v>
      </c>
      <c r="M46" s="1356"/>
      <c r="N46" s="394" t="s">
        <v>2695</v>
      </c>
      <c r="O46" s="1309" t="s">
        <v>4172</v>
      </c>
      <c r="P46" s="1310"/>
      <c r="Q46" s="1310"/>
      <c r="R46" s="1310"/>
      <c r="S46" s="1311"/>
    </row>
    <row r="47" spans="3:19" s="386" customFormat="1" ht="4.1500000000000004" customHeight="1">
      <c r="D47" s="431"/>
      <c r="E47" s="392"/>
      <c r="F47" s="389"/>
      <c r="H47" s="425"/>
      <c r="I47" s="425"/>
      <c r="J47" s="1394"/>
      <c r="K47" s="790"/>
      <c r="L47" s="425"/>
      <c r="M47" s="425"/>
      <c r="N47" s="790"/>
      <c r="O47" s="425"/>
      <c r="P47" s="425"/>
      <c r="Q47" s="790"/>
      <c r="R47" s="425"/>
      <c r="S47" s="425"/>
    </row>
    <row r="48" spans="3:19" s="386" customFormat="1" ht="13.15" customHeight="1">
      <c r="C48" s="435" t="s">
        <v>3322</v>
      </c>
      <c r="D48" s="430" t="s">
        <v>836</v>
      </c>
      <c r="H48" s="787"/>
      <c r="I48" s="787"/>
      <c r="J48" s="787"/>
      <c r="K48" s="787"/>
      <c r="L48" s="787"/>
      <c r="M48" s="787"/>
    </row>
    <row r="49" spans="1:19" s="386" customFormat="1" ht="4.1500000000000004" customHeight="1">
      <c r="D49" s="435"/>
      <c r="E49" s="434"/>
      <c r="H49" s="1391"/>
      <c r="I49" s="1391"/>
      <c r="J49" s="1391"/>
      <c r="K49" s="783"/>
      <c r="L49" s="1391"/>
      <c r="M49" s="1391"/>
      <c r="N49" s="783"/>
      <c r="O49" s="1392"/>
      <c r="P49" s="1392"/>
      <c r="Q49" s="790"/>
      <c r="R49" s="1392"/>
      <c r="S49" s="1392"/>
    </row>
    <row r="50" spans="1:19" s="386" customFormat="1" ht="12.6" customHeight="1">
      <c r="E50" s="386" t="s">
        <v>96</v>
      </c>
      <c r="H50" s="1294" t="s">
        <v>4089</v>
      </c>
      <c r="I50" s="1355"/>
      <c r="J50" s="1355"/>
      <c r="K50" s="1355"/>
      <c r="L50" s="1355"/>
      <c r="M50" s="1355"/>
      <c r="N50" s="1356"/>
      <c r="O50" s="782" t="s">
        <v>2701</v>
      </c>
      <c r="P50" s="782"/>
      <c r="Q50" s="1294" t="s">
        <v>4067</v>
      </c>
      <c r="R50" s="1355"/>
      <c r="S50" s="1356"/>
    </row>
    <row r="51" spans="1:19" s="386" customFormat="1" ht="12.6" customHeight="1">
      <c r="D51" s="431"/>
      <c r="E51" s="392" t="s">
        <v>1424</v>
      </c>
      <c r="F51" s="400"/>
      <c r="H51" s="1294" t="s">
        <v>4064</v>
      </c>
      <c r="I51" s="1355"/>
      <c r="J51" s="1355"/>
      <c r="K51" s="1355"/>
      <c r="L51" s="1355"/>
      <c r="M51" s="1355"/>
      <c r="N51" s="1356"/>
      <c r="O51" s="782"/>
      <c r="Q51" s="1294" t="s">
        <v>4096</v>
      </c>
      <c r="R51" s="1355"/>
      <c r="S51" s="1356"/>
    </row>
    <row r="52" spans="1:19" s="386" customFormat="1" ht="12.6" customHeight="1">
      <c r="D52" s="431"/>
      <c r="E52" s="392" t="s">
        <v>798</v>
      </c>
      <c r="H52" s="1294" t="s">
        <v>214</v>
      </c>
      <c r="I52" s="1355"/>
      <c r="J52" s="1356"/>
      <c r="O52" s="782" t="s">
        <v>2499</v>
      </c>
      <c r="Q52" s="1302">
        <v>4042702558</v>
      </c>
      <c r="R52" s="1307"/>
      <c r="S52" s="1303"/>
    </row>
    <row r="53" spans="1:19" s="386" customFormat="1" ht="12.6" customHeight="1">
      <c r="E53" s="392" t="s">
        <v>2495</v>
      </c>
      <c r="H53" s="1308" t="s">
        <v>1242</v>
      </c>
      <c r="I53" s="417" t="s">
        <v>2953</v>
      </c>
      <c r="J53" s="1305">
        <v>300302612</v>
      </c>
      <c r="K53" s="1356"/>
      <c r="O53" s="782" t="s">
        <v>2690</v>
      </c>
      <c r="Q53" s="1302">
        <v>4043160631</v>
      </c>
      <c r="R53" s="1307"/>
      <c r="S53" s="1303"/>
    </row>
    <row r="54" spans="1:19" s="386" customFormat="1" ht="12.6" customHeight="1">
      <c r="D54" s="431"/>
      <c r="E54" s="392" t="s">
        <v>2696</v>
      </c>
      <c r="H54" s="1302">
        <v>4042702558</v>
      </c>
      <c r="I54" s="1303"/>
      <c r="J54" s="1387"/>
      <c r="K54" s="790" t="s">
        <v>2498</v>
      </c>
      <c r="L54" s="1341">
        <v>4042702553</v>
      </c>
      <c r="M54" s="1356"/>
      <c r="N54" s="394" t="s">
        <v>2695</v>
      </c>
      <c r="O54" s="1309" t="s">
        <v>4066</v>
      </c>
      <c r="P54" s="1310"/>
      <c r="Q54" s="1310"/>
      <c r="R54" s="1310"/>
      <c r="S54" s="1311"/>
    </row>
    <row r="55" spans="1:19" ht="13.15" customHeight="1"/>
    <row r="56" spans="1:19" s="386" customFormat="1" ht="13.15" customHeight="1">
      <c r="A56" s="389" t="s">
        <v>1045</v>
      </c>
      <c r="B56" s="389" t="s">
        <v>837</v>
      </c>
      <c r="F56" s="389"/>
      <c r="G56" s="790"/>
      <c r="H56" s="790"/>
      <c r="I56" s="790"/>
      <c r="J56" s="787"/>
      <c r="K56" s="787"/>
      <c r="L56" s="787"/>
      <c r="M56" s="787"/>
      <c r="N56" s="787"/>
      <c r="O56" s="787"/>
      <c r="P56" s="787"/>
      <c r="Q56" s="787"/>
      <c r="R56" s="787"/>
      <c r="S56" s="787"/>
    </row>
    <row r="57" spans="1:19" s="386" customFormat="1" ht="9" customHeight="1">
      <c r="A57" s="389"/>
      <c r="B57" s="389"/>
      <c r="F57" s="389"/>
      <c r="G57" s="790"/>
      <c r="H57" s="1391"/>
      <c r="I57" s="1391"/>
      <c r="J57" s="1391"/>
      <c r="K57" s="783"/>
      <c r="L57" s="1391"/>
      <c r="M57" s="1391"/>
      <c r="N57" s="783"/>
      <c r="O57" s="1392"/>
      <c r="P57" s="1392"/>
      <c r="Q57" s="790"/>
      <c r="R57" s="1392"/>
      <c r="S57" s="1392"/>
    </row>
    <row r="58" spans="1:19" s="386" customFormat="1" ht="13.15" customHeight="1">
      <c r="B58" s="389" t="s">
        <v>2694</v>
      </c>
      <c r="C58" s="389" t="s">
        <v>312</v>
      </c>
      <c r="H58" s="1294" t="s">
        <v>4069</v>
      </c>
      <c r="I58" s="1355"/>
      <c r="J58" s="1355"/>
      <c r="K58" s="1355"/>
      <c r="L58" s="1355"/>
      <c r="M58" s="1355"/>
      <c r="N58" s="1356"/>
      <c r="O58" s="782" t="s">
        <v>2701</v>
      </c>
      <c r="P58" s="782"/>
      <c r="Q58" s="1294" t="s">
        <v>4070</v>
      </c>
      <c r="R58" s="1355"/>
      <c r="S58" s="1356"/>
    </row>
    <row r="59" spans="1:19" s="386" customFormat="1" ht="13.15" customHeight="1">
      <c r="D59" s="431"/>
      <c r="E59" s="392" t="s">
        <v>1424</v>
      </c>
      <c r="F59" s="400"/>
      <c r="H59" s="1294" t="s">
        <v>4064</v>
      </c>
      <c r="I59" s="1355"/>
      <c r="J59" s="1355"/>
      <c r="K59" s="1355"/>
      <c r="L59" s="1355"/>
      <c r="M59" s="1355"/>
      <c r="N59" s="1356"/>
      <c r="O59" s="782" t="s">
        <v>2441</v>
      </c>
      <c r="Q59" s="1294" t="s">
        <v>4071</v>
      </c>
      <c r="R59" s="1355"/>
      <c r="S59" s="1356"/>
    </row>
    <row r="60" spans="1:19" s="386" customFormat="1" ht="13.15" customHeight="1">
      <c r="D60" s="431"/>
      <c r="E60" s="392" t="s">
        <v>798</v>
      </c>
      <c r="H60" s="1294" t="s">
        <v>214</v>
      </c>
      <c r="I60" s="1355"/>
      <c r="J60" s="1356"/>
      <c r="O60" s="782" t="s">
        <v>2499</v>
      </c>
      <c r="Q60" s="1302">
        <v>4042702633</v>
      </c>
      <c r="R60" s="1307"/>
      <c r="S60" s="1303"/>
    </row>
    <row r="61" spans="1:19" s="386" customFormat="1" ht="13.15" customHeight="1">
      <c r="E61" s="392" t="s">
        <v>2495</v>
      </c>
      <c r="H61" s="1308" t="s">
        <v>1242</v>
      </c>
      <c r="I61" s="417" t="s">
        <v>2953</v>
      </c>
      <c r="J61" s="1305">
        <v>300302612</v>
      </c>
      <c r="K61" s="1356"/>
      <c r="O61" s="782" t="s">
        <v>2690</v>
      </c>
      <c r="Q61" s="1302">
        <v>4045149058</v>
      </c>
      <c r="R61" s="1307"/>
      <c r="S61" s="1303"/>
    </row>
    <row r="62" spans="1:19" s="386" customFormat="1" ht="13.15" customHeight="1">
      <c r="D62" s="431"/>
      <c r="E62" s="392" t="s">
        <v>2696</v>
      </c>
      <c r="H62" s="1302">
        <v>4042702558</v>
      </c>
      <c r="I62" s="1303"/>
      <c r="J62" s="1387"/>
      <c r="K62" s="790" t="s">
        <v>2498</v>
      </c>
      <c r="L62" s="1341">
        <v>4042702553</v>
      </c>
      <c r="M62" s="1356"/>
      <c r="N62" s="394" t="s">
        <v>2695</v>
      </c>
      <c r="O62" s="1309" t="s">
        <v>4072</v>
      </c>
      <c r="P62" s="1310"/>
      <c r="Q62" s="1310"/>
      <c r="R62" s="1310"/>
      <c r="S62" s="1311"/>
    </row>
    <row r="63" spans="1:19" s="386" customFormat="1" ht="6.6" customHeight="1">
      <c r="D63" s="431"/>
      <c r="E63" s="787"/>
      <c r="F63" s="787"/>
      <c r="G63" s="782"/>
      <c r="H63" s="1393"/>
      <c r="I63" s="1393"/>
      <c r="J63" s="1393"/>
      <c r="K63" s="790"/>
      <c r="L63" s="1393"/>
      <c r="M63" s="1393"/>
      <c r="N63" s="783"/>
      <c r="O63" s="1392"/>
      <c r="P63" s="1392"/>
      <c r="Q63" s="790"/>
      <c r="R63" s="1392"/>
      <c r="S63" s="1392"/>
    </row>
    <row r="64" spans="1:19" s="386" customFormat="1" ht="13.15" customHeight="1">
      <c r="B64" s="389" t="s">
        <v>2697</v>
      </c>
      <c r="C64" s="389" t="s">
        <v>313</v>
      </c>
      <c r="H64" s="1294" t="s">
        <v>4145</v>
      </c>
      <c r="I64" s="1355"/>
      <c r="J64" s="1355"/>
      <c r="K64" s="1355"/>
      <c r="L64" s="1355"/>
      <c r="M64" s="1355"/>
      <c r="N64" s="1356"/>
      <c r="O64" s="782" t="s">
        <v>2701</v>
      </c>
      <c r="P64" s="782"/>
      <c r="Q64" s="1294" t="s">
        <v>4146</v>
      </c>
      <c r="R64" s="1355"/>
      <c r="S64" s="1356"/>
    </row>
    <row r="65" spans="2:19" s="386" customFormat="1" ht="13.15" customHeight="1">
      <c r="D65" s="431"/>
      <c r="E65" s="392" t="s">
        <v>1424</v>
      </c>
      <c r="F65" s="400"/>
      <c r="H65" s="1294" t="s">
        <v>4147</v>
      </c>
      <c r="I65" s="1355"/>
      <c r="J65" s="1355"/>
      <c r="K65" s="1355"/>
      <c r="L65" s="1355"/>
      <c r="M65" s="1355"/>
      <c r="N65" s="1356"/>
      <c r="O65" s="782" t="s">
        <v>2441</v>
      </c>
      <c r="Q65" s="1294" t="s">
        <v>4071</v>
      </c>
      <c r="R65" s="1355"/>
      <c r="S65" s="1356"/>
    </row>
    <row r="66" spans="2:19" s="386" customFormat="1" ht="13.15" customHeight="1">
      <c r="D66" s="431"/>
      <c r="E66" s="392" t="s">
        <v>798</v>
      </c>
      <c r="H66" s="1294" t="s">
        <v>906</v>
      </c>
      <c r="I66" s="1355"/>
      <c r="J66" s="1356"/>
      <c r="O66" s="782" t="s">
        <v>2499</v>
      </c>
      <c r="Q66" s="1302">
        <v>7706707007</v>
      </c>
      <c r="R66" s="1307"/>
      <c r="S66" s="1303"/>
    </row>
    <row r="67" spans="2:19" s="386" customFormat="1" ht="13.15" customHeight="1">
      <c r="E67" s="392" t="s">
        <v>2495</v>
      </c>
      <c r="H67" s="1308" t="s">
        <v>1242</v>
      </c>
      <c r="I67" s="417" t="s">
        <v>2953</v>
      </c>
      <c r="J67" s="1305">
        <v>300960000</v>
      </c>
      <c r="K67" s="1356"/>
      <c r="O67" s="782" t="s">
        <v>2690</v>
      </c>
      <c r="Q67" s="1302">
        <v>4044065219</v>
      </c>
      <c r="R67" s="1307"/>
      <c r="S67" s="1303"/>
    </row>
    <row r="68" spans="2:19" s="386" customFormat="1" ht="13.15" customHeight="1">
      <c r="D68" s="431"/>
      <c r="E68" s="392" t="s">
        <v>2696</v>
      </c>
      <c r="H68" s="1302">
        <v>7706707007</v>
      </c>
      <c r="I68" s="1303"/>
      <c r="J68" s="1387"/>
      <c r="K68" s="790" t="s">
        <v>2498</v>
      </c>
      <c r="L68" s="1341">
        <v>7706707006</v>
      </c>
      <c r="M68" s="1356"/>
      <c r="N68" s="394" t="s">
        <v>2695</v>
      </c>
      <c r="O68" s="1309" t="s">
        <v>4148</v>
      </c>
      <c r="P68" s="1310"/>
      <c r="Q68" s="1310"/>
      <c r="R68" s="1310"/>
      <c r="S68" s="1311"/>
    </row>
    <row r="69" spans="2:19" s="386" customFormat="1" ht="6.6" customHeight="1">
      <c r="D69" s="431"/>
      <c r="E69" s="787"/>
      <c r="F69" s="787"/>
      <c r="G69" s="782"/>
      <c r="H69" s="1393"/>
      <c r="I69" s="1393"/>
      <c r="J69" s="1393"/>
      <c r="K69" s="790"/>
      <c r="L69" s="1393"/>
      <c r="M69" s="1393"/>
      <c r="N69" s="783"/>
      <c r="O69" s="1392"/>
      <c r="P69" s="1392"/>
      <c r="Q69" s="790"/>
      <c r="R69" s="1392"/>
      <c r="S69" s="1392"/>
    </row>
    <row r="70" spans="2:19" s="386" customFormat="1" ht="13.15" customHeight="1">
      <c r="B70" s="389" t="s">
        <v>1054</v>
      </c>
      <c r="C70" s="389" t="s">
        <v>1985</v>
      </c>
      <c r="H70" s="1294"/>
      <c r="I70" s="1355"/>
      <c r="J70" s="1355"/>
      <c r="K70" s="1355"/>
      <c r="L70" s="1355"/>
      <c r="M70" s="1355"/>
      <c r="N70" s="1356"/>
      <c r="O70" s="782" t="s">
        <v>2701</v>
      </c>
      <c r="P70" s="782"/>
      <c r="Q70" s="1294"/>
      <c r="R70" s="1355"/>
      <c r="S70" s="1356"/>
    </row>
    <row r="71" spans="2:19" s="386" customFormat="1" ht="13.15" customHeight="1">
      <c r="D71" s="431"/>
      <c r="E71" s="392" t="s">
        <v>1424</v>
      </c>
      <c r="F71" s="400"/>
      <c r="H71" s="1294"/>
      <c r="I71" s="1355"/>
      <c r="J71" s="1355"/>
      <c r="K71" s="1355"/>
      <c r="L71" s="1355"/>
      <c r="M71" s="1355"/>
      <c r="N71" s="1356"/>
      <c r="O71" s="782" t="s">
        <v>2441</v>
      </c>
      <c r="Q71" s="1294"/>
      <c r="R71" s="1355"/>
      <c r="S71" s="1356"/>
    </row>
    <row r="72" spans="2:19" s="386" customFormat="1" ht="13.15" customHeight="1">
      <c r="D72" s="431"/>
      <c r="E72" s="392" t="s">
        <v>798</v>
      </c>
      <c r="H72" s="1294"/>
      <c r="I72" s="1355"/>
      <c r="J72" s="1356"/>
      <c r="O72" s="782" t="s">
        <v>2499</v>
      </c>
      <c r="Q72" s="1302"/>
      <c r="R72" s="1307"/>
      <c r="S72" s="1303"/>
    </row>
    <row r="73" spans="2:19" s="386" customFormat="1" ht="13.15" customHeight="1">
      <c r="E73" s="392" t="s">
        <v>2495</v>
      </c>
      <c r="H73" s="1308"/>
      <c r="I73" s="417" t="s">
        <v>2953</v>
      </c>
      <c r="J73" s="1305"/>
      <c r="K73" s="1356"/>
      <c r="O73" s="782" t="s">
        <v>2690</v>
      </c>
      <c r="Q73" s="1302"/>
      <c r="R73" s="1307"/>
      <c r="S73" s="1303"/>
    </row>
    <row r="74" spans="2:19" s="386" customFormat="1" ht="13.15" customHeight="1">
      <c r="D74" s="431"/>
      <c r="E74" s="392" t="s">
        <v>2696</v>
      </c>
      <c r="H74" s="1302"/>
      <c r="I74" s="1303"/>
      <c r="J74" s="1387"/>
      <c r="K74" s="790" t="s">
        <v>2498</v>
      </c>
      <c r="L74" s="1341"/>
      <c r="M74" s="1356"/>
      <c r="N74" s="394" t="s">
        <v>2695</v>
      </c>
      <c r="O74" s="1309"/>
      <c r="P74" s="1310"/>
      <c r="Q74" s="1310"/>
      <c r="R74" s="1310"/>
      <c r="S74" s="1311"/>
    </row>
    <row r="75" spans="2:19" ht="6.6" customHeight="1">
      <c r="H75" s="1393"/>
      <c r="I75" s="1393"/>
      <c r="J75" s="1393"/>
      <c r="K75" s="790"/>
      <c r="L75" s="1393"/>
      <c r="M75" s="1393"/>
      <c r="N75" s="783"/>
      <c r="O75" s="1392"/>
      <c r="P75" s="1392"/>
      <c r="Q75" s="790"/>
      <c r="R75" s="1392"/>
      <c r="S75" s="1392"/>
    </row>
    <row r="76" spans="2:19" s="386" customFormat="1" ht="13.15" customHeight="1">
      <c r="B76" s="389" t="s">
        <v>2830</v>
      </c>
      <c r="C76" s="389" t="s">
        <v>314</v>
      </c>
      <c r="H76" s="1294"/>
      <c r="I76" s="1355"/>
      <c r="J76" s="1355"/>
      <c r="K76" s="1355"/>
      <c r="L76" s="1355"/>
      <c r="M76" s="1355"/>
      <c r="N76" s="1356"/>
      <c r="O76" s="782" t="s">
        <v>2701</v>
      </c>
      <c r="P76" s="782"/>
      <c r="Q76" s="1294"/>
      <c r="R76" s="1355"/>
      <c r="S76" s="1356"/>
    </row>
    <row r="77" spans="2:19" s="386" customFormat="1" ht="13.15" customHeight="1">
      <c r="D77" s="431"/>
      <c r="E77" s="392" t="s">
        <v>1424</v>
      </c>
      <c r="F77" s="400"/>
      <c r="H77" s="1294"/>
      <c r="I77" s="1355"/>
      <c r="J77" s="1355"/>
      <c r="K77" s="1355"/>
      <c r="L77" s="1355"/>
      <c r="M77" s="1355"/>
      <c r="N77" s="1356"/>
      <c r="O77" s="782" t="s">
        <v>2441</v>
      </c>
      <c r="Q77" s="1294"/>
      <c r="R77" s="1355"/>
      <c r="S77" s="1356"/>
    </row>
    <row r="78" spans="2:19" s="386" customFormat="1" ht="13.15" customHeight="1">
      <c r="D78" s="431"/>
      <c r="E78" s="392" t="s">
        <v>798</v>
      </c>
      <c r="H78" s="1294"/>
      <c r="I78" s="1355"/>
      <c r="J78" s="1356"/>
      <c r="O78" s="782" t="s">
        <v>2499</v>
      </c>
      <c r="Q78" s="1302"/>
      <c r="R78" s="1307"/>
      <c r="S78" s="1303"/>
    </row>
    <row r="79" spans="2:19" s="386" customFormat="1" ht="13.15" customHeight="1">
      <c r="E79" s="392" t="s">
        <v>2495</v>
      </c>
      <c r="H79" s="1308"/>
      <c r="I79" s="417" t="s">
        <v>2953</v>
      </c>
      <c r="J79" s="1305"/>
      <c r="K79" s="1356"/>
      <c r="O79" s="782" t="s">
        <v>2690</v>
      </c>
      <c r="Q79" s="1302"/>
      <c r="R79" s="1307"/>
      <c r="S79" s="1303"/>
    </row>
    <row r="80" spans="2:19" s="386" customFormat="1" ht="13.15" customHeight="1">
      <c r="D80" s="431"/>
      <c r="E80" s="392" t="s">
        <v>2696</v>
      </c>
      <c r="H80" s="1302"/>
      <c r="I80" s="1303"/>
      <c r="J80" s="1387"/>
      <c r="K80" s="790" t="s">
        <v>2498</v>
      </c>
      <c r="L80" s="1341"/>
      <c r="M80" s="1356"/>
      <c r="N80" s="394" t="s">
        <v>2695</v>
      </c>
      <c r="O80" s="1309"/>
      <c r="P80" s="1310"/>
      <c r="Q80" s="1310"/>
      <c r="R80" s="1310"/>
      <c r="S80" s="1311"/>
    </row>
    <row r="81" spans="1:19" ht="13.15" customHeight="1"/>
    <row r="82" spans="1:19" s="392" customFormat="1" ht="13.15" customHeight="1">
      <c r="A82" s="393" t="s">
        <v>1047</v>
      </c>
      <c r="B82" s="393" t="s">
        <v>315</v>
      </c>
      <c r="D82" s="393"/>
      <c r="E82" s="782"/>
      <c r="F82" s="350"/>
      <c r="G82" s="350"/>
      <c r="H82" s="350"/>
      <c r="I82" s="350"/>
      <c r="J82" s="350"/>
      <c r="K82" s="350"/>
      <c r="L82" s="350"/>
      <c r="M82" s="350"/>
    </row>
    <row r="83" spans="1:19" s="392" customFormat="1" ht="9" customHeight="1">
      <c r="A83" s="393"/>
      <c r="B83" s="393"/>
      <c r="D83" s="393"/>
      <c r="E83" s="782"/>
      <c r="F83" s="350"/>
      <c r="G83" s="350"/>
      <c r="H83" s="1391"/>
      <c r="I83" s="1391"/>
      <c r="J83" s="1391"/>
      <c r="K83" s="783"/>
      <c r="L83" s="1391"/>
      <c r="M83" s="1391"/>
      <c r="N83" s="783"/>
      <c r="O83" s="1392"/>
      <c r="P83" s="1392"/>
      <c r="Q83" s="790"/>
      <c r="R83" s="1392"/>
      <c r="S83" s="1392"/>
    </row>
    <row r="84" spans="1:19" s="386" customFormat="1" ht="13.15" customHeight="1">
      <c r="B84" s="389" t="s">
        <v>2694</v>
      </c>
      <c r="C84" s="389" t="s">
        <v>316</v>
      </c>
      <c r="H84" s="1294"/>
      <c r="I84" s="1355"/>
      <c r="J84" s="1355"/>
      <c r="K84" s="1355"/>
      <c r="L84" s="1355"/>
      <c r="M84" s="1355"/>
      <c r="N84" s="1356"/>
      <c r="O84" s="782" t="s">
        <v>2701</v>
      </c>
      <c r="P84" s="782"/>
      <c r="Q84" s="1294"/>
      <c r="R84" s="1355"/>
      <c r="S84" s="1356"/>
    </row>
    <row r="85" spans="1:19" s="386" customFormat="1" ht="13.15" customHeight="1">
      <c r="D85" s="431"/>
      <c r="E85" s="392" t="s">
        <v>1424</v>
      </c>
      <c r="F85" s="400"/>
      <c r="H85" s="1294"/>
      <c r="I85" s="1355"/>
      <c r="J85" s="1355"/>
      <c r="K85" s="1355"/>
      <c r="L85" s="1355"/>
      <c r="M85" s="1355"/>
      <c r="N85" s="1356"/>
      <c r="O85" s="782" t="s">
        <v>2441</v>
      </c>
      <c r="Q85" s="1294"/>
      <c r="R85" s="1355"/>
      <c r="S85" s="1356"/>
    </row>
    <row r="86" spans="1:19" s="386" customFormat="1" ht="13.15" customHeight="1">
      <c r="D86" s="431"/>
      <c r="E86" s="392" t="s">
        <v>798</v>
      </c>
      <c r="H86" s="1294"/>
      <c r="I86" s="1355"/>
      <c r="J86" s="1356"/>
      <c r="O86" s="782" t="s">
        <v>2499</v>
      </c>
      <c r="Q86" s="1302"/>
      <c r="R86" s="1307"/>
      <c r="S86" s="1303"/>
    </row>
    <row r="87" spans="1:19" s="386" customFormat="1" ht="13.15" customHeight="1">
      <c r="E87" s="392" t="s">
        <v>2495</v>
      </c>
      <c r="H87" s="1308"/>
      <c r="I87" s="417" t="s">
        <v>2953</v>
      </c>
      <c r="J87" s="1305"/>
      <c r="K87" s="1356"/>
      <c r="O87" s="782" t="s">
        <v>2690</v>
      </c>
      <c r="Q87" s="1302"/>
      <c r="R87" s="1307"/>
      <c r="S87" s="1303"/>
    </row>
    <row r="88" spans="1:19" s="386" customFormat="1" ht="13.15" customHeight="1">
      <c r="D88" s="431"/>
      <c r="E88" s="392" t="s">
        <v>2696</v>
      </c>
      <c r="H88" s="1302"/>
      <c r="I88" s="1303"/>
      <c r="J88" s="1387"/>
      <c r="K88" s="790" t="s">
        <v>2498</v>
      </c>
      <c r="L88" s="1341"/>
      <c r="M88" s="1356"/>
      <c r="N88" s="394" t="s">
        <v>2695</v>
      </c>
      <c r="O88" s="1309"/>
      <c r="P88" s="1310"/>
      <c r="Q88" s="1310"/>
      <c r="R88" s="1310"/>
      <c r="S88" s="1311"/>
    </row>
    <row r="89" spans="1:19" ht="6.6" customHeight="1">
      <c r="H89" s="1393"/>
      <c r="I89" s="1393"/>
      <c r="J89" s="1393"/>
      <c r="K89" s="790"/>
      <c r="L89" s="1393"/>
      <c r="M89" s="1393"/>
      <c r="N89" s="783"/>
      <c r="O89" s="1392"/>
      <c r="P89" s="1392"/>
      <c r="Q89" s="790"/>
      <c r="R89" s="1392"/>
      <c r="S89" s="1392"/>
    </row>
    <row r="90" spans="1:19" s="386" customFormat="1" ht="13.15" customHeight="1">
      <c r="B90" s="389" t="s">
        <v>2697</v>
      </c>
      <c r="C90" s="389" t="s">
        <v>317</v>
      </c>
      <c r="H90" s="1294" t="s">
        <v>4098</v>
      </c>
      <c r="I90" s="1355"/>
      <c r="J90" s="1355"/>
      <c r="K90" s="1355"/>
      <c r="L90" s="1355"/>
      <c r="M90" s="1355"/>
      <c r="N90" s="1356"/>
      <c r="O90" s="782" t="s">
        <v>2701</v>
      </c>
      <c r="P90" s="782"/>
      <c r="Q90" s="1294" t="s">
        <v>4123</v>
      </c>
      <c r="R90" s="1355"/>
      <c r="S90" s="1356"/>
    </row>
    <row r="91" spans="1:19" s="386" customFormat="1" ht="13.15" customHeight="1">
      <c r="D91" s="431"/>
      <c r="E91" s="392" t="s">
        <v>1424</v>
      </c>
      <c r="F91" s="400"/>
      <c r="H91" s="1294" t="s">
        <v>4128</v>
      </c>
      <c r="I91" s="1355"/>
      <c r="J91" s="1355"/>
      <c r="K91" s="1355"/>
      <c r="L91" s="1355"/>
      <c r="M91" s="1355"/>
      <c r="N91" s="1356"/>
      <c r="O91" s="782" t="s">
        <v>2441</v>
      </c>
      <c r="Q91" s="1294" t="s">
        <v>4096</v>
      </c>
      <c r="R91" s="1355"/>
      <c r="S91" s="1356"/>
    </row>
    <row r="92" spans="1:19" s="386" customFormat="1" ht="13.15" customHeight="1">
      <c r="D92" s="431"/>
      <c r="E92" s="392" t="s">
        <v>798</v>
      </c>
      <c r="H92" s="1294" t="s">
        <v>411</v>
      </c>
      <c r="I92" s="1355"/>
      <c r="J92" s="1356"/>
      <c r="O92" s="782" t="s">
        <v>2499</v>
      </c>
      <c r="Q92" s="1302">
        <v>6783034100</v>
      </c>
      <c r="R92" s="1307"/>
      <c r="S92" s="1303"/>
    </row>
    <row r="93" spans="1:19" s="386" customFormat="1" ht="13.15" customHeight="1">
      <c r="E93" s="392" t="s">
        <v>2495</v>
      </c>
      <c r="H93" s="1308" t="s">
        <v>1242</v>
      </c>
      <c r="I93" s="417" t="s">
        <v>2953</v>
      </c>
      <c r="J93" s="1305">
        <v>300878770</v>
      </c>
      <c r="K93" s="1356"/>
      <c r="O93" s="782" t="s">
        <v>2690</v>
      </c>
      <c r="Q93" s="1302">
        <v>7704804555</v>
      </c>
      <c r="R93" s="1307"/>
      <c r="S93" s="1303"/>
    </row>
    <row r="94" spans="1:19" s="386" customFormat="1" ht="13.15" customHeight="1">
      <c r="D94" s="431"/>
      <c r="E94" s="392" t="s">
        <v>2696</v>
      </c>
      <c r="H94" s="1302">
        <v>6783034100</v>
      </c>
      <c r="I94" s="1303"/>
      <c r="J94" s="1387">
        <v>125</v>
      </c>
      <c r="K94" s="790" t="s">
        <v>2498</v>
      </c>
      <c r="L94" s="1341">
        <v>7702720164</v>
      </c>
      <c r="M94" s="1356"/>
      <c r="N94" s="394" t="s">
        <v>2695</v>
      </c>
      <c r="O94" s="1309" t="s">
        <v>4127</v>
      </c>
      <c r="P94" s="1310"/>
      <c r="Q94" s="1310"/>
      <c r="R94" s="1310"/>
      <c r="S94" s="1311"/>
    </row>
    <row r="95" spans="1:19" ht="6.6" customHeight="1">
      <c r="H95" s="1393"/>
      <c r="I95" s="1393"/>
      <c r="J95" s="1393"/>
      <c r="K95" s="790"/>
      <c r="L95" s="1393"/>
      <c r="M95" s="1393"/>
      <c r="N95" s="783"/>
      <c r="O95" s="1392"/>
      <c r="P95" s="1392"/>
      <c r="Q95" s="790"/>
      <c r="R95" s="1392"/>
      <c r="S95" s="1392"/>
    </row>
    <row r="96" spans="1:19" s="386" customFormat="1" ht="13.15" customHeight="1">
      <c r="B96" s="389" t="s">
        <v>1054</v>
      </c>
      <c r="C96" s="389" t="s">
        <v>318</v>
      </c>
      <c r="F96" s="406"/>
      <c r="H96" s="1395" t="s">
        <v>4155</v>
      </c>
      <c r="I96" s="1396"/>
      <c r="J96" s="1396"/>
      <c r="K96" s="1396"/>
      <c r="L96" s="1396"/>
      <c r="M96" s="1396"/>
      <c r="N96" s="1397"/>
      <c r="O96" s="782" t="s">
        <v>2701</v>
      </c>
      <c r="P96" s="782"/>
      <c r="Q96" s="1395" t="s">
        <v>4157</v>
      </c>
      <c r="R96" s="1396"/>
      <c r="S96" s="1397"/>
    </row>
    <row r="97" spans="2:19" s="386" customFormat="1" ht="13.15" customHeight="1">
      <c r="D97" s="431"/>
      <c r="E97" s="392" t="s">
        <v>1424</v>
      </c>
      <c r="F97" s="400"/>
      <c r="H97" s="1395" t="s">
        <v>4156</v>
      </c>
      <c r="I97" s="1396"/>
      <c r="J97" s="1396"/>
      <c r="K97" s="1396"/>
      <c r="L97" s="1396"/>
      <c r="M97" s="1396"/>
      <c r="N97" s="1397"/>
      <c r="O97" s="782" t="s">
        <v>2441</v>
      </c>
      <c r="Q97" s="1395" t="s">
        <v>4153</v>
      </c>
      <c r="R97" s="1396"/>
      <c r="S97" s="1397"/>
    </row>
    <row r="98" spans="2:19" s="386" customFormat="1" ht="13.15" customHeight="1">
      <c r="D98" s="431"/>
      <c r="E98" s="392" t="s">
        <v>798</v>
      </c>
      <c r="H98" s="1395" t="s">
        <v>1626</v>
      </c>
      <c r="I98" s="1396"/>
      <c r="J98" s="1397"/>
      <c r="O98" s="782" t="s">
        <v>2499</v>
      </c>
      <c r="Q98" s="1398">
        <v>9126446969</v>
      </c>
      <c r="R98" s="1399"/>
      <c r="S98" s="1400"/>
    </row>
    <row r="99" spans="2:19" s="386" customFormat="1" ht="13.15" customHeight="1">
      <c r="D99" s="431"/>
      <c r="E99" s="392" t="s">
        <v>2495</v>
      </c>
      <c r="H99" s="1308" t="s">
        <v>1242</v>
      </c>
      <c r="I99" s="417" t="s">
        <v>2953</v>
      </c>
      <c r="J99" s="1401">
        <v>314063617</v>
      </c>
      <c r="K99" s="1402"/>
      <c r="O99" s="782" t="s">
        <v>2690</v>
      </c>
      <c r="Q99" s="1398">
        <v>9125476096</v>
      </c>
      <c r="R99" s="1399"/>
      <c r="S99" s="1400"/>
    </row>
    <row r="100" spans="2:19" s="386" customFormat="1" ht="13.15" customHeight="1">
      <c r="D100" s="431"/>
      <c r="E100" s="392" t="s">
        <v>2696</v>
      </c>
      <c r="H100" s="1398">
        <v>9123576096</v>
      </c>
      <c r="I100" s="1400"/>
      <c r="J100" s="1387"/>
      <c r="K100" s="790" t="s">
        <v>2498</v>
      </c>
      <c r="L100" s="1403">
        <v>7708508230</v>
      </c>
      <c r="M100" s="1404"/>
      <c r="N100" s="394" t="s">
        <v>2695</v>
      </c>
      <c r="O100" s="1405" t="s">
        <v>4154</v>
      </c>
      <c r="P100" s="1406"/>
      <c r="Q100" s="1406"/>
      <c r="R100" s="1406"/>
      <c r="S100" s="1407"/>
    </row>
    <row r="101" spans="2:19" ht="6.6" customHeight="1">
      <c r="H101" s="1393"/>
      <c r="I101" s="1393"/>
      <c r="J101" s="1393"/>
      <c r="K101" s="790"/>
      <c r="L101" s="1393"/>
      <c r="M101" s="1393"/>
      <c r="N101" s="783"/>
      <c r="O101" s="1392"/>
      <c r="P101" s="1392"/>
      <c r="Q101" s="790"/>
      <c r="R101" s="1392"/>
      <c r="S101" s="1392"/>
    </row>
    <row r="102" spans="2:19" s="386" customFormat="1" ht="13.15" customHeight="1">
      <c r="B102" s="389" t="s">
        <v>2830</v>
      </c>
      <c r="C102" s="389" t="s">
        <v>319</v>
      </c>
      <c r="H102" s="1294" t="s">
        <v>4090</v>
      </c>
      <c r="I102" s="1355"/>
      <c r="J102" s="1355"/>
      <c r="K102" s="1355"/>
      <c r="L102" s="1355"/>
      <c r="M102" s="1355"/>
      <c r="N102" s="1356"/>
      <c r="O102" s="782" t="s">
        <v>2701</v>
      </c>
      <c r="P102" s="782"/>
      <c r="Q102" s="1294" t="s">
        <v>4091</v>
      </c>
      <c r="R102" s="1355"/>
      <c r="S102" s="1356"/>
    </row>
    <row r="103" spans="2:19" s="386" customFormat="1" ht="13.15" customHeight="1">
      <c r="D103" s="431"/>
      <c r="E103" s="392" t="s">
        <v>1424</v>
      </c>
      <c r="F103" s="400"/>
      <c r="H103" s="1294" t="s">
        <v>4094</v>
      </c>
      <c r="I103" s="1355"/>
      <c r="J103" s="1355"/>
      <c r="K103" s="1355"/>
      <c r="L103" s="1355"/>
      <c r="M103" s="1355"/>
      <c r="N103" s="1356"/>
      <c r="O103" s="782" t="s">
        <v>2441</v>
      </c>
      <c r="Q103" s="1294" t="s">
        <v>4093</v>
      </c>
      <c r="R103" s="1355"/>
      <c r="S103" s="1356"/>
    </row>
    <row r="104" spans="2:19" s="386" customFormat="1" ht="13.15" customHeight="1">
      <c r="D104" s="431"/>
      <c r="E104" s="392" t="s">
        <v>798</v>
      </c>
      <c r="H104" s="1294" t="s">
        <v>4092</v>
      </c>
      <c r="I104" s="1355"/>
      <c r="J104" s="1356"/>
      <c r="O104" s="782" t="s">
        <v>2499</v>
      </c>
      <c r="Q104" s="1302">
        <v>2023492454</v>
      </c>
      <c r="R104" s="1307"/>
      <c r="S104" s="1303"/>
    </row>
    <row r="105" spans="2:19" s="386" customFormat="1" ht="13.15" customHeight="1">
      <c r="D105" s="431"/>
      <c r="E105" s="392" t="s">
        <v>2495</v>
      </c>
      <c r="H105" s="1308" t="s">
        <v>1240</v>
      </c>
      <c r="I105" s="417" t="s">
        <v>2953</v>
      </c>
      <c r="J105" s="1305">
        <v>200012612</v>
      </c>
      <c r="K105" s="1356"/>
      <c r="O105" s="782" t="s">
        <v>2690</v>
      </c>
      <c r="Q105" s="1302"/>
      <c r="R105" s="1307"/>
      <c r="S105" s="1303"/>
    </row>
    <row r="106" spans="2:19" ht="13.15" customHeight="1">
      <c r="E106" s="392" t="s">
        <v>2696</v>
      </c>
      <c r="F106" s="386"/>
      <c r="G106" s="386"/>
      <c r="H106" s="1302">
        <v>2023492454</v>
      </c>
      <c r="I106" s="1303"/>
      <c r="J106" s="1387"/>
      <c r="K106" s="790" t="s">
        <v>2498</v>
      </c>
      <c r="L106" s="1341">
        <v>2023492455</v>
      </c>
      <c r="M106" s="1356"/>
      <c r="N106" s="394" t="s">
        <v>2695</v>
      </c>
      <c r="O106" s="1309" t="s">
        <v>4097</v>
      </c>
      <c r="P106" s="1310"/>
      <c r="Q106" s="1310"/>
      <c r="R106" s="1310"/>
      <c r="S106" s="1311"/>
    </row>
    <row r="107" spans="2:19" ht="6" customHeight="1">
      <c r="E107" s="392"/>
      <c r="F107" s="386"/>
      <c r="G107" s="386"/>
      <c r="H107" s="386"/>
      <c r="I107" s="386"/>
      <c r="J107" s="386"/>
      <c r="K107" s="386"/>
      <c r="L107" s="386"/>
      <c r="M107" s="386"/>
      <c r="N107" s="386"/>
      <c r="O107" s="386"/>
      <c r="P107" s="386"/>
      <c r="Q107" s="790"/>
      <c r="R107" s="790"/>
      <c r="S107" s="1408"/>
    </row>
    <row r="108" spans="2:19" ht="0.6" customHeight="1">
      <c r="E108" s="392"/>
      <c r="F108" s="386"/>
      <c r="G108" s="787"/>
      <c r="H108" s="1391"/>
      <c r="I108" s="1391"/>
      <c r="J108" s="1391"/>
      <c r="K108" s="783"/>
      <c r="L108" s="1391"/>
      <c r="M108" s="1391"/>
      <c r="N108" s="783"/>
      <c r="O108" s="1392"/>
      <c r="P108" s="1392"/>
      <c r="Q108" s="790"/>
      <c r="R108" s="1392"/>
      <c r="S108" s="1392"/>
    </row>
    <row r="109" spans="2:19" s="386" customFormat="1" ht="13.15" customHeight="1">
      <c r="B109" s="389" t="s">
        <v>2428</v>
      </c>
      <c r="C109" s="389" t="s">
        <v>320</v>
      </c>
      <c r="H109" s="1294" t="s">
        <v>4118</v>
      </c>
      <c r="I109" s="1355"/>
      <c r="J109" s="1355"/>
      <c r="K109" s="1355"/>
      <c r="L109" s="1355"/>
      <c r="M109" s="1355"/>
      <c r="N109" s="1356"/>
      <c r="O109" s="782" t="s">
        <v>2701</v>
      </c>
      <c r="P109" s="782"/>
      <c r="Q109" s="1294" t="s">
        <v>4119</v>
      </c>
      <c r="R109" s="1355"/>
      <c r="S109" s="1356"/>
    </row>
    <row r="110" spans="2:19" s="386" customFormat="1" ht="13.15" customHeight="1">
      <c r="D110" s="431"/>
      <c r="E110" s="392" t="s">
        <v>1424</v>
      </c>
      <c r="F110" s="400"/>
      <c r="H110" s="1294" t="s">
        <v>4120</v>
      </c>
      <c r="I110" s="1355"/>
      <c r="J110" s="1355"/>
      <c r="K110" s="1355"/>
      <c r="L110" s="1355"/>
      <c r="M110" s="1355"/>
      <c r="N110" s="1356"/>
      <c r="O110" s="782" t="s">
        <v>2441</v>
      </c>
      <c r="Q110" s="1294" t="s">
        <v>4124</v>
      </c>
      <c r="R110" s="1355"/>
      <c r="S110" s="1356"/>
    </row>
    <row r="111" spans="2:19" s="386" customFormat="1" ht="13.15" customHeight="1">
      <c r="D111" s="431"/>
      <c r="E111" s="392" t="s">
        <v>798</v>
      </c>
      <c r="H111" s="1294" t="s">
        <v>4121</v>
      </c>
      <c r="I111" s="1355"/>
      <c r="J111" s="1356"/>
      <c r="O111" s="782" t="s">
        <v>2499</v>
      </c>
      <c r="Q111" s="1302">
        <v>2059915506</v>
      </c>
      <c r="R111" s="1307"/>
      <c r="S111" s="1303"/>
    </row>
    <row r="112" spans="2:19" s="386" customFormat="1" ht="13.15" customHeight="1">
      <c r="D112" s="431"/>
      <c r="E112" s="392" t="s">
        <v>2495</v>
      </c>
      <c r="H112" s="1308" t="s">
        <v>1232</v>
      </c>
      <c r="I112" s="417" t="s">
        <v>2953</v>
      </c>
      <c r="J112" s="1305">
        <v>352426584</v>
      </c>
      <c r="K112" s="1356"/>
      <c r="O112" s="782" t="s">
        <v>2690</v>
      </c>
      <c r="Q112" s="1302"/>
      <c r="R112" s="1307"/>
      <c r="S112" s="1303"/>
    </row>
    <row r="113" spans="1:19" ht="13.15" customHeight="1">
      <c r="E113" s="392" t="s">
        <v>2696</v>
      </c>
      <c r="F113" s="386"/>
      <c r="G113" s="386"/>
      <c r="H113" s="1302">
        <v>2059915506</v>
      </c>
      <c r="I113" s="1303"/>
      <c r="J113" s="1387"/>
      <c r="K113" s="790" t="s">
        <v>2498</v>
      </c>
      <c r="L113" s="1341">
        <v>2059915450</v>
      </c>
      <c r="M113" s="1356"/>
      <c r="N113" s="394" t="s">
        <v>2695</v>
      </c>
      <c r="O113" s="1309" t="s">
        <v>4122</v>
      </c>
      <c r="P113" s="1310"/>
      <c r="Q113" s="1310"/>
      <c r="R113" s="1310"/>
      <c r="S113" s="1311"/>
    </row>
    <row r="114" spans="1:19" ht="6.6" customHeight="1">
      <c r="E114" s="392"/>
      <c r="F114" s="386"/>
      <c r="G114" s="787"/>
      <c r="H114" s="1393"/>
      <c r="I114" s="1393"/>
      <c r="J114" s="1393"/>
      <c r="K114" s="790"/>
      <c r="L114" s="1393"/>
      <c r="M114" s="1393"/>
      <c r="N114" s="783"/>
      <c r="O114" s="1392"/>
      <c r="P114" s="1392"/>
      <c r="Q114" s="790"/>
      <c r="R114" s="1392"/>
      <c r="S114" s="1392"/>
    </row>
    <row r="115" spans="1:19" s="386" customFormat="1" ht="13.15" customHeight="1">
      <c r="B115" s="389" t="s">
        <v>2429</v>
      </c>
      <c r="C115" s="389" t="s">
        <v>321</v>
      </c>
      <c r="H115" s="1294" t="s">
        <v>4099</v>
      </c>
      <c r="I115" s="1355"/>
      <c r="J115" s="1355"/>
      <c r="K115" s="1355"/>
      <c r="L115" s="1355"/>
      <c r="M115" s="1355"/>
      <c r="N115" s="1356"/>
      <c r="O115" s="782" t="s">
        <v>2701</v>
      </c>
      <c r="P115" s="782"/>
      <c r="Q115" s="1294" t="s">
        <v>4151</v>
      </c>
      <c r="R115" s="1355"/>
      <c r="S115" s="1356"/>
    </row>
    <row r="116" spans="1:19" s="386" customFormat="1" ht="13.15" customHeight="1">
      <c r="D116" s="431"/>
      <c r="E116" s="392" t="s">
        <v>1424</v>
      </c>
      <c r="F116" s="400"/>
      <c r="H116" s="1294" t="s">
        <v>4101</v>
      </c>
      <c r="I116" s="1355"/>
      <c r="J116" s="1355"/>
      <c r="K116" s="1355"/>
      <c r="L116" s="1355"/>
      <c r="M116" s="1355"/>
      <c r="N116" s="1356"/>
      <c r="O116" s="782" t="s">
        <v>2441</v>
      </c>
      <c r="Q116" s="1294" t="s">
        <v>4096</v>
      </c>
      <c r="R116" s="1355"/>
      <c r="S116" s="1356"/>
    </row>
    <row r="117" spans="1:19" s="386" customFormat="1" ht="13.15" customHeight="1">
      <c r="D117" s="431"/>
      <c r="E117" s="392" t="s">
        <v>798</v>
      </c>
      <c r="H117" s="1294" t="s">
        <v>4152</v>
      </c>
      <c r="I117" s="1355"/>
      <c r="J117" s="1356"/>
      <c r="O117" s="782" t="s">
        <v>2499</v>
      </c>
      <c r="Q117" s="1302">
        <v>4043244201</v>
      </c>
      <c r="R117" s="1307"/>
      <c r="S117" s="1303"/>
    </row>
    <row r="118" spans="1:19" s="386" customFormat="1" ht="13.15" customHeight="1">
      <c r="D118" s="436"/>
      <c r="E118" s="392" t="s">
        <v>2495</v>
      </c>
      <c r="H118" s="1308" t="s">
        <v>1242</v>
      </c>
      <c r="I118" s="417" t="s">
        <v>2953</v>
      </c>
      <c r="J118" s="1305">
        <v>303285380</v>
      </c>
      <c r="K118" s="1356"/>
      <c r="O118" s="782" t="s">
        <v>2690</v>
      </c>
      <c r="Q118" s="1302"/>
      <c r="R118" s="1307"/>
      <c r="S118" s="1303"/>
    </row>
    <row r="119" spans="1:19" s="386" customFormat="1" ht="13.15" customHeight="1">
      <c r="D119" s="436"/>
      <c r="E119" s="392" t="s">
        <v>2696</v>
      </c>
      <c r="H119" s="1302">
        <v>4043274200</v>
      </c>
      <c r="I119" s="1303"/>
      <c r="J119" s="1387"/>
      <c r="K119" s="790" t="s">
        <v>2498</v>
      </c>
      <c r="L119" s="1341">
        <v>4043244219</v>
      </c>
      <c r="M119" s="1356"/>
      <c r="N119" s="394" t="s">
        <v>2695</v>
      </c>
      <c r="O119" s="1309" t="s">
        <v>4100</v>
      </c>
      <c r="P119" s="1310"/>
      <c r="Q119" s="1310"/>
      <c r="R119" s="1310"/>
      <c r="S119" s="1311"/>
    </row>
    <row r="120" spans="1:19" ht="13.15" customHeight="1"/>
    <row r="121" spans="1:19" s="386" customFormat="1" ht="13.15" customHeight="1">
      <c r="A121" s="389" t="s">
        <v>2488</v>
      </c>
      <c r="B121" s="389" t="s">
        <v>3400</v>
      </c>
      <c r="F121" s="389"/>
      <c r="G121" s="790"/>
      <c r="H121" s="790"/>
      <c r="I121" s="790"/>
      <c r="J121" s="790"/>
      <c r="K121" s="790"/>
      <c r="L121" s="790"/>
      <c r="M121" s="790"/>
      <c r="N121" s="790"/>
      <c r="O121" s="790"/>
      <c r="P121" s="790"/>
      <c r="Q121" s="779"/>
    </row>
    <row r="122" spans="1:19" s="386" customFormat="1" ht="6.6" customHeight="1">
      <c r="A122" s="389"/>
      <c r="B122" s="389"/>
      <c r="F122" s="389"/>
      <c r="G122" s="790"/>
      <c r="H122" s="790"/>
      <c r="I122" s="790"/>
      <c r="J122" s="790"/>
      <c r="K122" s="790"/>
      <c r="L122" s="790"/>
      <c r="M122" s="790"/>
      <c r="N122" s="790"/>
      <c r="O122" s="790"/>
      <c r="P122" s="790"/>
      <c r="Q122" s="779"/>
    </row>
    <row r="123" spans="1:19" s="386" customFormat="1" ht="21.6" customHeight="1">
      <c r="A123" s="848" t="s">
        <v>820</v>
      </c>
      <c r="B123" s="1409"/>
      <c r="C123" s="1409"/>
      <c r="D123" s="1410"/>
      <c r="E123" s="849" t="s">
        <v>3949</v>
      </c>
      <c r="F123" s="852" t="s">
        <v>3097</v>
      </c>
      <c r="G123" s="856" t="s">
        <v>3098</v>
      </c>
      <c r="H123" s="857"/>
      <c r="I123" s="858"/>
      <c r="J123" s="856" t="s">
        <v>3099</v>
      </c>
      <c r="K123" s="865"/>
      <c r="L123" s="856" t="s">
        <v>3100</v>
      </c>
      <c r="M123" s="870"/>
      <c r="N123" s="856" t="s">
        <v>3101</v>
      </c>
      <c r="O123" s="858"/>
      <c r="P123" s="856" t="s">
        <v>3102</v>
      </c>
      <c r="Q123" s="858"/>
      <c r="R123" s="856" t="s">
        <v>3103</v>
      </c>
      <c r="S123" s="875"/>
    </row>
    <row r="124" spans="1:19" s="386" customFormat="1" ht="21.6" customHeight="1">
      <c r="A124" s="1411"/>
      <c r="B124" s="1412"/>
      <c r="C124" s="1412"/>
      <c r="D124" s="1413"/>
      <c r="E124" s="850"/>
      <c r="F124" s="853"/>
      <c r="G124" s="859"/>
      <c r="H124" s="860"/>
      <c r="I124" s="861"/>
      <c r="J124" s="866"/>
      <c r="K124" s="867"/>
      <c r="L124" s="859"/>
      <c r="M124" s="871"/>
      <c r="N124" s="859"/>
      <c r="O124" s="861"/>
      <c r="P124" s="859"/>
      <c r="Q124" s="861"/>
      <c r="R124" s="859"/>
      <c r="S124" s="876"/>
    </row>
    <row r="125" spans="1:19" s="386" customFormat="1" ht="21.6" customHeight="1">
      <c r="A125" s="1411"/>
      <c r="B125" s="1412"/>
      <c r="C125" s="1412"/>
      <c r="D125" s="1413"/>
      <c r="E125" s="850"/>
      <c r="F125" s="854"/>
      <c r="G125" s="859"/>
      <c r="H125" s="860"/>
      <c r="I125" s="861"/>
      <c r="J125" s="866"/>
      <c r="K125" s="867"/>
      <c r="L125" s="872"/>
      <c r="M125" s="871"/>
      <c r="N125" s="859"/>
      <c r="O125" s="861"/>
      <c r="P125" s="859"/>
      <c r="Q125" s="861"/>
      <c r="R125" s="877"/>
      <c r="S125" s="876"/>
    </row>
    <row r="126" spans="1:19" s="386" customFormat="1" ht="21.6" customHeight="1">
      <c r="A126" s="1411"/>
      <c r="B126" s="1412"/>
      <c r="C126" s="1412"/>
      <c r="D126" s="1413"/>
      <c r="E126" s="850"/>
      <c r="F126" s="854"/>
      <c r="G126" s="859"/>
      <c r="H126" s="860"/>
      <c r="I126" s="861"/>
      <c r="J126" s="866"/>
      <c r="K126" s="867"/>
      <c r="L126" s="872"/>
      <c r="M126" s="871"/>
      <c r="N126" s="859"/>
      <c r="O126" s="861"/>
      <c r="P126" s="859"/>
      <c r="Q126" s="861"/>
      <c r="R126" s="877"/>
      <c r="S126" s="876"/>
    </row>
    <row r="127" spans="1:19" s="386" customFormat="1" ht="21.6" customHeight="1">
      <c r="A127" s="1414"/>
      <c r="B127" s="1415"/>
      <c r="C127" s="1415"/>
      <c r="D127" s="1416"/>
      <c r="E127" s="851"/>
      <c r="F127" s="855"/>
      <c r="G127" s="862"/>
      <c r="H127" s="863"/>
      <c r="I127" s="864"/>
      <c r="J127" s="868"/>
      <c r="K127" s="869"/>
      <c r="L127" s="873"/>
      <c r="M127" s="874"/>
      <c r="N127" s="862"/>
      <c r="O127" s="864"/>
      <c r="P127" s="862"/>
      <c r="Q127" s="864"/>
      <c r="R127" s="878"/>
      <c r="S127" s="879"/>
    </row>
    <row r="128" spans="1:19" s="386" customFormat="1" ht="15" customHeight="1">
      <c r="A128" s="788" t="s">
        <v>3096</v>
      </c>
      <c r="B128" s="789"/>
      <c r="C128" s="789"/>
      <c r="D128" s="795"/>
      <c r="E128" s="1417" t="s">
        <v>4074</v>
      </c>
      <c r="F128" s="1417" t="s">
        <v>4074</v>
      </c>
      <c r="G128" s="1418" t="s">
        <v>4074</v>
      </c>
      <c r="H128" s="1419"/>
      <c r="I128" s="1420"/>
      <c r="J128" s="1418" t="s">
        <v>4073</v>
      </c>
      <c r="K128" s="1420"/>
      <c r="L128" s="1418" t="s">
        <v>4074</v>
      </c>
      <c r="M128" s="1420"/>
      <c r="N128" s="1418" t="s">
        <v>4074</v>
      </c>
      <c r="O128" s="1420"/>
      <c r="P128" s="1421" t="s">
        <v>3397</v>
      </c>
      <c r="Q128" s="1422"/>
      <c r="R128" s="1423">
        <v>8.0000000000000007E-5</v>
      </c>
      <c r="S128" s="1424"/>
    </row>
    <row r="129" spans="1:19" s="386" customFormat="1" ht="15" customHeight="1">
      <c r="A129" s="786" t="s">
        <v>3086</v>
      </c>
      <c r="B129" s="787"/>
      <c r="C129" s="787"/>
      <c r="D129" s="793"/>
      <c r="E129" s="1425" t="s">
        <v>4074</v>
      </c>
      <c r="F129" s="1425" t="s">
        <v>4074</v>
      </c>
      <c r="G129" s="1426" t="s">
        <v>4074</v>
      </c>
      <c r="H129" s="1427"/>
      <c r="I129" s="1428"/>
      <c r="J129" s="1426" t="s">
        <v>4074</v>
      </c>
      <c r="K129" s="1428"/>
      <c r="L129" s="1426" t="s">
        <v>4074</v>
      </c>
      <c r="M129" s="1428"/>
      <c r="N129" s="1426" t="s">
        <v>4074</v>
      </c>
      <c r="O129" s="1428"/>
      <c r="P129" s="1429" t="s">
        <v>3397</v>
      </c>
      <c r="Q129" s="1430"/>
      <c r="R129" s="1431">
        <v>2.0000000000000002E-5</v>
      </c>
      <c r="S129" s="1432"/>
    </row>
    <row r="130" spans="1:19" s="386" customFormat="1" ht="15" customHeight="1">
      <c r="A130" s="786" t="s">
        <v>3087</v>
      </c>
      <c r="B130" s="787"/>
      <c r="C130" s="787"/>
      <c r="D130" s="793"/>
      <c r="E130" s="1425"/>
      <c r="F130" s="1425"/>
      <c r="G130" s="1426"/>
      <c r="H130" s="1427"/>
      <c r="I130" s="1428"/>
      <c r="J130" s="1426"/>
      <c r="K130" s="1428"/>
      <c r="L130" s="1426"/>
      <c r="M130" s="1428"/>
      <c r="N130" s="1426"/>
      <c r="O130" s="1428"/>
      <c r="P130" s="1429"/>
      <c r="Q130" s="1430"/>
      <c r="R130" s="1431"/>
      <c r="S130" s="1432"/>
    </row>
    <row r="131" spans="1:19" s="386" customFormat="1" ht="15" customHeight="1">
      <c r="A131" s="786" t="s">
        <v>3088</v>
      </c>
      <c r="B131" s="787"/>
      <c r="C131" s="787"/>
      <c r="D131" s="793"/>
      <c r="E131" s="1425" t="s">
        <v>4074</v>
      </c>
      <c r="F131" s="1425" t="s">
        <v>4074</v>
      </c>
      <c r="G131" s="1426" t="s">
        <v>4074</v>
      </c>
      <c r="H131" s="1427"/>
      <c r="I131" s="1428"/>
      <c r="J131" s="1426" t="s">
        <v>4074</v>
      </c>
      <c r="K131" s="1428"/>
      <c r="L131" s="1426" t="s">
        <v>4074</v>
      </c>
      <c r="M131" s="1428"/>
      <c r="N131" s="1426" t="s">
        <v>4074</v>
      </c>
      <c r="O131" s="1428"/>
      <c r="P131" s="1429" t="s">
        <v>4095</v>
      </c>
      <c r="Q131" s="1430"/>
      <c r="R131" s="1431">
        <v>0.99980000000000002</v>
      </c>
      <c r="S131" s="1432"/>
    </row>
    <row r="132" spans="1:19" s="386" customFormat="1" ht="15" customHeight="1">
      <c r="A132" s="786" t="s">
        <v>3089</v>
      </c>
      <c r="B132" s="787"/>
      <c r="C132" s="787"/>
      <c r="D132" s="793"/>
      <c r="E132" s="1425" t="s">
        <v>4074</v>
      </c>
      <c r="F132" s="1425" t="s">
        <v>4074</v>
      </c>
      <c r="G132" s="1426" t="s">
        <v>4074</v>
      </c>
      <c r="H132" s="1427"/>
      <c r="I132" s="1428"/>
      <c r="J132" s="1426" t="s">
        <v>4074</v>
      </c>
      <c r="K132" s="1428"/>
      <c r="L132" s="1426" t="s">
        <v>4074</v>
      </c>
      <c r="M132" s="1428"/>
      <c r="N132" s="1426" t="s">
        <v>4074</v>
      </c>
      <c r="O132" s="1428"/>
      <c r="P132" s="1429" t="s">
        <v>4095</v>
      </c>
      <c r="Q132" s="1430"/>
      <c r="R132" s="1431">
        <v>1E-4</v>
      </c>
      <c r="S132" s="1432"/>
    </row>
    <row r="133" spans="1:19" s="386" customFormat="1" ht="15" customHeight="1">
      <c r="A133" s="786" t="s">
        <v>3090</v>
      </c>
      <c r="B133" s="787"/>
      <c r="C133" s="787"/>
      <c r="D133" s="793"/>
      <c r="E133" s="1425" t="s">
        <v>4074</v>
      </c>
      <c r="F133" s="1425" t="s">
        <v>4074</v>
      </c>
      <c r="G133" s="1426" t="s">
        <v>4074</v>
      </c>
      <c r="H133" s="1427"/>
      <c r="I133" s="1428"/>
      <c r="J133" s="1426" t="s">
        <v>4073</v>
      </c>
      <c r="K133" s="1428"/>
      <c r="L133" s="1426" t="s">
        <v>4074</v>
      </c>
      <c r="M133" s="1428"/>
      <c r="N133" s="1426" t="s">
        <v>4074</v>
      </c>
      <c r="O133" s="1428"/>
      <c r="P133" s="1429" t="s">
        <v>3397</v>
      </c>
      <c r="Q133" s="1430"/>
      <c r="R133" s="1431">
        <v>0</v>
      </c>
      <c r="S133" s="1432"/>
    </row>
    <row r="134" spans="1:19" s="386" customFormat="1" ht="15" customHeight="1">
      <c r="A134" s="786" t="s">
        <v>838</v>
      </c>
      <c r="B134" s="787"/>
      <c r="C134" s="787"/>
      <c r="D134" s="793"/>
      <c r="E134" s="1425" t="s">
        <v>4074</v>
      </c>
      <c r="F134" s="1425" t="s">
        <v>4073</v>
      </c>
      <c r="G134" s="1426" t="s">
        <v>4074</v>
      </c>
      <c r="H134" s="1427"/>
      <c r="I134" s="1428"/>
      <c r="J134" s="1426" t="s">
        <v>4073</v>
      </c>
      <c r="K134" s="1428"/>
      <c r="L134" s="1426" t="s">
        <v>4074</v>
      </c>
      <c r="M134" s="1428"/>
      <c r="N134" s="1426" t="s">
        <v>4074</v>
      </c>
      <c r="O134" s="1428"/>
      <c r="P134" s="1429" t="s">
        <v>3397</v>
      </c>
      <c r="Q134" s="1430"/>
      <c r="R134" s="1431"/>
      <c r="S134" s="1432"/>
    </row>
    <row r="135" spans="1:19" s="386" customFormat="1" ht="15" customHeight="1">
      <c r="A135" s="786" t="s">
        <v>3091</v>
      </c>
      <c r="B135" s="787"/>
      <c r="C135" s="787"/>
      <c r="D135" s="793"/>
      <c r="E135" s="1425" t="s">
        <v>4074</v>
      </c>
      <c r="F135" s="1425" t="s">
        <v>4074</v>
      </c>
      <c r="G135" s="1426" t="s">
        <v>4074</v>
      </c>
      <c r="H135" s="1427"/>
      <c r="I135" s="1428"/>
      <c r="J135" s="1426" t="s">
        <v>4074</v>
      </c>
      <c r="K135" s="1428"/>
      <c r="L135" s="1426" t="s">
        <v>4074</v>
      </c>
      <c r="M135" s="1428"/>
      <c r="N135" s="1426" t="s">
        <v>4074</v>
      </c>
      <c r="O135" s="1428"/>
      <c r="P135" s="1429" t="s">
        <v>3397</v>
      </c>
      <c r="Q135" s="1430"/>
      <c r="R135" s="1431"/>
      <c r="S135" s="1432"/>
    </row>
    <row r="136" spans="1:19" s="386" customFormat="1" ht="15" customHeight="1">
      <c r="A136" s="786" t="s">
        <v>3092</v>
      </c>
      <c r="B136" s="787"/>
      <c r="C136" s="787"/>
      <c r="D136" s="793"/>
      <c r="E136" s="1425"/>
      <c r="F136" s="1425"/>
      <c r="G136" s="1426"/>
      <c r="H136" s="1427"/>
      <c r="I136" s="1428"/>
      <c r="J136" s="1426"/>
      <c r="K136" s="1428"/>
      <c r="L136" s="1426"/>
      <c r="M136" s="1428"/>
      <c r="N136" s="1426"/>
      <c r="O136" s="1428"/>
      <c r="P136" s="1429"/>
      <c r="Q136" s="1430"/>
      <c r="R136" s="1431"/>
      <c r="S136" s="1432"/>
    </row>
    <row r="137" spans="1:19" s="386" customFormat="1" ht="15" customHeight="1">
      <c r="A137" s="786" t="s">
        <v>3093</v>
      </c>
      <c r="B137" s="787"/>
      <c r="C137" s="787"/>
      <c r="D137" s="793"/>
      <c r="E137" s="1425"/>
      <c r="F137" s="1425"/>
      <c r="G137" s="1426"/>
      <c r="H137" s="1427"/>
      <c r="I137" s="1428"/>
      <c r="J137" s="1426"/>
      <c r="K137" s="1428"/>
      <c r="L137" s="1426"/>
      <c r="M137" s="1428"/>
      <c r="N137" s="1426"/>
      <c r="O137" s="1428"/>
      <c r="P137" s="1429"/>
      <c r="Q137" s="1430"/>
      <c r="R137" s="1431"/>
      <c r="S137" s="1432"/>
    </row>
    <row r="138" spans="1:19" s="386" customFormat="1" ht="15" customHeight="1">
      <c r="A138" s="786" t="s">
        <v>3094</v>
      </c>
      <c r="B138" s="787"/>
      <c r="C138" s="787"/>
      <c r="D138" s="793"/>
      <c r="E138" s="1425"/>
      <c r="F138" s="1425"/>
      <c r="G138" s="1426"/>
      <c r="H138" s="1427"/>
      <c r="I138" s="1428"/>
      <c r="J138" s="1426"/>
      <c r="K138" s="1428"/>
      <c r="L138" s="1426"/>
      <c r="M138" s="1428"/>
      <c r="N138" s="1426"/>
      <c r="O138" s="1428"/>
      <c r="P138" s="1429"/>
      <c r="Q138" s="1430"/>
      <c r="R138" s="1431"/>
      <c r="S138" s="1432"/>
    </row>
    <row r="139" spans="1:19" s="386" customFormat="1" ht="15" customHeight="1">
      <c r="A139" s="786" t="s">
        <v>1986</v>
      </c>
      <c r="B139" s="787"/>
      <c r="C139" s="787"/>
      <c r="D139" s="793"/>
      <c r="E139" s="1425" t="s">
        <v>4074</v>
      </c>
      <c r="F139" s="1425" t="s">
        <v>4074</v>
      </c>
      <c r="G139" s="1426" t="s">
        <v>4074</v>
      </c>
      <c r="H139" s="1427"/>
      <c r="I139" s="1428"/>
      <c r="J139" s="1426" t="s">
        <v>4074</v>
      </c>
      <c r="K139" s="1428"/>
      <c r="L139" s="1426" t="s">
        <v>4074</v>
      </c>
      <c r="M139" s="1428"/>
      <c r="N139" s="1426" t="s">
        <v>4074</v>
      </c>
      <c r="O139" s="1428"/>
      <c r="P139" s="1429" t="s">
        <v>4095</v>
      </c>
      <c r="Q139" s="1430"/>
      <c r="R139" s="1431"/>
      <c r="S139" s="1432"/>
    </row>
    <row r="140" spans="1:19" s="386" customFormat="1" ht="15" customHeight="1">
      <c r="A140" s="791" t="s">
        <v>3095</v>
      </c>
      <c r="B140" s="792"/>
      <c r="C140" s="792"/>
      <c r="D140" s="437"/>
      <c r="E140" s="1433" t="s">
        <v>4074</v>
      </c>
      <c r="F140" s="1433" t="s">
        <v>4074</v>
      </c>
      <c r="G140" s="1434" t="s">
        <v>4074</v>
      </c>
      <c r="H140" s="1435"/>
      <c r="I140" s="1436"/>
      <c r="J140" s="1434" t="s">
        <v>4074</v>
      </c>
      <c r="K140" s="1436"/>
      <c r="L140" s="1434" t="s">
        <v>4074</v>
      </c>
      <c r="M140" s="1436"/>
      <c r="N140" s="1434" t="s">
        <v>4074</v>
      </c>
      <c r="O140" s="1436"/>
      <c r="P140" s="1437" t="s">
        <v>4095</v>
      </c>
      <c r="Q140" s="1438"/>
      <c r="R140" s="1439"/>
      <c r="S140" s="1440"/>
    </row>
    <row r="141" spans="1:19" s="787" customFormat="1" ht="13.9" customHeight="1">
      <c r="G141" s="398"/>
      <c r="H141" s="398"/>
      <c r="I141" s="398"/>
      <c r="J141" s="790"/>
      <c r="K141" s="790"/>
      <c r="L141" s="790"/>
      <c r="M141" s="790"/>
      <c r="P141" s="396"/>
      <c r="Q141" s="413" t="s">
        <v>706</v>
      </c>
      <c r="R141" s="880">
        <f>SUM(R128:S140)</f>
        <v>1</v>
      </c>
      <c r="S141" s="881"/>
    </row>
    <row r="142" spans="1:19" s="787" customFormat="1" ht="12" customHeight="1">
      <c r="G142" s="398"/>
      <c r="H142" s="398"/>
      <c r="I142" s="398"/>
      <c r="J142" s="790"/>
      <c r="K142" s="790"/>
      <c r="L142" s="790"/>
      <c r="M142" s="790"/>
      <c r="P142" s="396"/>
      <c r="R142" s="387"/>
      <c r="S142" s="438"/>
    </row>
    <row r="143" spans="1:19" ht="12" customHeight="1">
      <c r="A143" s="415" t="s">
        <v>2490</v>
      </c>
      <c r="B143" s="430"/>
      <c r="C143" s="415" t="s">
        <v>744</v>
      </c>
      <c r="N143" s="415" t="s">
        <v>697</v>
      </c>
      <c r="O143" s="415" t="s">
        <v>83</v>
      </c>
    </row>
    <row r="144" spans="1:19" ht="3.6" customHeight="1">
      <c r="B144" s="430"/>
    </row>
    <row r="145" spans="1:24" ht="79.5" customHeight="1">
      <c r="A145" s="1375" t="s">
        <v>4175</v>
      </c>
      <c r="B145" s="1376"/>
      <c r="C145" s="1376"/>
      <c r="D145" s="1376"/>
      <c r="E145" s="1376"/>
      <c r="F145" s="1376"/>
      <c r="G145" s="1376"/>
      <c r="H145" s="1376"/>
      <c r="I145" s="1376"/>
      <c r="J145" s="1376"/>
      <c r="K145" s="1376"/>
      <c r="L145" s="1376"/>
      <c r="M145" s="1377"/>
      <c r="N145" s="1378"/>
      <c r="O145" s="1379"/>
      <c r="P145" s="1379"/>
      <c r="Q145" s="1379"/>
      <c r="R145" s="1379"/>
      <c r="S145" s="1380"/>
      <c r="T145" s="817" t="s">
        <v>3595</v>
      </c>
      <c r="U145" s="817"/>
      <c r="V145" s="817"/>
      <c r="W145" s="817"/>
      <c r="X145" s="817"/>
    </row>
    <row r="146" spans="1:24" s="386" customFormat="1" ht="12" customHeight="1">
      <c r="A146" s="393"/>
      <c r="B146" s="406"/>
      <c r="C146" s="406"/>
      <c r="D146" s="406"/>
      <c r="E146" s="406"/>
      <c r="F146" s="406"/>
      <c r="G146" s="406"/>
      <c r="H146" s="406"/>
      <c r="I146" s="406"/>
      <c r="J146" s="406"/>
      <c r="K146" s="406"/>
      <c r="L146" s="406"/>
      <c r="M146" s="406"/>
      <c r="N146" s="406"/>
      <c r="O146" s="406"/>
      <c r="T146" s="817"/>
      <c r="U146" s="817"/>
      <c r="V146" s="817"/>
      <c r="W146" s="817"/>
      <c r="X146" s="817"/>
    </row>
    <row r="147" spans="1:24" s="386" customFormat="1" ht="12" customHeight="1">
      <c r="A147" s="687"/>
      <c r="B147" s="406"/>
      <c r="C147" s="406"/>
      <c r="D147" s="406"/>
      <c r="E147" s="406"/>
      <c r="F147" s="406"/>
      <c r="G147" s="406"/>
      <c r="H147" s="406"/>
      <c r="I147" s="406"/>
      <c r="J147" s="406"/>
      <c r="K147" s="406"/>
      <c r="L147" s="406"/>
      <c r="M147" s="406"/>
      <c r="N147" s="406"/>
      <c r="O147" s="406"/>
    </row>
    <row r="148" spans="1:24" s="386" customFormat="1" ht="12" customHeight="1">
      <c r="A148" s="393"/>
      <c r="B148" s="406"/>
      <c r="C148" s="406"/>
      <c r="D148" s="406"/>
      <c r="E148" s="406"/>
      <c r="F148" s="406"/>
      <c r="G148" s="406"/>
      <c r="H148" s="406"/>
      <c r="I148" s="406"/>
      <c r="J148" s="406"/>
      <c r="K148" s="406"/>
      <c r="L148" s="406"/>
      <c r="M148" s="406"/>
      <c r="N148" s="406"/>
      <c r="O148" s="406"/>
    </row>
    <row r="149" spans="1:24" s="386" customFormat="1" ht="12" customHeight="1">
      <c r="A149" s="393"/>
      <c r="B149" s="406"/>
      <c r="C149" s="406"/>
      <c r="D149" s="406"/>
      <c r="E149" s="406"/>
      <c r="F149" s="406"/>
      <c r="G149" s="406"/>
      <c r="H149" s="406"/>
      <c r="I149" s="406"/>
      <c r="J149" s="406"/>
      <c r="K149" s="406"/>
      <c r="L149" s="406"/>
      <c r="M149" s="406"/>
      <c r="N149" s="406"/>
      <c r="O149" s="406"/>
    </row>
    <row r="150" spans="1:24" s="386" customFormat="1" ht="12" customHeight="1">
      <c r="B150" s="406"/>
      <c r="C150" s="406"/>
      <c r="D150" s="406"/>
      <c r="E150" s="406"/>
      <c r="F150" s="406"/>
      <c r="G150" s="406"/>
      <c r="H150" s="406"/>
      <c r="I150" s="406"/>
      <c r="J150" s="406"/>
      <c r="K150" s="406"/>
      <c r="L150" s="406"/>
      <c r="M150" s="406"/>
      <c r="N150" s="406"/>
      <c r="O150" s="406"/>
      <c r="P150" s="1441" t="s">
        <v>2495</v>
      </c>
    </row>
    <row r="151" spans="1:24" s="386" customFormat="1" ht="12" customHeight="1">
      <c r="A151" s="431"/>
      <c r="B151" s="406"/>
      <c r="C151" s="406"/>
      <c r="D151" s="406"/>
      <c r="E151" s="406"/>
      <c r="F151" s="406"/>
      <c r="G151" s="406"/>
      <c r="H151" s="406"/>
      <c r="I151" s="406"/>
      <c r="J151" s="406"/>
      <c r="K151" s="406"/>
      <c r="L151" s="406"/>
      <c r="M151" s="406"/>
      <c r="N151" s="406"/>
      <c r="O151" s="406"/>
      <c r="P151" s="1442" t="s">
        <v>1232</v>
      </c>
    </row>
    <row r="152" spans="1:24" s="386" customFormat="1" ht="12" customHeight="1">
      <c r="A152" s="431"/>
      <c r="B152" s="406"/>
      <c r="C152" s="406"/>
      <c r="D152" s="406"/>
      <c r="E152" s="406"/>
      <c r="F152" s="406"/>
      <c r="G152" s="406"/>
      <c r="H152" s="406"/>
      <c r="I152" s="406"/>
      <c r="J152" s="406"/>
      <c r="K152" s="406"/>
      <c r="L152" s="406"/>
      <c r="M152" s="406"/>
      <c r="N152" s="406"/>
      <c r="O152" s="406"/>
      <c r="P152" s="1442" t="s">
        <v>1233</v>
      </c>
    </row>
    <row r="153" spans="1:24" s="386" customFormat="1" ht="12" customHeight="1">
      <c r="A153" s="431"/>
      <c r="B153" s="406"/>
      <c r="C153" s="406"/>
      <c r="D153" s="406"/>
      <c r="E153" s="406"/>
      <c r="F153" s="406"/>
      <c r="G153" s="406"/>
      <c r="H153" s="406"/>
      <c r="I153" s="406"/>
      <c r="J153" s="406"/>
      <c r="K153" s="406"/>
      <c r="L153" s="406"/>
      <c r="M153" s="406"/>
      <c r="N153" s="406"/>
      <c r="O153" s="406"/>
      <c r="P153" s="1442" t="s">
        <v>1234</v>
      </c>
    </row>
    <row r="154" spans="1:24" s="386" customFormat="1" ht="12" customHeight="1">
      <c r="A154" s="687"/>
      <c r="B154" s="406"/>
      <c r="C154" s="406"/>
      <c r="D154" s="406"/>
      <c r="E154" s="406"/>
      <c r="F154" s="406"/>
      <c r="G154" s="406"/>
      <c r="H154" s="406"/>
      <c r="I154" s="406"/>
      <c r="J154" s="406"/>
      <c r="K154" s="406"/>
      <c r="L154" s="406"/>
      <c r="M154" s="406"/>
      <c r="N154" s="406"/>
      <c r="O154" s="406"/>
      <c r="P154" s="1442" t="s">
        <v>1235</v>
      </c>
    </row>
    <row r="155" spans="1:24" s="386" customFormat="1" ht="12" customHeight="1">
      <c r="B155" s="406"/>
      <c r="C155" s="406"/>
      <c r="D155" s="406"/>
      <c r="E155" s="406"/>
      <c r="F155" s="406"/>
      <c r="G155" s="406"/>
      <c r="H155" s="406"/>
      <c r="I155" s="406"/>
      <c r="J155" s="406"/>
      <c r="K155" s="406"/>
      <c r="L155" s="406"/>
      <c r="M155" s="406"/>
      <c r="N155" s="406"/>
      <c r="O155" s="406"/>
      <c r="P155" s="1442" t="s">
        <v>1236</v>
      </c>
    </row>
    <row r="156" spans="1:24" s="386" customFormat="1" ht="12" customHeight="1">
      <c r="B156" s="406"/>
      <c r="C156" s="406"/>
      <c r="D156" s="406"/>
      <c r="E156" s="406"/>
      <c r="F156" s="406"/>
      <c r="G156" s="406"/>
      <c r="H156" s="406"/>
      <c r="I156" s="406"/>
      <c r="J156" s="406"/>
      <c r="K156" s="406"/>
      <c r="L156" s="406"/>
      <c r="M156" s="406"/>
      <c r="N156" s="406"/>
      <c r="O156" s="406"/>
      <c r="P156" s="1442" t="s">
        <v>1237</v>
      </c>
    </row>
    <row r="157" spans="1:24" s="386" customFormat="1" ht="12" customHeight="1">
      <c r="B157" s="406"/>
      <c r="C157" s="406"/>
      <c r="D157" s="406"/>
      <c r="E157" s="406"/>
      <c r="F157" s="406"/>
      <c r="G157" s="406"/>
      <c r="H157" s="406"/>
      <c r="I157" s="406"/>
      <c r="J157" s="406"/>
      <c r="K157" s="406"/>
      <c r="L157" s="406"/>
      <c r="M157" s="406"/>
      <c r="N157" s="406"/>
      <c r="O157" s="406"/>
      <c r="P157" s="1442" t="s">
        <v>1238</v>
      </c>
    </row>
    <row r="158" spans="1:24" s="386" customFormat="1" ht="12" customHeight="1">
      <c r="B158" s="406"/>
      <c r="C158" s="406"/>
      <c r="D158" s="406"/>
      <c r="E158" s="406"/>
      <c r="F158" s="406"/>
      <c r="G158" s="406"/>
      <c r="H158" s="406"/>
      <c r="I158" s="406"/>
      <c r="J158" s="406"/>
      <c r="K158" s="406"/>
      <c r="L158" s="406"/>
      <c r="M158" s="406"/>
      <c r="N158" s="406"/>
      <c r="O158" s="406"/>
      <c r="P158" s="1442" t="s">
        <v>1239</v>
      </c>
    </row>
    <row r="159" spans="1:24" ht="12" customHeight="1">
      <c r="P159" s="1442" t="s">
        <v>1240</v>
      </c>
    </row>
    <row r="160" spans="1:24" ht="12" customHeight="1">
      <c r="A160" s="415"/>
      <c r="P160" s="1442" t="s">
        <v>1241</v>
      </c>
    </row>
    <row r="161" spans="16:16" ht="12" customHeight="1">
      <c r="P161" s="1442" t="s">
        <v>1242</v>
      </c>
    </row>
    <row r="162" spans="16:16" ht="12" customHeight="1">
      <c r="P162" s="1442" t="s">
        <v>1243</v>
      </c>
    </row>
    <row r="163" spans="16:16" ht="12" customHeight="1">
      <c r="P163" s="1442" t="s">
        <v>1244</v>
      </c>
    </row>
    <row r="164" spans="16:16" ht="12" customHeight="1">
      <c r="P164" s="1442" t="s">
        <v>1245</v>
      </c>
    </row>
    <row r="165" spans="16:16" ht="12" customHeight="1">
      <c r="P165" s="1442" t="s">
        <v>1246</v>
      </c>
    </row>
    <row r="166" spans="16:16" ht="12" customHeight="1">
      <c r="P166" s="1442" t="s">
        <v>1247</v>
      </c>
    </row>
    <row r="167" spans="16:16" ht="12" customHeight="1">
      <c r="P167" s="1442" t="s">
        <v>1248</v>
      </c>
    </row>
    <row r="168" spans="16:16" ht="12" customHeight="1">
      <c r="P168" s="1442" t="s">
        <v>1249</v>
      </c>
    </row>
    <row r="169" spans="16:16" ht="12" customHeight="1">
      <c r="P169" s="1442" t="s">
        <v>1250</v>
      </c>
    </row>
    <row r="170" spans="16:16" ht="12" customHeight="1">
      <c r="P170" s="1442" t="s">
        <v>1251</v>
      </c>
    </row>
    <row r="171" spans="16:16" ht="12" customHeight="1">
      <c r="P171" s="1442" t="s">
        <v>1252</v>
      </c>
    </row>
    <row r="172" spans="16:16" ht="12" customHeight="1">
      <c r="P172" s="1442" t="s">
        <v>1253</v>
      </c>
    </row>
    <row r="173" spans="16:16" ht="12" customHeight="1">
      <c r="P173" s="1442" t="s">
        <v>1254</v>
      </c>
    </row>
    <row r="174" spans="16:16" ht="12" customHeight="1">
      <c r="P174" s="1442" t="s">
        <v>1255</v>
      </c>
    </row>
    <row r="175" spans="16:16" ht="12" customHeight="1">
      <c r="P175" s="1442" t="s">
        <v>1256</v>
      </c>
    </row>
    <row r="176" spans="16:16" ht="12" customHeight="1">
      <c r="P176" s="1442" t="s">
        <v>1776</v>
      </c>
    </row>
    <row r="177" spans="16:16" ht="12" customHeight="1">
      <c r="P177" s="1442" t="s">
        <v>1777</v>
      </c>
    </row>
    <row r="178" spans="16:16" ht="12" customHeight="1">
      <c r="P178" s="1442" t="s">
        <v>1778</v>
      </c>
    </row>
    <row r="179" spans="16:16" ht="12" customHeight="1">
      <c r="P179" s="1442" t="s">
        <v>1779</v>
      </c>
    </row>
    <row r="180" spans="16:16" ht="12" customHeight="1">
      <c r="P180" s="1442" t="s">
        <v>1780</v>
      </c>
    </row>
    <row r="181" spans="16:16" ht="13.5">
      <c r="P181" s="1442" t="s">
        <v>1781</v>
      </c>
    </row>
    <row r="182" spans="16:16" ht="12" customHeight="1">
      <c r="P182" s="1442" t="s">
        <v>1782</v>
      </c>
    </row>
    <row r="183" spans="16:16" ht="12" customHeight="1">
      <c r="P183" s="1442" t="s">
        <v>1783</v>
      </c>
    </row>
    <row r="184" spans="16:16" ht="12" customHeight="1">
      <c r="P184" s="1442" t="s">
        <v>1784</v>
      </c>
    </row>
    <row r="185" spans="16:16" ht="12" customHeight="1">
      <c r="P185" s="1442" t="s">
        <v>1785</v>
      </c>
    </row>
    <row r="186" spans="16:16" ht="12" customHeight="1">
      <c r="P186" s="1442" t="s">
        <v>1786</v>
      </c>
    </row>
    <row r="187" spans="16:16" ht="12" customHeight="1">
      <c r="P187" s="1442" t="s">
        <v>1787</v>
      </c>
    </row>
    <row r="188" spans="16:16" ht="12" customHeight="1">
      <c r="P188" s="1442" t="s">
        <v>1788</v>
      </c>
    </row>
    <row r="189" spans="16:16" ht="12" customHeight="1">
      <c r="P189" s="1442" t="s">
        <v>1789</v>
      </c>
    </row>
    <row r="190" spans="16:16" ht="12" customHeight="1">
      <c r="P190" s="1442" t="s">
        <v>1790</v>
      </c>
    </row>
    <row r="191" spans="16:16" ht="12" customHeight="1">
      <c r="P191" s="1442" t="s">
        <v>1791</v>
      </c>
    </row>
    <row r="192" spans="16:16" ht="12" customHeight="1">
      <c r="P192" s="1442" t="s">
        <v>1792</v>
      </c>
    </row>
    <row r="193" spans="16:16" ht="12" customHeight="1">
      <c r="P193" s="1442" t="s">
        <v>1793</v>
      </c>
    </row>
    <row r="194" spans="16:16" ht="12" customHeight="1">
      <c r="P194" s="1442" t="s">
        <v>1794</v>
      </c>
    </row>
    <row r="195" spans="16:16" ht="12" customHeight="1">
      <c r="P195" s="1442" t="s">
        <v>1795</v>
      </c>
    </row>
    <row r="196" spans="16:16" ht="12" customHeight="1">
      <c r="P196" s="1442" t="s">
        <v>1796</v>
      </c>
    </row>
    <row r="197" spans="16:16" ht="12" customHeight="1">
      <c r="P197" s="1442" t="s">
        <v>1797</v>
      </c>
    </row>
    <row r="198" spans="16:16" ht="12" customHeight="1">
      <c r="P198" s="1442" t="s">
        <v>1798</v>
      </c>
    </row>
    <row r="199" spans="16:16" ht="12" customHeight="1">
      <c r="P199" s="1442" t="s">
        <v>1799</v>
      </c>
    </row>
    <row r="200" spans="16:16" ht="12" customHeight="1">
      <c r="P200" s="1442" t="s">
        <v>1800</v>
      </c>
    </row>
    <row r="201" spans="16:16" ht="12" customHeight="1">
      <c r="P201" s="1442" t="s">
        <v>1801</v>
      </c>
    </row>
  </sheetData>
  <sheetProtection password="BD88" sheet="1" objects="1" scenarios="1" formatColumns="0" formatRows="0"/>
  <mergeCells count="281">
    <mergeCell ref="T145:X146"/>
    <mergeCell ref="R141:S141"/>
    <mergeCell ref="P140:Q140"/>
    <mergeCell ref="R140:S140"/>
    <mergeCell ref="L140:M140"/>
    <mergeCell ref="N140:O140"/>
    <mergeCell ref="G139:I139"/>
    <mergeCell ref="J139:K139"/>
    <mergeCell ref="G140:I140"/>
    <mergeCell ref="J140:K140"/>
    <mergeCell ref="L139:M139"/>
    <mergeCell ref="N139:O139"/>
    <mergeCell ref="N145:S145"/>
    <mergeCell ref="A145:M14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P136:Q136"/>
    <mergeCell ref="R136:S136"/>
    <mergeCell ref="G135:I135"/>
    <mergeCell ref="J135:K135"/>
    <mergeCell ref="G136:I136"/>
    <mergeCell ref="J136:K136"/>
    <mergeCell ref="L136:M136"/>
    <mergeCell ref="N136:O136"/>
    <mergeCell ref="L135:M135"/>
    <mergeCell ref="N135:O135"/>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2:Q132"/>
    <mergeCell ref="R132:S132"/>
    <mergeCell ref="G131:I131"/>
    <mergeCell ref="J131:K131"/>
    <mergeCell ref="G132:I132"/>
    <mergeCell ref="J132:K132"/>
    <mergeCell ref="L132:M132"/>
    <mergeCell ref="N132:O132"/>
    <mergeCell ref="L131:M131"/>
    <mergeCell ref="N131:O131"/>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L128:M128"/>
    <mergeCell ref="N128:O128"/>
    <mergeCell ref="P128:Q128"/>
    <mergeCell ref="R128:S128"/>
    <mergeCell ref="H119:I119"/>
    <mergeCell ref="L119:M119"/>
    <mergeCell ref="O119:S119"/>
    <mergeCell ref="R123:S127"/>
    <mergeCell ref="G128:I128"/>
    <mergeCell ref="J128:K128"/>
    <mergeCell ref="F123:F127"/>
    <mergeCell ref="G123:I127"/>
    <mergeCell ref="J123:K127"/>
    <mergeCell ref="L123:M127"/>
    <mergeCell ref="N123:O127"/>
    <mergeCell ref="P123:Q127"/>
    <mergeCell ref="H117:J117"/>
    <mergeCell ref="Q117:S117"/>
    <mergeCell ref="J118:K118"/>
    <mergeCell ref="Q118:S118"/>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H92:J92"/>
    <mergeCell ref="Q92:S92"/>
    <mergeCell ref="J93:K93"/>
    <mergeCell ref="Q93:S93"/>
    <mergeCell ref="H90:N90"/>
    <mergeCell ref="Q90:S90"/>
    <mergeCell ref="H91:N91"/>
    <mergeCell ref="Q91:S91"/>
    <mergeCell ref="J87:K87"/>
    <mergeCell ref="Q87:S87"/>
    <mergeCell ref="H88:I88"/>
    <mergeCell ref="L88:M88"/>
    <mergeCell ref="O88:S88"/>
    <mergeCell ref="H85:N85"/>
    <mergeCell ref="Q85:S85"/>
    <mergeCell ref="H86:J86"/>
    <mergeCell ref="Q86:S86"/>
    <mergeCell ref="H80:I80"/>
    <mergeCell ref="L80:M80"/>
    <mergeCell ref="O80:S80"/>
    <mergeCell ref="H84:N84"/>
    <mergeCell ref="Q84:S84"/>
    <mergeCell ref="H78:J78"/>
    <mergeCell ref="Q78:S78"/>
    <mergeCell ref="J79:K79"/>
    <mergeCell ref="Q79:S79"/>
    <mergeCell ref="H76:N76"/>
    <mergeCell ref="Q76:S76"/>
    <mergeCell ref="H77:N77"/>
    <mergeCell ref="Q77:S77"/>
    <mergeCell ref="J73:K73"/>
    <mergeCell ref="Q73:S73"/>
    <mergeCell ref="H74:I74"/>
    <mergeCell ref="L74:M74"/>
    <mergeCell ref="O74:S74"/>
    <mergeCell ref="H71:N71"/>
    <mergeCell ref="Q71:S71"/>
    <mergeCell ref="H72:J72"/>
    <mergeCell ref="Q72:S72"/>
    <mergeCell ref="H68:I68"/>
    <mergeCell ref="L68:M68"/>
    <mergeCell ref="O68:S68"/>
    <mergeCell ref="H70:N70"/>
    <mergeCell ref="Q70:S70"/>
    <mergeCell ref="H66:J66"/>
    <mergeCell ref="Q66:S66"/>
    <mergeCell ref="J67:K67"/>
    <mergeCell ref="Q67:S67"/>
    <mergeCell ref="H64:N64"/>
    <mergeCell ref="Q64:S64"/>
    <mergeCell ref="H65:N65"/>
    <mergeCell ref="Q65:S65"/>
    <mergeCell ref="J61:K61"/>
    <mergeCell ref="Q61:S61"/>
    <mergeCell ref="H62:I62"/>
    <mergeCell ref="L62:M62"/>
    <mergeCell ref="O62:S62"/>
    <mergeCell ref="H59:N59"/>
    <mergeCell ref="Q59:S59"/>
    <mergeCell ref="H60:J60"/>
    <mergeCell ref="Q60:S60"/>
    <mergeCell ref="H54:I54"/>
    <mergeCell ref="L54:M54"/>
    <mergeCell ref="O54:S54"/>
    <mergeCell ref="H58:N58"/>
    <mergeCell ref="Q58:S58"/>
    <mergeCell ref="H52:J52"/>
    <mergeCell ref="Q52:S52"/>
    <mergeCell ref="J53:K53"/>
    <mergeCell ref="Q53:S53"/>
    <mergeCell ref="H50:N50"/>
    <mergeCell ref="Q50:S50"/>
    <mergeCell ref="H51:N51"/>
    <mergeCell ref="Q51:S51"/>
    <mergeCell ref="J45:K45"/>
    <mergeCell ref="Q45:S45"/>
    <mergeCell ref="H46:I46"/>
    <mergeCell ref="L46:M46"/>
    <mergeCell ref="O46:S46"/>
    <mergeCell ref="H43:N43"/>
    <mergeCell ref="Q43:S43"/>
    <mergeCell ref="H44:J44"/>
    <mergeCell ref="Q44:S44"/>
    <mergeCell ref="H40:I40"/>
    <mergeCell ref="L40:M40"/>
    <mergeCell ref="O40:S40"/>
    <mergeCell ref="H42:N42"/>
    <mergeCell ref="Q42:S42"/>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H16:N16"/>
    <mergeCell ref="Q16:S16"/>
    <mergeCell ref="H22:N22"/>
    <mergeCell ref="Q22:S22"/>
    <mergeCell ref="H23:N23"/>
    <mergeCell ref="Q23:S23"/>
    <mergeCell ref="J19:K19"/>
    <mergeCell ref="Q19:S19"/>
    <mergeCell ref="H20:I20"/>
    <mergeCell ref="L20:M20"/>
    <mergeCell ref="O20:S20"/>
    <mergeCell ref="M8:N8"/>
    <mergeCell ref="A1:S1"/>
    <mergeCell ref="H5:N5"/>
    <mergeCell ref="Q5:S5"/>
    <mergeCell ref="H6:N6"/>
    <mergeCell ref="Q6:S6"/>
    <mergeCell ref="A123:D127"/>
    <mergeCell ref="E123:E127"/>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s>
  <phoneticPr fontId="7"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 ref="P14" r:id="rId2"/>
  </hyperlinks>
  <printOptions horizontalCentered="1"/>
  <pageMargins left="0.5" right="0.5" top="0.75" bottom="0.5" header="0.5" footer="0.25"/>
  <pageSetup fitToHeight="0" orientation="landscape" r:id="rId3"/>
  <headerFooter alignWithMargins="0">
    <oddHeader>&amp;LGeorgia Department of Community Affairs&amp;C2013 Funding Application&amp;RHousing Finance and Development Division</oddHeader>
    <oddFooter>&amp;L&amp;"Arial Narrow,Regular"&amp;G &amp;F - Mar 2013&amp;C&amp;"Arial Narrow,Regular"&amp;A&amp;R&amp;"Arial Narrow,Regular"&amp;P of &amp;N</oddFooter>
  </headerFooter>
  <rowBreaks count="3" manualBreakCount="3">
    <brk id="47" max="16383" man="1"/>
    <brk id="81" max="16383" man="1"/>
    <brk id="120" max="16383" man="1"/>
  </rowBreaks>
  <legacyDrawingHF r:id="rId4"/>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zoomScaleNormal="100" zoomScaleSheetLayoutView="90" workbookViewId="0">
      <selection activeCell="A18" sqref="A1:XFD1048576"/>
    </sheetView>
  </sheetViews>
  <sheetFormatPr defaultColWidth="9.140625" defaultRowHeight="13.5"/>
  <cols>
    <col min="1" max="1" width="4.28515625" style="439" customWidth="1"/>
    <col min="2" max="17" width="7.7109375" style="439" customWidth="1"/>
    <col min="18" max="18" width="3.28515625" style="439" customWidth="1"/>
    <col min="19" max="19" width="13.5703125" style="439" customWidth="1"/>
    <col min="20" max="20" width="98.7109375" style="439" customWidth="1"/>
    <col min="21" max="16384" width="9.140625" style="439"/>
  </cols>
  <sheetData>
    <row r="1" spans="1:20" s="351" customFormat="1" ht="13.9" customHeight="1">
      <c r="A1" s="845" t="str">
        <f>CONCATENATE("PART THREE - SOURCES OF FUNDS","  -  ",'Part I-Project Information'!$O$4," ",'Part I-Project Information'!$F$23,", ",'Part I-Project Information'!$F$26,", ",'Part I-Project Information'!$J$27," County")</f>
        <v>PART THREE - SOURCES OF FUNDS  -  2013-011 Mountain View Senior Residences, Stone Mountain, DeKalb County</v>
      </c>
      <c r="B1" s="846"/>
      <c r="C1" s="846"/>
      <c r="D1" s="846"/>
      <c r="E1" s="846"/>
      <c r="F1" s="846"/>
      <c r="G1" s="846"/>
      <c r="H1" s="846"/>
      <c r="I1" s="846"/>
      <c r="J1" s="846"/>
      <c r="K1" s="846"/>
      <c r="L1" s="846"/>
      <c r="M1" s="846"/>
      <c r="N1" s="846"/>
      <c r="O1" s="846"/>
      <c r="P1" s="846"/>
      <c r="Q1" s="847"/>
      <c r="S1" s="916" t="str">
        <f>$A$1</f>
        <v>PART THREE - SOURCES OF FUNDS  -  2013-011 Mountain View Senior Residences, Stone Mountain, DeKalb County</v>
      </c>
      <c r="T1" s="916"/>
    </row>
    <row r="2" spans="1:20" ht="17.45" customHeight="1">
      <c r="A2" s="406"/>
      <c r="B2" s="406"/>
      <c r="C2" s="406"/>
      <c r="D2" s="406"/>
      <c r="E2" s="406"/>
      <c r="F2" s="406"/>
      <c r="G2" s="406"/>
      <c r="H2" s="406"/>
      <c r="I2" s="406"/>
      <c r="J2" s="406"/>
      <c r="K2" s="406"/>
      <c r="L2" s="406"/>
      <c r="M2" s="406"/>
      <c r="N2" s="406"/>
      <c r="O2" s="406"/>
      <c r="P2" s="406"/>
      <c r="Q2" s="406"/>
    </row>
    <row r="3" spans="1:20" s="351" customFormat="1" ht="13.15" customHeight="1">
      <c r="A3" s="389" t="s">
        <v>796</v>
      </c>
      <c r="B3" s="409" t="s">
        <v>3272</v>
      </c>
      <c r="C3" s="386"/>
      <c r="D3" s="787"/>
      <c r="E3" s="787"/>
      <c r="F3" s="787"/>
      <c r="G3" s="787"/>
      <c r="J3" s="787"/>
      <c r="K3" s="787"/>
      <c r="L3" s="787"/>
      <c r="M3" s="787"/>
      <c r="N3" s="787"/>
      <c r="S3" s="440" t="str">
        <f>B3</f>
        <v>GOVERNMENT FUNDING SOURCES  (check all that apply)</v>
      </c>
    </row>
    <row r="4" spans="1:20" s="351" customFormat="1" ht="13.9" customHeight="1">
      <c r="A4" s="415"/>
      <c r="B4" s="687"/>
      <c r="C4" s="409"/>
      <c r="D4" s="787"/>
      <c r="E4" s="787"/>
      <c r="F4" s="787"/>
      <c r="G4" s="787"/>
      <c r="I4" s="386"/>
      <c r="J4" s="386"/>
      <c r="K4" s="386"/>
      <c r="L4" s="386"/>
      <c r="M4" s="386"/>
      <c r="S4" s="906" t="s">
        <v>3547</v>
      </c>
      <c r="T4" s="906"/>
    </row>
    <row r="5" spans="1:20" s="351" customFormat="1" ht="16.899999999999999" customHeight="1">
      <c r="A5" s="687"/>
      <c r="B5" s="1308" t="s">
        <v>4073</v>
      </c>
      <c r="C5" s="782" t="s">
        <v>3174</v>
      </c>
      <c r="D5" s="386"/>
      <c r="E5" s="1308"/>
      <c r="F5" s="781" t="s">
        <v>2343</v>
      </c>
      <c r="G5" s="386"/>
      <c r="J5" s="1443"/>
      <c r="K5" s="1444"/>
      <c r="M5" s="1308"/>
      <c r="N5" s="386" t="s">
        <v>3409</v>
      </c>
      <c r="S5" s="1445"/>
      <c r="T5" s="1446"/>
    </row>
    <row r="6" spans="1:20" s="351" customFormat="1" ht="16.899999999999999" customHeight="1">
      <c r="A6" s="687"/>
      <c r="B6" s="1308"/>
      <c r="C6" s="782" t="s">
        <v>2500</v>
      </c>
      <c r="D6" s="386"/>
      <c r="E6" s="1308"/>
      <c r="F6" s="386" t="s">
        <v>3407</v>
      </c>
      <c r="H6" s="1308"/>
      <c r="I6" s="392" t="s">
        <v>3406</v>
      </c>
      <c r="J6" s="782"/>
      <c r="K6" s="377"/>
      <c r="L6" s="377"/>
      <c r="M6" s="1308"/>
      <c r="N6" s="782" t="s">
        <v>716</v>
      </c>
      <c r="Q6" s="765"/>
      <c r="S6" s="1447"/>
      <c r="T6" s="1448"/>
    </row>
    <row r="7" spans="1:20" s="351" customFormat="1" ht="16.899999999999999" customHeight="1">
      <c r="A7" s="386"/>
      <c r="B7" s="1308"/>
      <c r="C7" s="782" t="s">
        <v>2501</v>
      </c>
      <c r="E7" s="1308"/>
      <c r="F7" s="781" t="s">
        <v>2919</v>
      </c>
      <c r="G7" s="386"/>
      <c r="H7" s="1308"/>
      <c r="I7" s="782" t="s">
        <v>1996</v>
      </c>
      <c r="J7" s="377"/>
      <c r="K7" s="1308"/>
      <c r="L7" s="782" t="s">
        <v>718</v>
      </c>
      <c r="M7" s="1308" t="s">
        <v>4073</v>
      </c>
      <c r="N7" s="392" t="s">
        <v>3408</v>
      </c>
      <c r="Q7" s="766"/>
      <c r="S7" s="1447"/>
      <c r="T7" s="1448"/>
    </row>
    <row r="8" spans="1:20" s="351" customFormat="1" ht="16.899999999999999" customHeight="1">
      <c r="A8" s="687"/>
      <c r="B8" s="1308"/>
      <c r="C8" s="787" t="s">
        <v>3398</v>
      </c>
      <c r="D8" s="386"/>
      <c r="E8" s="1308"/>
      <c r="F8" s="411" t="s">
        <v>3399</v>
      </c>
      <c r="H8" s="1308"/>
      <c r="I8" s="782" t="s">
        <v>717</v>
      </c>
      <c r="J8" s="377"/>
      <c r="K8" s="392"/>
      <c r="L8" s="424"/>
      <c r="M8" s="1308" t="s">
        <v>4073</v>
      </c>
      <c r="N8" s="1294" t="s">
        <v>4176</v>
      </c>
      <c r="O8" s="1295"/>
      <c r="P8" s="1295"/>
      <c r="Q8" s="1296"/>
      <c r="S8" s="1449"/>
      <c r="T8" s="1450"/>
    </row>
    <row r="9" spans="1:20" s="351" customFormat="1" ht="16.899999999999999" customHeight="1">
      <c r="A9" s="687"/>
      <c r="B9" s="351" t="s">
        <v>3950</v>
      </c>
      <c r="C9" s="386"/>
      <c r="D9" s="386"/>
      <c r="E9" s="386"/>
      <c r="F9" s="386"/>
      <c r="G9" s="386"/>
      <c r="H9" s="386"/>
      <c r="I9" s="386"/>
      <c r="J9" s="386"/>
      <c r="K9" s="386"/>
      <c r="L9" s="386"/>
      <c r="M9" s="411"/>
      <c r="N9" s="386"/>
      <c r="O9" s="386"/>
      <c r="P9" s="386"/>
      <c r="Q9" s="386"/>
    </row>
    <row r="10" spans="1:20" s="351" customFormat="1" ht="17.45" customHeight="1">
      <c r="A10" s="687"/>
      <c r="L10" s="386"/>
      <c r="M10" s="411"/>
      <c r="N10" s="386"/>
      <c r="O10" s="386"/>
      <c r="P10" s="386"/>
      <c r="Q10" s="386"/>
    </row>
    <row r="11" spans="1:20" s="440" customFormat="1" ht="15" customHeight="1">
      <c r="A11" s="389" t="s">
        <v>1045</v>
      </c>
      <c r="B11" s="350" t="s">
        <v>3077</v>
      </c>
      <c r="C11" s="386"/>
      <c r="D11" s="787"/>
      <c r="E11" s="386"/>
      <c r="F11" s="386"/>
      <c r="G11" s="386"/>
      <c r="H11" s="351"/>
      <c r="I11" s="351"/>
      <c r="J11" s="389"/>
      <c r="K11" s="386"/>
      <c r="L11" s="386"/>
      <c r="M11" s="787"/>
      <c r="N11" s="837"/>
      <c r="O11" s="837"/>
      <c r="P11" s="386"/>
      <c r="Q11" s="386"/>
      <c r="S11" s="440" t="str">
        <f>B11</f>
        <v>CONSTRUCTION FINANCING</v>
      </c>
    </row>
    <row r="12" spans="1:20" s="440" customFormat="1" ht="13.9" customHeight="1">
      <c r="A12" s="389"/>
      <c r="B12" s="350"/>
      <c r="C12" s="386"/>
      <c r="K12" s="386"/>
      <c r="L12" s="386"/>
      <c r="M12" s="787"/>
      <c r="N12" s="779"/>
      <c r="O12" s="779"/>
      <c r="P12" s="386"/>
      <c r="Q12" s="386"/>
    </row>
    <row r="13" spans="1:20" s="351" customFormat="1" ht="16.899999999999999" customHeight="1">
      <c r="A13" s="386"/>
      <c r="B13" s="782" t="s">
        <v>2576</v>
      </c>
      <c r="C13" s="386"/>
      <c r="D13" s="386"/>
      <c r="E13" s="386"/>
      <c r="F13" s="386"/>
      <c r="G13" s="386"/>
      <c r="H13" s="894" t="s">
        <v>1731</v>
      </c>
      <c r="I13" s="894"/>
      <c r="J13" s="894"/>
      <c r="K13" s="894"/>
      <c r="L13" s="829" t="s">
        <v>2702</v>
      </c>
      <c r="M13" s="829"/>
      <c r="N13" s="829" t="s">
        <v>1964</v>
      </c>
      <c r="O13" s="829"/>
      <c r="P13" s="829" t="s">
        <v>2233</v>
      </c>
      <c r="Q13" s="829"/>
      <c r="S13" s="906" t="s">
        <v>3547</v>
      </c>
      <c r="T13" s="906"/>
    </row>
    <row r="14" spans="1:20" s="351" customFormat="1" ht="16.899999999999999" customHeight="1">
      <c r="A14" s="386"/>
      <c r="B14" s="889" t="s">
        <v>2051</v>
      </c>
      <c r="C14" s="890"/>
      <c r="D14" s="890"/>
      <c r="E14" s="789"/>
      <c r="F14" s="789"/>
      <c r="G14" s="789"/>
      <c r="H14" s="1294" t="s">
        <v>4167</v>
      </c>
      <c r="I14" s="1295"/>
      <c r="J14" s="1295"/>
      <c r="K14" s="1296"/>
      <c r="L14" s="1451">
        <v>1889793</v>
      </c>
      <c r="M14" s="1452"/>
      <c r="N14" s="1453">
        <v>4.4999999999999998E-2</v>
      </c>
      <c r="O14" s="1454"/>
      <c r="P14" s="1455">
        <v>24</v>
      </c>
      <c r="Q14" s="1456"/>
      <c r="S14" s="1445"/>
      <c r="T14" s="1446"/>
    </row>
    <row r="15" spans="1:20" s="351" customFormat="1" ht="16.899999999999999" customHeight="1">
      <c r="A15" s="386"/>
      <c r="B15" s="887" t="s">
        <v>2052</v>
      </c>
      <c r="C15" s="888"/>
      <c r="D15" s="888"/>
      <c r="E15" s="787"/>
      <c r="F15" s="787"/>
      <c r="G15" s="787"/>
      <c r="H15" s="1294" t="s">
        <v>4069</v>
      </c>
      <c r="I15" s="1295"/>
      <c r="J15" s="1295"/>
      <c r="K15" s="1296"/>
      <c r="L15" s="1451">
        <v>1625000</v>
      </c>
      <c r="M15" s="1452"/>
      <c r="N15" s="1453">
        <v>0</v>
      </c>
      <c r="O15" s="1454"/>
      <c r="P15" s="1457">
        <v>24</v>
      </c>
      <c r="Q15" s="1458"/>
      <c r="S15" s="1447"/>
      <c r="T15" s="1448"/>
    </row>
    <row r="16" spans="1:20" s="351" customFormat="1" ht="16.899999999999999" customHeight="1">
      <c r="A16" s="386"/>
      <c r="B16" s="917" t="s">
        <v>2053</v>
      </c>
      <c r="C16" s="918"/>
      <c r="D16" s="918"/>
      <c r="E16" s="792"/>
      <c r="F16" s="792"/>
      <c r="G16" s="792"/>
      <c r="H16" s="1294"/>
      <c r="I16" s="1295"/>
      <c r="J16" s="1295"/>
      <c r="K16" s="1296"/>
      <c r="L16" s="1451"/>
      <c r="M16" s="1452"/>
      <c r="N16" s="1453"/>
      <c r="O16" s="1454"/>
      <c r="P16" s="1457"/>
      <c r="Q16" s="1458"/>
      <c r="S16" s="1447"/>
      <c r="T16" s="1448"/>
    </row>
    <row r="17" spans="1:20" s="351" customFormat="1" ht="16.899999999999999" customHeight="1">
      <c r="A17" s="386"/>
      <c r="B17" s="889" t="s">
        <v>2937</v>
      </c>
      <c r="C17" s="890"/>
      <c r="D17" s="890"/>
      <c r="E17" s="787"/>
      <c r="F17" s="787"/>
      <c r="G17" s="787"/>
      <c r="H17" s="1294"/>
      <c r="I17" s="1295"/>
      <c r="J17" s="1295"/>
      <c r="K17" s="1296"/>
      <c r="L17" s="1451"/>
      <c r="M17" s="1452"/>
      <c r="N17" s="900"/>
      <c r="O17" s="901"/>
      <c r="P17" s="899"/>
      <c r="Q17" s="899"/>
      <c r="S17" s="1447"/>
      <c r="T17" s="1448"/>
    </row>
    <row r="18" spans="1:20" s="351" customFormat="1" ht="16.899999999999999" customHeight="1">
      <c r="A18" s="386"/>
      <c r="B18" s="887" t="s">
        <v>1194</v>
      </c>
      <c r="C18" s="888"/>
      <c r="D18" s="888"/>
      <c r="E18" s="787"/>
      <c r="H18" s="1294"/>
      <c r="I18" s="1295"/>
      <c r="J18" s="1295"/>
      <c r="K18" s="1296"/>
      <c r="L18" s="1451"/>
      <c r="M18" s="1452"/>
      <c r="N18" s="900"/>
      <c r="O18" s="901"/>
      <c r="P18" s="899"/>
      <c r="Q18" s="899"/>
      <c r="S18" s="1447"/>
      <c r="T18" s="1448"/>
    </row>
    <row r="19" spans="1:20" s="351" customFormat="1" ht="16.899999999999999" customHeight="1">
      <c r="A19" s="386"/>
      <c r="B19" s="887" t="s">
        <v>821</v>
      </c>
      <c r="C19" s="888"/>
      <c r="D19" s="888"/>
      <c r="E19" s="787"/>
      <c r="H19" s="1294"/>
      <c r="I19" s="1295"/>
      <c r="J19" s="1295"/>
      <c r="K19" s="1296"/>
      <c r="L19" s="1451"/>
      <c r="M19" s="1452"/>
      <c r="N19" s="900"/>
      <c r="O19" s="901"/>
      <c r="P19" s="899"/>
      <c r="Q19" s="899"/>
      <c r="S19" s="1447"/>
      <c r="T19" s="1448"/>
    </row>
    <row r="20" spans="1:20" s="351" customFormat="1" ht="16.899999999999999" customHeight="1">
      <c r="A20" s="386"/>
      <c r="B20" s="887" t="s">
        <v>1195</v>
      </c>
      <c r="C20" s="888"/>
      <c r="D20" s="888"/>
      <c r="E20" s="787"/>
      <c r="H20" s="1294" t="s">
        <v>4166</v>
      </c>
      <c r="I20" s="1295"/>
      <c r="J20" s="1295"/>
      <c r="K20" s="1296"/>
      <c r="L20" s="1451">
        <v>3536432</v>
      </c>
      <c r="M20" s="1452"/>
      <c r="N20" s="386"/>
      <c r="O20" s="386"/>
      <c r="P20" s="386"/>
      <c r="Q20" s="386"/>
      <c r="S20" s="1449"/>
      <c r="T20" s="1450"/>
    </row>
    <row r="21" spans="1:20" s="351" customFormat="1" ht="16.899999999999999" customHeight="1">
      <c r="A21" s="386"/>
      <c r="B21" s="887" t="s">
        <v>1196</v>
      </c>
      <c r="C21" s="888"/>
      <c r="D21" s="888"/>
      <c r="E21" s="787"/>
      <c r="H21" s="1294" t="s">
        <v>4166</v>
      </c>
      <c r="I21" s="1295"/>
      <c r="J21" s="1295"/>
      <c r="K21" s="1296"/>
      <c r="L21" s="1451">
        <f ca="1">+H41*0.7</f>
        <v>1326161.76</v>
      </c>
      <c r="M21" s="1452"/>
      <c r="N21" s="386"/>
      <c r="O21" s="386"/>
      <c r="P21" s="386"/>
      <c r="Q21" s="386"/>
      <c r="S21" s="1445"/>
      <c r="T21" s="1446"/>
    </row>
    <row r="22" spans="1:20" s="351" customFormat="1" ht="16.899999999999999" customHeight="1">
      <c r="A22" s="386"/>
      <c r="B22" s="786" t="s">
        <v>265</v>
      </c>
      <c r="C22" s="787"/>
      <c r="D22" s="1459" t="s">
        <v>4077</v>
      </c>
      <c r="E22" s="1459"/>
      <c r="F22" s="1459"/>
      <c r="G22" s="1459"/>
      <c r="H22" s="1294"/>
      <c r="I22" s="1295"/>
      <c r="J22" s="1295"/>
      <c r="K22" s="1296"/>
      <c r="L22" s="1451">
        <v>0</v>
      </c>
      <c r="M22" s="1452"/>
      <c r="N22" s="386"/>
      <c r="O22" s="386"/>
      <c r="P22" s="386"/>
      <c r="Q22" s="386"/>
      <c r="S22" s="1447"/>
      <c r="T22" s="1448"/>
    </row>
    <row r="23" spans="1:20" s="351" customFormat="1" ht="16.899999999999999" customHeight="1">
      <c r="A23" s="386"/>
      <c r="B23" s="786" t="s">
        <v>265</v>
      </c>
      <c r="C23" s="787"/>
      <c r="D23" s="1459"/>
      <c r="E23" s="1459"/>
      <c r="F23" s="1459"/>
      <c r="G23" s="1459"/>
      <c r="H23" s="1294"/>
      <c r="I23" s="1295"/>
      <c r="J23" s="1295"/>
      <c r="K23" s="1296"/>
      <c r="L23" s="1451"/>
      <c r="M23" s="1452"/>
      <c r="N23" s="386"/>
      <c r="O23" s="386"/>
      <c r="P23" s="386"/>
      <c r="Q23" s="386"/>
      <c r="S23" s="1447"/>
      <c r="T23" s="1448"/>
    </row>
    <row r="24" spans="1:20" s="351" customFormat="1" ht="16.899999999999999" customHeight="1">
      <c r="A24" s="386"/>
      <c r="B24" s="791" t="s">
        <v>265</v>
      </c>
      <c r="C24" s="792"/>
      <c r="D24" s="1459"/>
      <c r="E24" s="1459"/>
      <c r="F24" s="1459"/>
      <c r="G24" s="1459"/>
      <c r="H24" s="1294"/>
      <c r="I24" s="1295"/>
      <c r="J24" s="1295"/>
      <c r="K24" s="1296"/>
      <c r="L24" s="1451"/>
      <c r="M24" s="1452"/>
      <c r="N24" s="386"/>
      <c r="O24" s="386"/>
      <c r="P24" s="386"/>
      <c r="Q24" s="386"/>
      <c r="S24" s="1447"/>
      <c r="T24" s="1448"/>
    </row>
    <row r="25" spans="1:20" s="351" customFormat="1" ht="16.899999999999999" customHeight="1">
      <c r="A25" s="386"/>
      <c r="B25" s="350" t="s">
        <v>1732</v>
      </c>
      <c r="C25" s="386"/>
      <c r="D25" s="386"/>
      <c r="E25" s="386"/>
      <c r="F25" s="386"/>
      <c r="G25" s="386"/>
      <c r="H25" s="386"/>
      <c r="I25" s="386"/>
      <c r="L25" s="902">
        <f ca="1">SUM(L14:L24)</f>
        <v>8377386.7599999998</v>
      </c>
      <c r="M25" s="903"/>
      <c r="N25" s="406"/>
      <c r="O25" s="406"/>
      <c r="P25" s="406"/>
      <c r="Q25" s="406"/>
      <c r="S25" s="1447"/>
      <c r="T25" s="1448"/>
    </row>
    <row r="26" spans="1:20" s="351" customFormat="1" ht="16.899999999999999" customHeight="1">
      <c r="A26" s="386"/>
      <c r="B26" s="782" t="s">
        <v>1733</v>
      </c>
      <c r="C26" s="386"/>
      <c r="D26" s="386"/>
      <c r="E26" s="386"/>
      <c r="F26" s="386"/>
      <c r="G26" s="386"/>
      <c r="H26" s="386"/>
      <c r="I26" s="386"/>
      <c r="L26" s="1460">
        <f ca="1">'Part IV-Uses of Funds'!$G$17+'Part IV-Uses of Funds'!$G$23+'Part IV-Uses of Funds'!$G$27+'Part IV-Uses of Funds'!$G$32+'Part IV-Uses of Funds'!$G$37+('Part IV-Uses of Funds'!$G$63-'Part IV-Uses of Funds'!$G$59)+'Part IV-Uses of Funds'!$G$76+'Part IV-Uses of Funds'!$G$82+('Part IV-Uses of Funds'!$G$104-'Part IV-Uses of Funds'!$G$99)+'Part IV-Uses of Funds'!$G$112+'Part IV-Uses of Funds'!$G$113+'Part IV-Uses of Funds'!$G$117-'Part IV-Uses of Funds'!G60</f>
        <v>8377386.8599999994</v>
      </c>
      <c r="M26" s="1461"/>
      <c r="N26" s="897"/>
      <c r="O26" s="898"/>
      <c r="P26" s="898"/>
      <c r="Q26" s="898"/>
      <c r="S26" s="1447"/>
      <c r="T26" s="1448"/>
    </row>
    <row r="27" spans="1:20" s="351" customFormat="1" ht="16.899999999999999" customHeight="1">
      <c r="A27" s="386"/>
      <c r="B27" s="392" t="s">
        <v>2873</v>
      </c>
      <c r="C27" s="386"/>
      <c r="D27" s="386"/>
      <c r="E27" s="386"/>
      <c r="F27" s="386"/>
      <c r="G27" s="386"/>
      <c r="H27" s="386"/>
      <c r="I27" s="386"/>
      <c r="L27" s="904">
        <f ca="1">L25-L26</f>
        <v>-9.999999962747097E-2</v>
      </c>
      <c r="M27" s="905"/>
      <c r="N27" s="897"/>
      <c r="O27" s="898"/>
      <c r="P27" s="898"/>
      <c r="Q27" s="898"/>
      <c r="S27" s="1449"/>
      <c r="T27" s="1450"/>
    </row>
    <row r="28" spans="1:20" ht="9.6" customHeight="1">
      <c r="A28" s="415"/>
      <c r="B28" s="350"/>
      <c r="C28" s="406"/>
      <c r="D28" s="406"/>
      <c r="E28" s="406"/>
      <c r="F28" s="406"/>
      <c r="G28" s="406"/>
      <c r="H28" s="406"/>
      <c r="I28" s="406"/>
      <c r="J28" s="406"/>
      <c r="K28" s="406"/>
      <c r="L28" s="406"/>
      <c r="M28" s="790"/>
      <c r="N28" s="790"/>
      <c r="O28" s="406"/>
      <c r="P28" s="389"/>
      <c r="Q28" s="389"/>
    </row>
    <row r="29" spans="1:20" ht="9.6" customHeight="1">
      <c r="A29" s="389" t="s">
        <v>1047</v>
      </c>
      <c r="B29" s="350" t="s">
        <v>1193</v>
      </c>
      <c r="C29" s="406"/>
      <c r="D29" s="406"/>
      <c r="E29" s="406"/>
      <c r="F29" s="406"/>
      <c r="G29" s="406"/>
      <c r="H29" s="406"/>
      <c r="I29" s="406"/>
      <c r="J29" s="406"/>
      <c r="K29" s="406"/>
      <c r="L29" s="406"/>
      <c r="M29" s="790"/>
      <c r="N29" s="790"/>
      <c r="O29" s="406"/>
      <c r="P29" s="389"/>
      <c r="Q29" s="389"/>
      <c r="S29" s="440" t="str">
        <f>B29</f>
        <v>PERMANENT FINANCING</v>
      </c>
    </row>
    <row r="30" spans="1:20" s="351" customFormat="1" ht="13.15" customHeight="1">
      <c r="A30" s="386"/>
      <c r="B30" s="386"/>
      <c r="C30" s="386"/>
      <c r="D30" s="386"/>
      <c r="E30" s="386"/>
      <c r="F30" s="790"/>
      <c r="G30" s="790"/>
      <c r="H30" s="899"/>
      <c r="I30" s="899"/>
      <c r="J30" s="474" t="s">
        <v>2814</v>
      </c>
      <c r="K30" s="790" t="s">
        <v>1729</v>
      </c>
      <c r="L30" s="790" t="s">
        <v>1734</v>
      </c>
      <c r="M30" s="841" t="s">
        <v>37</v>
      </c>
      <c r="N30" s="841"/>
      <c r="O30" s="779"/>
      <c r="P30" s="790"/>
      <c r="Q30" s="907" t="s">
        <v>3074</v>
      </c>
      <c r="S30" s="440"/>
    </row>
    <row r="31" spans="1:20" s="351" customFormat="1" ht="13.15" customHeight="1">
      <c r="A31" s="386"/>
      <c r="B31" s="794" t="s">
        <v>2576</v>
      </c>
      <c r="C31" s="792"/>
      <c r="D31" s="792"/>
      <c r="E31" s="888" t="s">
        <v>1731</v>
      </c>
      <c r="F31" s="888"/>
      <c r="G31" s="888"/>
      <c r="H31" s="829" t="s">
        <v>622</v>
      </c>
      <c r="I31" s="829"/>
      <c r="J31" s="783" t="s">
        <v>2505</v>
      </c>
      <c r="K31" s="783" t="s">
        <v>2936</v>
      </c>
      <c r="L31" s="783" t="s">
        <v>2936</v>
      </c>
      <c r="M31" s="1462"/>
      <c r="N31" s="1462"/>
      <c r="O31" s="829" t="s">
        <v>78</v>
      </c>
      <c r="P31" s="829"/>
      <c r="Q31" s="908"/>
      <c r="S31" s="906" t="s">
        <v>3547</v>
      </c>
      <c r="T31" s="906"/>
    </row>
    <row r="32" spans="1:20" s="351" customFormat="1" ht="13.15" customHeight="1">
      <c r="A32" s="386"/>
      <c r="B32" s="889" t="s">
        <v>3413</v>
      </c>
      <c r="C32" s="890"/>
      <c r="D32" s="890"/>
      <c r="E32" s="1331" t="s">
        <v>4167</v>
      </c>
      <c r="F32" s="1463"/>
      <c r="G32" s="1464"/>
      <c r="H32" s="1465">
        <v>1900000</v>
      </c>
      <c r="I32" s="1466"/>
      <c r="J32" s="1467">
        <v>0.06</v>
      </c>
      <c r="K32" s="1308">
        <v>18</v>
      </c>
      <c r="L32" s="1308">
        <v>30</v>
      </c>
      <c r="M32" s="1468">
        <f t="shared" ref="M32:M37" si="0">IF(OR(H32&lt;=0,H32=""),"",IF(O32="Amortizing",-PMT(J32/12,L32*12,H32,0,0)*12,""))</f>
        <v>136697.51973482751</v>
      </c>
      <c r="N32" s="1469"/>
      <c r="O32" s="1290" t="s">
        <v>4078</v>
      </c>
      <c r="P32" s="1291"/>
      <c r="Q32" s="1470">
        <v>1.2</v>
      </c>
      <c r="S32" s="1445"/>
      <c r="T32" s="1446"/>
    </row>
    <row r="33" spans="1:20" s="351" customFormat="1" ht="13.15" customHeight="1">
      <c r="A33" s="386"/>
      <c r="B33" s="887" t="s">
        <v>3414</v>
      </c>
      <c r="C33" s="888"/>
      <c r="D33" s="888"/>
      <c r="E33" s="1299" t="s">
        <v>4069</v>
      </c>
      <c r="F33" s="1471"/>
      <c r="G33" s="1472"/>
      <c r="H33" s="1473">
        <v>1625000</v>
      </c>
      <c r="I33" s="1466"/>
      <c r="J33" s="1467">
        <v>2.47E-2</v>
      </c>
      <c r="K33" s="1308">
        <v>40</v>
      </c>
      <c r="L33" s="1308">
        <v>40</v>
      </c>
      <c r="M33" s="1468" t="str">
        <f>IF(OR(H33&lt;=0,H33=""),"",IF(O33="Amortizing",-PMT(J33/12,L33*12,H33,0,0)*12,""))</f>
        <v/>
      </c>
      <c r="N33" s="1469"/>
      <c r="O33" s="1290" t="s">
        <v>1579</v>
      </c>
      <c r="P33" s="1291"/>
      <c r="Q33" s="1470"/>
      <c r="S33" s="1447"/>
      <c r="T33" s="1448"/>
    </row>
    <row r="34" spans="1:20" s="351" customFormat="1" ht="13.15" customHeight="1">
      <c r="A34" s="386"/>
      <c r="B34" s="887" t="s">
        <v>3415</v>
      </c>
      <c r="C34" s="888"/>
      <c r="D34" s="888"/>
      <c r="E34" s="1294"/>
      <c r="F34" s="1474"/>
      <c r="G34" s="1466"/>
      <c r="H34" s="1473"/>
      <c r="I34" s="1466"/>
      <c r="J34" s="1467"/>
      <c r="K34" s="1308"/>
      <c r="L34" s="1308"/>
      <c r="M34" s="1468" t="str">
        <f t="shared" si="0"/>
        <v/>
      </c>
      <c r="N34" s="1469"/>
      <c r="O34" s="1290"/>
      <c r="P34" s="1291"/>
      <c r="Q34" s="1470"/>
      <c r="S34" s="1447"/>
      <c r="T34" s="1448"/>
    </row>
    <row r="35" spans="1:20" s="351" customFormat="1" ht="13.15" customHeight="1">
      <c r="A35" s="386"/>
      <c r="B35" s="786" t="s">
        <v>1046</v>
      </c>
      <c r="C35" s="1331"/>
      <c r="D35" s="1333"/>
      <c r="E35" s="1294"/>
      <c r="F35" s="1474"/>
      <c r="G35" s="1466"/>
      <c r="H35" s="1473"/>
      <c r="I35" s="1466"/>
      <c r="J35" s="1467"/>
      <c r="K35" s="1308"/>
      <c r="L35" s="1308"/>
      <c r="M35" s="1468" t="str">
        <f t="shared" si="0"/>
        <v/>
      </c>
      <c r="N35" s="1469"/>
      <c r="O35" s="1290"/>
      <c r="P35" s="1291"/>
      <c r="Q35" s="1470"/>
      <c r="S35" s="1447"/>
      <c r="T35" s="1448"/>
    </row>
    <row r="36" spans="1:20" s="351" customFormat="1" ht="13.15" customHeight="1">
      <c r="A36" s="386"/>
      <c r="B36" s="786" t="s">
        <v>3772</v>
      </c>
      <c r="C36" s="787"/>
      <c r="D36" s="793"/>
      <c r="E36" s="1294"/>
      <c r="F36" s="1474"/>
      <c r="G36" s="1466"/>
      <c r="H36" s="1473"/>
      <c r="I36" s="1466"/>
      <c r="J36" s="648"/>
      <c r="K36" s="796"/>
      <c r="L36" s="796"/>
      <c r="M36" s="891" t="str">
        <f t="shared" si="0"/>
        <v/>
      </c>
      <c r="N36" s="891"/>
      <c r="O36" s="886"/>
      <c r="P36" s="886"/>
      <c r="Q36" s="649"/>
      <c r="S36" s="1447"/>
      <c r="T36" s="1448"/>
    </row>
    <row r="37" spans="1:20" s="351" customFormat="1" ht="13.15" customHeight="1">
      <c r="A37" s="386"/>
      <c r="B37" s="791" t="s">
        <v>249</v>
      </c>
      <c r="C37" s="792"/>
      <c r="D37" s="475" t="str">
        <f>IF(OR(H37="",H37=0,'Part IV-Uses of Funds'!$G$115="",'Part IV-Uses of Funds'!$G$115=0),"",H37/'Part IV-Uses of Funds'!$G$115)</f>
        <v/>
      </c>
      <c r="E37" s="1294"/>
      <c r="F37" s="1474"/>
      <c r="G37" s="1466"/>
      <c r="H37" s="1473"/>
      <c r="I37" s="1466"/>
      <c r="J37" s="1467"/>
      <c r="K37" s="1308"/>
      <c r="L37" s="1308"/>
      <c r="M37" s="1468" t="str">
        <f t="shared" si="0"/>
        <v/>
      </c>
      <c r="N37" s="1469"/>
      <c r="O37" s="1290"/>
      <c r="P37" s="1291"/>
      <c r="Q37" s="1470"/>
      <c r="S37" s="1447"/>
      <c r="T37" s="1448"/>
    </row>
    <row r="38" spans="1:20" s="351" customFormat="1" ht="13.15" customHeight="1">
      <c r="A38" s="386"/>
      <c r="B38" s="889" t="s">
        <v>2937</v>
      </c>
      <c r="C38" s="890"/>
      <c r="D38" s="892"/>
      <c r="E38" s="1294"/>
      <c r="F38" s="1474"/>
      <c r="G38" s="1466"/>
      <c r="H38" s="1475"/>
      <c r="I38" s="1476"/>
      <c r="K38" s="476"/>
      <c r="L38" s="476"/>
      <c r="M38" s="476"/>
      <c r="N38" s="476"/>
      <c r="O38" s="476"/>
      <c r="P38" s="476"/>
      <c r="Q38" s="476"/>
      <c r="S38" s="1445"/>
      <c r="T38" s="1446"/>
    </row>
    <row r="39" spans="1:20" s="351" customFormat="1" ht="13.15" customHeight="1">
      <c r="A39" s="386"/>
      <c r="B39" s="887" t="s">
        <v>1194</v>
      </c>
      <c r="C39" s="888"/>
      <c r="D39" s="893"/>
      <c r="E39" s="1294"/>
      <c r="F39" s="1474"/>
      <c r="G39" s="1466"/>
      <c r="H39" s="1475"/>
      <c r="I39" s="1476"/>
      <c r="J39" s="911" t="s">
        <v>684</v>
      </c>
      <c r="K39" s="912"/>
      <c r="L39" s="910" t="s">
        <v>685</v>
      </c>
      <c r="M39" s="910"/>
      <c r="O39" s="528" t="s">
        <v>683</v>
      </c>
      <c r="P39" s="477"/>
      <c r="Q39" s="476"/>
      <c r="S39" s="1447"/>
      <c r="T39" s="1448"/>
    </row>
    <row r="40" spans="1:20" s="351" customFormat="1" ht="13.15" customHeight="1">
      <c r="A40" s="386"/>
      <c r="B40" s="887" t="s">
        <v>1195</v>
      </c>
      <c r="C40" s="888"/>
      <c r="D40" s="893"/>
      <c r="E40" s="1294" t="s">
        <v>4166</v>
      </c>
      <c r="F40" s="1295"/>
      <c r="G40" s="1296"/>
      <c r="H40" s="1473">
        <v>5052046</v>
      </c>
      <c r="I40" s="1477"/>
      <c r="J40" s="913">
        <f ca="1">'Part IV-Uses of Funds'!$J$172*10*'Part IV-Uses of Funds'!$N$165</f>
        <v>5052044.8</v>
      </c>
      <c r="K40" s="914"/>
      <c r="L40" s="909">
        <f ca="1">H40-J40</f>
        <v>1.2000000001862645</v>
      </c>
      <c r="M40" s="909"/>
      <c r="O40" s="529" t="s">
        <v>3357</v>
      </c>
      <c r="P40" s="477"/>
      <c r="Q40" s="476"/>
      <c r="S40" s="1447"/>
      <c r="T40" s="1448"/>
    </row>
    <row r="41" spans="1:20" s="351" customFormat="1" ht="13.15" customHeight="1">
      <c r="A41" s="386"/>
      <c r="B41" s="887" t="s">
        <v>1196</v>
      </c>
      <c r="C41" s="888"/>
      <c r="D41" s="893"/>
      <c r="E41" s="1294" t="s">
        <v>4166</v>
      </c>
      <c r="F41" s="1295"/>
      <c r="G41" s="1296"/>
      <c r="H41" s="1473">
        <f ca="1">J41</f>
        <v>1894516.8</v>
      </c>
      <c r="I41" s="1477"/>
      <c r="J41" s="913">
        <f ca="1">'Part IV-Uses of Funds'!$J$172*10*'Part IV-Uses of Funds'!$Q$165</f>
        <v>1894516.8</v>
      </c>
      <c r="K41" s="914"/>
      <c r="L41" s="909">
        <f ca="1">H41-J41</f>
        <v>0</v>
      </c>
      <c r="M41" s="909"/>
      <c r="O41" s="530">
        <f ca="1">H40/H50</f>
        <v>0.48245387850853222</v>
      </c>
      <c r="P41" s="477"/>
      <c r="Q41" s="476"/>
      <c r="S41" s="1447"/>
      <c r="T41" s="1448"/>
    </row>
    <row r="42" spans="1:20" s="351" customFormat="1" ht="13.15" customHeight="1">
      <c r="A42" s="386"/>
      <c r="B42" s="887" t="s">
        <v>1850</v>
      </c>
      <c r="C42" s="888"/>
      <c r="D42" s="893"/>
      <c r="E42" s="1294"/>
      <c r="F42" s="1295"/>
      <c r="G42" s="1296"/>
      <c r="H42" s="1473"/>
      <c r="I42" s="1477"/>
      <c r="M42" s="477"/>
      <c r="O42" s="530">
        <f ca="1">H41/H50</f>
        <v>0.18092016146717058</v>
      </c>
      <c r="P42" s="477"/>
      <c r="Q42" s="476"/>
      <c r="S42" s="1449"/>
      <c r="T42" s="1450"/>
    </row>
    <row r="43" spans="1:20" s="351" customFormat="1" ht="13.15" customHeight="1">
      <c r="A43" s="386"/>
      <c r="B43" s="786" t="s">
        <v>698</v>
      </c>
      <c r="C43" s="787"/>
      <c r="D43" s="793"/>
      <c r="E43" s="1294"/>
      <c r="F43" s="1295"/>
      <c r="G43" s="1296"/>
      <c r="H43" s="1473"/>
      <c r="I43" s="1477"/>
      <c r="K43" s="386"/>
      <c r="L43" s="386"/>
      <c r="M43" s="477"/>
      <c r="O43" s="531">
        <f ca="1">SUM(O41:O42)</f>
        <v>0.66337403997570277</v>
      </c>
      <c r="P43" s="477"/>
      <c r="Q43" s="476"/>
      <c r="S43" s="1447"/>
      <c r="T43" s="1448"/>
    </row>
    <row r="44" spans="1:20" s="351" customFormat="1" ht="13.15" customHeight="1">
      <c r="A44" s="386"/>
      <c r="B44" s="786" t="s">
        <v>2574</v>
      </c>
      <c r="C44" s="787"/>
      <c r="D44" s="793"/>
      <c r="E44" s="1294"/>
      <c r="F44" s="1295"/>
      <c r="G44" s="1296"/>
      <c r="H44" s="1473"/>
      <c r="I44" s="1477"/>
      <c r="J44" s="386"/>
      <c r="M44" s="477"/>
      <c r="N44" s="477"/>
      <c r="O44" s="477"/>
      <c r="P44" s="477"/>
      <c r="Q44" s="476"/>
      <c r="S44" s="1447"/>
      <c r="T44" s="1448"/>
    </row>
    <row r="45" spans="1:20" s="351" customFormat="1" ht="13.15" customHeight="1">
      <c r="A45" s="386"/>
      <c r="B45" s="786" t="s">
        <v>2575</v>
      </c>
      <c r="C45" s="787"/>
      <c r="D45" s="793"/>
      <c r="E45" s="1294"/>
      <c r="F45" s="1295"/>
      <c r="G45" s="1296"/>
      <c r="H45" s="1473"/>
      <c r="I45" s="1477"/>
      <c r="J45" s="386"/>
      <c r="M45" s="477"/>
      <c r="N45" s="477"/>
      <c r="O45" s="477"/>
      <c r="P45" s="477"/>
      <c r="Q45" s="476"/>
      <c r="S45" s="1447"/>
      <c r="T45" s="1448"/>
    </row>
    <row r="46" spans="1:20" s="351" customFormat="1" ht="13.15" customHeight="1">
      <c r="A46" s="386"/>
      <c r="B46" s="786" t="s">
        <v>1046</v>
      </c>
      <c r="C46" s="1294"/>
      <c r="D46" s="1296"/>
      <c r="E46" s="1294"/>
      <c r="F46" s="1295"/>
      <c r="G46" s="1296"/>
      <c r="H46" s="1473"/>
      <c r="I46" s="1477"/>
      <c r="J46" s="386"/>
      <c r="M46" s="477"/>
      <c r="N46" s="477"/>
      <c r="O46" s="477"/>
      <c r="P46" s="477"/>
      <c r="Q46" s="476"/>
      <c r="S46" s="1447"/>
      <c r="T46" s="1448"/>
    </row>
    <row r="47" spans="1:20" s="351" customFormat="1" ht="13.15" customHeight="1">
      <c r="A47" s="386"/>
      <c r="B47" s="786" t="s">
        <v>1046</v>
      </c>
      <c r="C47" s="1294"/>
      <c r="D47" s="1296"/>
      <c r="E47" s="1294"/>
      <c r="F47" s="1295"/>
      <c r="G47" s="1296"/>
      <c r="H47" s="1473"/>
      <c r="I47" s="1477"/>
      <c r="J47" s="386"/>
      <c r="K47" s="386"/>
      <c r="L47" s="478"/>
      <c r="M47" s="477"/>
      <c r="N47" s="477"/>
      <c r="O47" s="477"/>
      <c r="P47" s="477"/>
      <c r="Q47" s="476"/>
      <c r="S47" s="1447"/>
      <c r="T47" s="1448"/>
    </row>
    <row r="48" spans="1:20" s="351" customFormat="1" ht="13.15" customHeight="1">
      <c r="A48" s="386"/>
      <c r="B48" s="791" t="s">
        <v>1046</v>
      </c>
      <c r="C48" s="1294"/>
      <c r="D48" s="1296"/>
      <c r="E48" s="1294"/>
      <c r="F48" s="1295"/>
      <c r="G48" s="1296"/>
      <c r="H48" s="1473"/>
      <c r="I48" s="1477"/>
      <c r="J48" s="386"/>
      <c r="K48" s="386"/>
      <c r="L48" s="478"/>
      <c r="M48" s="477"/>
      <c r="N48" s="477"/>
      <c r="O48" s="477"/>
      <c r="P48" s="477"/>
      <c r="Q48" s="476"/>
      <c r="S48" s="1447"/>
      <c r="T48" s="1448"/>
    </row>
    <row r="49" spans="1:23" s="351" customFormat="1" ht="13.15" customHeight="1">
      <c r="A49" s="386"/>
      <c r="B49" s="782" t="s">
        <v>2938</v>
      </c>
      <c r="C49" s="386"/>
      <c r="D49" s="386"/>
      <c r="E49" s="386"/>
      <c r="F49" s="386"/>
      <c r="G49" s="386"/>
      <c r="H49" s="884">
        <f ca="1">SUM(H32:I48)</f>
        <v>10471562.800000001</v>
      </c>
      <c r="I49" s="885"/>
      <c r="J49" s="406"/>
      <c r="K49" s="386"/>
      <c r="L49" s="478"/>
      <c r="M49" s="477"/>
      <c r="N49" s="477"/>
      <c r="O49" s="477"/>
      <c r="P49" s="477"/>
      <c r="Q49" s="476"/>
      <c r="S49" s="1447"/>
      <c r="T49" s="1448"/>
    </row>
    <row r="50" spans="1:23" s="351" customFormat="1" ht="13.15" customHeight="1" thickBot="1">
      <c r="A50" s="386"/>
      <c r="B50" s="782" t="s">
        <v>2939</v>
      </c>
      <c r="C50" s="386"/>
      <c r="D50" s="386"/>
      <c r="E50" s="386"/>
      <c r="F50" s="386"/>
      <c r="G50" s="386"/>
      <c r="H50" s="882">
        <f ca="1">'Part IV-Uses of Funds'!$G$129</f>
        <v>10471562.619867412</v>
      </c>
      <c r="I50" s="883"/>
      <c r="J50" s="406"/>
      <c r="K50" s="386"/>
      <c r="L50" s="478"/>
      <c r="M50" s="477"/>
      <c r="N50" s="477"/>
      <c r="O50" s="477"/>
      <c r="P50" s="477"/>
      <c r="Q50" s="476"/>
      <c r="S50" s="1447"/>
      <c r="T50" s="1448"/>
    </row>
    <row r="51" spans="1:23" s="351" customFormat="1" ht="13.15" customHeight="1" thickBot="1">
      <c r="A51" s="386"/>
      <c r="B51" s="392" t="s">
        <v>1982</v>
      </c>
      <c r="C51" s="386"/>
      <c r="D51" s="386"/>
      <c r="E51" s="386"/>
      <c r="F51" s="386"/>
      <c r="G51" s="386"/>
      <c r="H51" s="895">
        <f ca="1">H49-H50</f>
        <v>0.18013258837163448</v>
      </c>
      <c r="I51" s="896"/>
      <c r="J51" s="406"/>
      <c r="K51" s="386"/>
      <c r="L51" s="478"/>
      <c r="M51" s="477"/>
      <c r="N51" s="477"/>
      <c r="O51" s="477"/>
      <c r="P51" s="477"/>
      <c r="Q51" s="476"/>
      <c r="S51" s="1449"/>
      <c r="T51" s="1450"/>
    </row>
    <row r="52" spans="1:23" s="351" customFormat="1" ht="13.15" customHeight="1">
      <c r="A52" s="386" t="s">
        <v>3773</v>
      </c>
      <c r="B52" s="392"/>
      <c r="C52" s="386"/>
      <c r="D52" s="386"/>
      <c r="E52" s="386"/>
      <c r="F52" s="386"/>
      <c r="G52" s="386"/>
      <c r="H52" s="469"/>
      <c r="I52" s="469"/>
      <c r="J52" s="406"/>
      <c r="K52" s="386"/>
      <c r="L52" s="478"/>
      <c r="M52" s="477"/>
      <c r="N52" s="477"/>
      <c r="O52" s="477"/>
      <c r="P52" s="477"/>
      <c r="Q52" s="476"/>
      <c r="S52" s="1478"/>
      <c r="T52" s="1478"/>
    </row>
    <row r="53" spans="1:23" ht="6" customHeight="1">
      <c r="A53" s="406"/>
      <c r="B53" s="406"/>
      <c r="C53" s="406"/>
      <c r="D53" s="406"/>
      <c r="E53" s="406"/>
      <c r="F53" s="406"/>
      <c r="G53" s="406"/>
      <c r="H53" s="406"/>
      <c r="I53" s="406"/>
      <c r="J53" s="406"/>
      <c r="K53" s="406"/>
      <c r="L53" s="406"/>
      <c r="M53" s="406"/>
      <c r="N53" s="406"/>
      <c r="O53" s="406"/>
      <c r="P53" s="406"/>
      <c r="Q53" s="406"/>
    </row>
    <row r="54" spans="1:23" ht="12" customHeight="1">
      <c r="A54" s="389" t="s">
        <v>2488</v>
      </c>
      <c r="B54" s="389" t="s">
        <v>744</v>
      </c>
      <c r="C54" s="406"/>
      <c r="D54" s="406"/>
      <c r="E54" s="406"/>
      <c r="F54" s="406"/>
      <c r="G54" s="406"/>
      <c r="H54" s="406"/>
      <c r="I54" s="406"/>
      <c r="J54" s="406"/>
      <c r="K54" s="389" t="s">
        <v>2488</v>
      </c>
      <c r="L54" s="389" t="s">
        <v>83</v>
      </c>
      <c r="M54" s="406"/>
      <c r="N54" s="406"/>
      <c r="O54" s="406"/>
      <c r="P54" s="406"/>
      <c r="Q54" s="406"/>
    </row>
    <row r="55" spans="1:23" ht="5.45" customHeight="1">
      <c r="B55" s="442"/>
    </row>
    <row r="56" spans="1:23" ht="129.75" customHeight="1">
      <c r="A56" s="1375" t="s">
        <v>4177</v>
      </c>
      <c r="B56" s="1479"/>
      <c r="C56" s="1479"/>
      <c r="D56" s="1479"/>
      <c r="E56" s="1479"/>
      <c r="F56" s="1479"/>
      <c r="G56" s="1479"/>
      <c r="H56" s="1479"/>
      <c r="I56" s="1479"/>
      <c r="J56" s="1480"/>
      <c r="K56" s="1378"/>
      <c r="L56" s="1479"/>
      <c r="M56" s="1479"/>
      <c r="N56" s="1479"/>
      <c r="O56" s="1479"/>
      <c r="P56" s="1479"/>
      <c r="Q56" s="1480"/>
      <c r="S56" s="915" t="s">
        <v>3595</v>
      </c>
      <c r="T56" s="915"/>
      <c r="U56" s="663"/>
      <c r="V56" s="663"/>
      <c r="W56" s="663"/>
    </row>
    <row r="57" spans="1:23" ht="11.25" customHeight="1">
      <c r="S57" s="663"/>
      <c r="T57" s="663"/>
      <c r="U57" s="663"/>
      <c r="V57" s="663"/>
      <c r="W57" s="663"/>
    </row>
    <row r="58" spans="1:23" ht="12" customHeight="1"/>
    <row r="59" spans="1:23" ht="12" customHeight="1">
      <c r="B59" s="442"/>
    </row>
    <row r="60" spans="1:23" ht="14.45" customHeight="1"/>
    <row r="61" spans="1:23" s="351" customFormat="1" ht="14.45" customHeight="1"/>
    <row r="62" spans="1:23" s="351" customFormat="1" ht="14.45" customHeight="1"/>
    <row r="63" spans="1:23" s="351" customFormat="1" ht="14.45" customHeight="1"/>
    <row r="64" spans="1:23" ht="14.45" customHeight="1"/>
    <row r="65" spans="1:1" s="351" customFormat="1" ht="14.45" customHeight="1">
      <c r="A65" s="443"/>
    </row>
    <row r="66" spans="1:1" s="351" customFormat="1" ht="14.45" customHeight="1">
      <c r="A66" s="443"/>
    </row>
    <row r="67" spans="1:1" s="351" customFormat="1" ht="14.45" customHeight="1"/>
    <row r="68" spans="1:1" s="351" customFormat="1" ht="14.45" customHeight="1">
      <c r="A68" s="443"/>
    </row>
    <row r="69" spans="1:1" s="351" customFormat="1" ht="14.45" customHeight="1">
      <c r="A69" s="441"/>
    </row>
    <row r="70" spans="1:1" s="351" customFormat="1" ht="14.45" customHeight="1">
      <c r="A70" s="441"/>
    </row>
    <row r="71" spans="1:1" s="351" customFormat="1" ht="14.45" customHeight="1">
      <c r="A71" s="444"/>
    </row>
    <row r="72" spans="1:1" s="351" customFormat="1" ht="14.45" customHeight="1">
      <c r="A72" s="443"/>
    </row>
    <row r="73" spans="1:1" s="351" customFormat="1" ht="14.45" customHeight="1">
      <c r="A73" s="441"/>
    </row>
    <row r="74" spans="1:1" s="351" customFormat="1" ht="14.45" customHeight="1">
      <c r="A74" s="441"/>
    </row>
    <row r="75" spans="1:1" s="351" customFormat="1" ht="14.45" customHeight="1">
      <c r="A75" s="444"/>
    </row>
    <row r="76" spans="1:1" s="351" customFormat="1" ht="14.45" customHeight="1">
      <c r="A76" s="443"/>
    </row>
    <row r="77" spans="1:1" s="351" customFormat="1" ht="14.45" customHeight="1">
      <c r="A77" s="441"/>
    </row>
    <row r="78" spans="1:1" s="351" customFormat="1" ht="14.45" customHeight="1">
      <c r="A78" s="441"/>
    </row>
    <row r="79" spans="1:1" s="351" customFormat="1" ht="14.45" customHeight="1">
      <c r="A79" s="444"/>
    </row>
    <row r="80" spans="1:1" s="351" customFormat="1" ht="14.45" customHeight="1">
      <c r="A80" s="444"/>
    </row>
    <row r="81" spans="1:1" s="351" customFormat="1" ht="14.45" customHeight="1">
      <c r="A81" s="444"/>
    </row>
    <row r="82" spans="1:1" s="351" customFormat="1" ht="14.45" customHeight="1">
      <c r="A82" s="444"/>
    </row>
    <row r="83" spans="1:1" s="351" customFormat="1" ht="14.45" customHeight="1"/>
    <row r="84" spans="1:1" s="351"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BD88" sheet="1" objects="1" scenarios="1" formatColumns="0" formatRows="0"/>
  <mergeCells count="143">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J5:K5"/>
    <mergeCell ref="P13:Q13"/>
    <mergeCell ref="N13:O13"/>
    <mergeCell ref="N11:O11"/>
    <mergeCell ref="B15:D15"/>
    <mergeCell ref="B16:D16"/>
    <mergeCell ref="H17:K17"/>
    <mergeCell ref="D24:G24"/>
    <mergeCell ref="E33:G33"/>
    <mergeCell ref="H24:K24"/>
    <mergeCell ref="H21:K21"/>
    <mergeCell ref="B39:D39"/>
    <mergeCell ref="D23:G23"/>
    <mergeCell ref="D22:G22"/>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s>
  <phoneticPr fontId="7" type="noConversion"/>
  <conditionalFormatting sqref="B32:D34">
    <cfRule type="cellIs" dxfId="15" priority="1" stopIfTrue="1" operator="equal">
      <formula>"Make a selection FIRST --&gt;"</formula>
    </cfRule>
  </conditionalFormatting>
  <dataValidations disablePrompts="1" xWindow="265" yWindow="773" count="4">
    <dataValidation type="list" showInputMessage="1" showErrorMessage="1" sqref="M5:M8 E7:E8 B6:B8 E5 H6:H7">
      <formula1>"Yes, No"</formula1>
    </dataValidation>
    <dataValidation type="list" allowBlank="1" showInputMessage="1" showErrorMessage="1" sqref="K7 E6 B5 H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12" customFormat="1" ht="16.149999999999999" customHeight="1">
      <c r="A1" s="919" t="str">
        <f>CONCATENATE("PART III B: USD 538 LOAN","  -  ",'Part I-Project Information'!$O$4," ",'Part I-Project Information'!$F$23,", ",'Part I-Project Information'!$F$26,", ",'Part I-Project Information'!$J$27," County")</f>
        <v>PART III B: USD 538 LOAN  -  2013-011 Mountain View Senior Residences, Stone Mountain, DeKalb County</v>
      </c>
      <c r="B1" s="920"/>
      <c r="C1" s="920"/>
      <c r="D1" s="920"/>
      <c r="E1" s="920"/>
      <c r="F1" s="921"/>
      <c r="G1" s="208"/>
      <c r="H1" s="208"/>
      <c r="I1" s="208"/>
      <c r="J1" s="208"/>
      <c r="K1" s="208"/>
      <c r="L1" s="208"/>
      <c r="M1" s="208"/>
      <c r="N1" s="208"/>
      <c r="O1" s="208"/>
      <c r="P1" s="208"/>
      <c r="Q1" s="208"/>
    </row>
    <row r="2" spans="1:17" ht="10.9" customHeight="1">
      <c r="A2" s="247"/>
      <c r="B2" s="247"/>
      <c r="C2" s="247"/>
      <c r="D2" s="247"/>
      <c r="E2" s="247"/>
      <c r="F2" s="247"/>
      <c r="G2" s="247"/>
      <c r="H2" s="247"/>
    </row>
    <row r="3" spans="1:17" ht="14.45" customHeight="1">
      <c r="A3" s="928" t="s">
        <v>236</v>
      </c>
      <c r="B3" s="928"/>
      <c r="C3" s="928"/>
      <c r="D3" s="928"/>
      <c r="E3" s="928"/>
      <c r="F3" s="928"/>
      <c r="G3" s="247"/>
      <c r="H3" s="247"/>
    </row>
    <row r="4" spans="1:17" s="235" customFormat="1" ht="6" customHeight="1"/>
    <row r="5" spans="1:17">
      <c r="A5" s="40" t="s">
        <v>2982</v>
      </c>
      <c r="B5" s="40"/>
      <c r="C5" s="333"/>
      <c r="D5" s="334">
        <f>IF(C5&gt;1500000,1500000,0)</f>
        <v>0</v>
      </c>
      <c r="E5" s="335">
        <f>IF(C5&gt;1500000,C5-1500000,0)</f>
        <v>0</v>
      </c>
    </row>
    <row r="6" spans="1:17">
      <c r="A6" s="40" t="s">
        <v>3244</v>
      </c>
      <c r="B6" s="272" t="s">
        <v>640</v>
      </c>
      <c r="C6" s="336">
        <v>0</v>
      </c>
      <c r="D6" s="143" t="s">
        <v>641</v>
      </c>
      <c r="E6" s="40"/>
    </row>
    <row r="7" spans="1:17">
      <c r="A7" s="40"/>
      <c r="B7" s="272" t="s">
        <v>3260</v>
      </c>
      <c r="C7" s="337"/>
      <c r="D7" s="143" t="s">
        <v>2344</v>
      </c>
      <c r="E7" s="40"/>
    </row>
    <row r="8" spans="1:17" ht="13.15" customHeight="1">
      <c r="A8" s="40" t="s">
        <v>3248</v>
      </c>
      <c r="B8" s="40"/>
      <c r="C8" s="336">
        <v>0</v>
      </c>
      <c r="D8" s="143" t="s">
        <v>2345</v>
      </c>
      <c r="E8" s="40"/>
    </row>
    <row r="9" spans="1:17">
      <c r="A9" s="40" t="s">
        <v>1823</v>
      </c>
      <c r="B9" s="40"/>
      <c r="C9" s="338"/>
      <c r="D9" s="40"/>
      <c r="E9" s="40"/>
    </row>
    <row r="10" spans="1:17">
      <c r="A10" s="40" t="s">
        <v>1824</v>
      </c>
      <c r="B10" s="40"/>
      <c r="C10" s="338"/>
      <c r="D10" s="40"/>
      <c r="E10" s="40"/>
    </row>
    <row r="11" spans="1:17">
      <c r="A11" s="40" t="s">
        <v>1821</v>
      </c>
      <c r="B11" s="40"/>
      <c r="C11" s="339" t="e">
        <f>PMT(C7/12,C10*12,-C5,0,0)*12</f>
        <v>#NUM!</v>
      </c>
      <c r="D11" s="334" t="e">
        <f>PMT($C$7/12,$C$10*12,-D5,0,0)*12</f>
        <v>#NUM!</v>
      </c>
      <c r="E11" s="334" t="e">
        <f>PMT($C$7/12,$C$10*12,-E5,0,0)*12</f>
        <v>#NUM!</v>
      </c>
    </row>
    <row r="12" spans="1:17">
      <c r="A12" s="40" t="s">
        <v>1822</v>
      </c>
      <c r="B12" s="40"/>
      <c r="C12" s="340" t="e">
        <f>C11/12</f>
        <v>#NUM!</v>
      </c>
      <c r="D12" s="334" t="e">
        <f>D11/12</f>
        <v>#NUM!</v>
      </c>
      <c r="E12" s="334" t="e">
        <f>E11/12</f>
        <v>#NUM!</v>
      </c>
    </row>
    <row r="13" spans="1:17" ht="10.9" customHeight="1">
      <c r="A13" s="247"/>
      <c r="B13" s="247"/>
      <c r="C13" s="247"/>
      <c r="D13" s="247"/>
      <c r="E13" s="247"/>
      <c r="F13" s="247"/>
      <c r="G13" s="247"/>
      <c r="H13" s="247"/>
    </row>
    <row r="14" spans="1:17" ht="12.6" customHeight="1">
      <c r="A14" s="929" t="s">
        <v>134</v>
      </c>
      <c r="B14" s="929"/>
      <c r="C14" s="929"/>
      <c r="D14" s="929"/>
      <c r="E14" s="929"/>
      <c r="F14" s="929"/>
      <c r="G14" s="247"/>
      <c r="H14" s="247"/>
    </row>
    <row r="15" spans="1:17" ht="5.45" customHeight="1">
      <c r="A15" s="32"/>
      <c r="E15" s="258"/>
      <c r="F15" s="247"/>
      <c r="G15" s="247"/>
      <c r="H15" s="247"/>
    </row>
    <row r="16" spans="1:17" ht="13.15" customHeight="1">
      <c r="A16" s="260" t="s">
        <v>3261</v>
      </c>
      <c r="B16" s="261" t="s">
        <v>3258</v>
      </c>
      <c r="C16" s="261" t="s">
        <v>3259</v>
      </c>
      <c r="D16" s="925" t="s">
        <v>2981</v>
      </c>
      <c r="E16" s="925"/>
      <c r="F16" s="247"/>
      <c r="G16" s="247"/>
      <c r="H16" s="247"/>
    </row>
    <row r="17" spans="1:8" ht="12.6" customHeight="1">
      <c r="A17" s="97">
        <v>1</v>
      </c>
      <c r="B17" s="236">
        <f>IF(A17&gt;$C$9,0,SUM(C64:C75)*($C$6/$C$7))</f>
        <v>0</v>
      </c>
      <c r="C17" s="259">
        <f>IF(A17&gt;C9,0,(E63+K63)*$C$8)</f>
        <v>0</v>
      </c>
      <c r="D17" s="930">
        <f t="shared" ref="D17:D56" si="0">IF(A17&gt;$C$9,0,$C$11+C17)</f>
        <v>0</v>
      </c>
      <c r="E17" s="930"/>
      <c r="F17" s="247"/>
      <c r="G17" s="247"/>
      <c r="H17" s="247"/>
    </row>
    <row r="18" spans="1:8" ht="12.6" customHeight="1">
      <c r="A18" s="97">
        <v>2</v>
      </c>
      <c r="B18" s="236">
        <f>IF(A18&gt;C9,0,SUM(C76:C87)*($C$6/$C$7))</f>
        <v>0</v>
      </c>
      <c r="C18" s="266">
        <f>IF(A18&gt;C9,0,(E75+K75)*$C$8)</f>
        <v>0</v>
      </c>
      <c r="D18" s="922">
        <f t="shared" si="0"/>
        <v>0</v>
      </c>
      <c r="E18" s="922"/>
      <c r="F18" s="247"/>
      <c r="G18" s="247"/>
      <c r="H18" s="247"/>
    </row>
    <row r="19" spans="1:8" ht="12.6" customHeight="1">
      <c r="A19" s="97">
        <v>3</v>
      </c>
      <c r="B19" s="236">
        <f>IF(A19&gt;C9,0,SUM(C88:C99)*($C$6/$C$7))</f>
        <v>0</v>
      </c>
      <c r="C19" s="259">
        <f>IF(A19&gt;C9,0,(E87+K87)*$C$8)</f>
        <v>0</v>
      </c>
      <c r="D19" s="922">
        <f t="shared" si="0"/>
        <v>0</v>
      </c>
      <c r="E19" s="922"/>
      <c r="F19" s="247"/>
      <c r="G19" s="247"/>
      <c r="H19" s="247"/>
    </row>
    <row r="20" spans="1:8" ht="12.6" customHeight="1">
      <c r="A20" s="97">
        <v>4</v>
      </c>
      <c r="B20" s="236">
        <f>IF(A20&gt;C9,0,SUM(C100:C111)*($C$6/$C$7))</f>
        <v>0</v>
      </c>
      <c r="C20" s="259">
        <f>IF(A20&gt;C9,0,(E99+K99)*$C$8)</f>
        <v>0</v>
      </c>
      <c r="D20" s="922">
        <f t="shared" si="0"/>
        <v>0</v>
      </c>
      <c r="E20" s="922"/>
      <c r="F20" s="247"/>
      <c r="G20" s="247"/>
      <c r="H20" s="247"/>
    </row>
    <row r="21" spans="1:8" ht="12.6" customHeight="1">
      <c r="A21" s="97">
        <v>5</v>
      </c>
      <c r="B21" s="236">
        <f>IF(A21&gt;C9,0,SUM(C112:C123)*($C$6/$C$7))</f>
        <v>0</v>
      </c>
      <c r="C21" s="259">
        <f>IF(A21&gt;C9,0,(E111+K111)*$C$8)</f>
        <v>0</v>
      </c>
      <c r="D21" s="923">
        <f t="shared" si="0"/>
        <v>0</v>
      </c>
      <c r="E21" s="923"/>
      <c r="F21" s="247"/>
      <c r="G21" s="247"/>
      <c r="H21" s="247"/>
    </row>
    <row r="22" spans="1:8" ht="12.6" customHeight="1">
      <c r="A22" s="237">
        <v>6</v>
      </c>
      <c r="B22" s="238">
        <f>IF(A22&gt;C9,0,SUM(C124:C135)*($C$6/$C$7))</f>
        <v>0</v>
      </c>
      <c r="C22" s="263">
        <f>IF(A22&gt;C9,0,(E123+K123)*$C$8)</f>
        <v>0</v>
      </c>
      <c r="D22" s="922">
        <f t="shared" si="0"/>
        <v>0</v>
      </c>
      <c r="E22" s="922"/>
      <c r="F22" s="247"/>
      <c r="G22" s="247"/>
      <c r="H22" s="247"/>
    </row>
    <row r="23" spans="1:8" ht="12.6" customHeight="1">
      <c r="A23" s="239">
        <v>7</v>
      </c>
      <c r="B23" s="240">
        <f>IF(A23&gt;C9,0,SUM(C136:C147)*($C$6/$C$7))</f>
        <v>0</v>
      </c>
      <c r="C23" s="241">
        <f>IF(A23&gt;C9,0,(E135+K135)*$C$8)</f>
        <v>0</v>
      </c>
      <c r="D23" s="922">
        <f t="shared" si="0"/>
        <v>0</v>
      </c>
      <c r="E23" s="922"/>
      <c r="F23" s="247"/>
      <c r="G23" s="247"/>
      <c r="H23" s="247"/>
    </row>
    <row r="24" spans="1:8" ht="12.6" customHeight="1">
      <c r="A24" s="239">
        <v>8</v>
      </c>
      <c r="B24" s="240">
        <f>IF(A24&gt;C9,0,SUM(C148:C159)*($C$6/$C$7))</f>
        <v>0</v>
      </c>
      <c r="C24" s="241">
        <f>IF(A24&gt;C9,0,(E147+K147)*$C$8)</f>
        <v>0</v>
      </c>
      <c r="D24" s="922">
        <f t="shared" si="0"/>
        <v>0</v>
      </c>
      <c r="E24" s="922"/>
      <c r="F24" s="247"/>
      <c r="G24" s="247"/>
      <c r="H24" s="247"/>
    </row>
    <row r="25" spans="1:8" ht="12.6" customHeight="1">
      <c r="A25" s="239">
        <v>9</v>
      </c>
      <c r="B25" s="240">
        <f>IF(A25&gt;C9,0,SUM(C160:C171)*($C$6/$C$7))</f>
        <v>0</v>
      </c>
      <c r="C25" s="241">
        <f>IF(A25&gt;C9,0,(E159+K159)*$C$8)</f>
        <v>0</v>
      </c>
      <c r="D25" s="922">
        <f t="shared" si="0"/>
        <v>0</v>
      </c>
      <c r="E25" s="922"/>
      <c r="F25" s="247"/>
      <c r="G25" s="247"/>
      <c r="H25" s="247"/>
    </row>
    <row r="26" spans="1:8" ht="12.6" customHeight="1">
      <c r="A26" s="242">
        <v>10</v>
      </c>
      <c r="B26" s="243">
        <f>IF(A26&gt;C9,0,SUM(C172:C183)*($C$6/$C$7))</f>
        <v>0</v>
      </c>
      <c r="C26" s="262">
        <f>IF(A26&gt;C9,0,(E171+K171)*$C$8)</f>
        <v>0</v>
      </c>
      <c r="D26" s="923">
        <f t="shared" si="0"/>
        <v>0</v>
      </c>
      <c r="E26" s="923"/>
      <c r="F26" s="247"/>
      <c r="G26" s="247"/>
      <c r="H26" s="247"/>
    </row>
    <row r="27" spans="1:8" ht="12.6" customHeight="1">
      <c r="A27" s="244">
        <v>11</v>
      </c>
      <c r="B27" s="236">
        <f>IF(A27&gt;C9,0,SUM(C184:C195)*($C$6/$C$7))</f>
        <v>0</v>
      </c>
      <c r="C27" s="259">
        <f>IF(A27&gt;C9,0,(E183+K183)*$C$8)</f>
        <v>0</v>
      </c>
      <c r="D27" s="922">
        <f t="shared" si="0"/>
        <v>0</v>
      </c>
      <c r="E27" s="922"/>
      <c r="F27" s="247"/>
      <c r="G27" s="247"/>
      <c r="H27" s="247"/>
    </row>
    <row r="28" spans="1:8" ht="12.6" customHeight="1">
      <c r="A28" s="244">
        <v>12</v>
      </c>
      <c r="B28" s="236">
        <f>IF(A28&gt;C9,0,SUM(C196:C207)*($C$6/$C$7))</f>
        <v>0</v>
      </c>
      <c r="C28" s="259">
        <f>IF(A28&gt;C9,0,(E195+K195)*$C$8)</f>
        <v>0</v>
      </c>
      <c r="D28" s="922">
        <f t="shared" si="0"/>
        <v>0</v>
      </c>
      <c r="E28" s="922"/>
      <c r="F28" s="247"/>
      <c r="G28" s="247"/>
      <c r="H28" s="247"/>
    </row>
    <row r="29" spans="1:8" ht="12.6" customHeight="1">
      <c r="A29" s="244">
        <v>13</v>
      </c>
      <c r="B29" s="236">
        <f>IF(A29&gt;C9,0,SUM(C208:C219)*($C$6/$C$7))</f>
        <v>0</v>
      </c>
      <c r="C29" s="259">
        <f>IF(A29&gt;C9,0,(E207+K207)*$C$8)</f>
        <v>0</v>
      </c>
      <c r="D29" s="922">
        <f t="shared" si="0"/>
        <v>0</v>
      </c>
      <c r="E29" s="922"/>
      <c r="F29" s="247"/>
      <c r="G29" s="247"/>
      <c r="H29" s="247"/>
    </row>
    <row r="30" spans="1:8" ht="12.6" customHeight="1">
      <c r="A30" s="244">
        <v>14</v>
      </c>
      <c r="B30" s="236">
        <f>IF(A30&gt;C9,0,SUM(C220:C231)*($C$6/$C$7))</f>
        <v>0</v>
      </c>
      <c r="C30" s="259">
        <f>IF(A30&gt;C9,0,(E219+K219)*$C$8)</f>
        <v>0</v>
      </c>
      <c r="D30" s="922">
        <f t="shared" si="0"/>
        <v>0</v>
      </c>
      <c r="E30" s="922"/>
      <c r="F30" s="247"/>
      <c r="G30" s="247"/>
      <c r="H30" s="247"/>
    </row>
    <row r="31" spans="1:8" ht="12.6" customHeight="1">
      <c r="A31" s="244">
        <v>15</v>
      </c>
      <c r="B31" s="236">
        <f>IF(A31&gt;C9,0,SUM(C232:C243)*($C$6/$C$7))</f>
        <v>0</v>
      </c>
      <c r="C31" s="259">
        <f>IF(A31&gt;C9,0,(E231+K231)*$C$8)</f>
        <v>0</v>
      </c>
      <c r="D31" s="923">
        <f t="shared" si="0"/>
        <v>0</v>
      </c>
      <c r="E31" s="923"/>
      <c r="F31" s="247"/>
      <c r="G31" s="247"/>
      <c r="H31" s="247"/>
    </row>
    <row r="32" spans="1:8" ht="12.6" customHeight="1">
      <c r="A32" s="246">
        <v>16</v>
      </c>
      <c r="B32" s="238">
        <f>IF(A32&gt;C9,0,SUM(C244:C255)*($C$6/$C$7))</f>
        <v>0</v>
      </c>
      <c r="C32" s="263">
        <f>IF(A32&gt;C9,0,(E243+K243)*$C$8)</f>
        <v>0</v>
      </c>
      <c r="D32" s="922">
        <f t="shared" si="0"/>
        <v>0</v>
      </c>
      <c r="E32" s="922"/>
      <c r="F32" s="247"/>
      <c r="G32" s="247"/>
      <c r="H32" s="247"/>
    </row>
    <row r="33" spans="1:8" ht="12.6" customHeight="1">
      <c r="A33" s="239">
        <v>17</v>
      </c>
      <c r="B33" s="240">
        <f>IF(A33&gt;C9,0,SUM(C256:C267)*($C$6/$C$7))</f>
        <v>0</v>
      </c>
      <c r="C33" s="241">
        <f>IF(A33&gt;C9,0,(E255+K255)*$C$8)</f>
        <v>0</v>
      </c>
      <c r="D33" s="922">
        <f t="shared" si="0"/>
        <v>0</v>
      </c>
      <c r="E33" s="922"/>
      <c r="F33" s="247"/>
      <c r="G33" s="247"/>
      <c r="H33" s="247"/>
    </row>
    <row r="34" spans="1:8" ht="12.6" customHeight="1">
      <c r="A34" s="239">
        <v>18</v>
      </c>
      <c r="B34" s="240">
        <f>IF(A34&gt;C9,0,SUM(C268:C279)*($C$6/$C$7))</f>
        <v>0</v>
      </c>
      <c r="C34" s="241">
        <f>IF(A34&gt;C9,0,(E267+K267)*$C$8)</f>
        <v>0</v>
      </c>
      <c r="D34" s="922">
        <f t="shared" si="0"/>
        <v>0</v>
      </c>
      <c r="E34" s="922"/>
      <c r="F34" s="247"/>
      <c r="G34" s="247"/>
      <c r="H34" s="247"/>
    </row>
    <row r="35" spans="1:8" ht="12.6" customHeight="1">
      <c r="A35" s="239">
        <v>19</v>
      </c>
      <c r="B35" s="240">
        <f>IF(A35&gt;C9,0,SUM(C280:C291)*($C$6/$C$7))</f>
        <v>0</v>
      </c>
      <c r="C35" s="241">
        <f>IF(A35&gt;C9,0,(E279+K279)*$C$8)</f>
        <v>0</v>
      </c>
      <c r="D35" s="922">
        <f t="shared" si="0"/>
        <v>0</v>
      </c>
      <c r="E35" s="922"/>
      <c r="F35" s="247"/>
      <c r="G35" s="247"/>
      <c r="H35" s="247"/>
    </row>
    <row r="36" spans="1:8" ht="12.6" customHeight="1">
      <c r="A36" s="242">
        <v>20</v>
      </c>
      <c r="B36" s="243">
        <f>IF(A36&gt;C9,0,SUM(C292:C303)*($C$6/$C$7))</f>
        <v>0</v>
      </c>
      <c r="C36" s="262">
        <f>IF(A36&gt;C9,0,(E291+K291)*$C$8)</f>
        <v>0</v>
      </c>
      <c r="D36" s="923">
        <f t="shared" si="0"/>
        <v>0</v>
      </c>
      <c r="E36" s="923"/>
      <c r="F36" s="247"/>
      <c r="G36" s="247"/>
      <c r="H36" s="247"/>
    </row>
    <row r="37" spans="1:8" ht="12.6" customHeight="1">
      <c r="A37" s="97">
        <v>21</v>
      </c>
      <c r="B37" s="238">
        <f>IF(A37&gt;C9,0,SUM(C293:C304)*($C$6/$C$7))</f>
        <v>0</v>
      </c>
      <c r="C37" s="263">
        <f>IF(A37&gt;C9,0,(E303+K303)*$C$8)</f>
        <v>0</v>
      </c>
      <c r="D37" s="924">
        <f t="shared" si="0"/>
        <v>0</v>
      </c>
      <c r="E37" s="924"/>
      <c r="F37" s="247"/>
      <c r="G37" s="247"/>
      <c r="H37" s="247"/>
    </row>
    <row r="38" spans="1:8" ht="12.6" customHeight="1">
      <c r="A38" s="97">
        <v>22</v>
      </c>
      <c r="B38" s="240">
        <f>IF(A38&gt;C9,0,SUM(C294:C305)*($C$6/$C$7))</f>
        <v>0</v>
      </c>
      <c r="C38" s="241">
        <f>IF(A38&gt;C9,0,(E315+K315)*$C$8)</f>
        <v>0</v>
      </c>
      <c r="D38" s="922">
        <f t="shared" si="0"/>
        <v>0</v>
      </c>
      <c r="E38" s="922"/>
      <c r="F38" s="247"/>
      <c r="G38" s="247"/>
      <c r="H38" s="247"/>
    </row>
    <row r="39" spans="1:8" ht="12.6" customHeight="1">
      <c r="A39" s="97">
        <v>23</v>
      </c>
      <c r="B39" s="240">
        <f>IF(A39&gt;C9,0,SUM(C295:C306)*($C$6/$C$7))</f>
        <v>0</v>
      </c>
      <c r="C39" s="241">
        <f>IF(A39&gt;C9,0,(E327+K327)*$C$8)</f>
        <v>0</v>
      </c>
      <c r="D39" s="922">
        <f t="shared" si="0"/>
        <v>0</v>
      </c>
      <c r="E39" s="922"/>
      <c r="F39" s="247"/>
      <c r="G39" s="247"/>
      <c r="H39" s="247"/>
    </row>
    <row r="40" spans="1:8" ht="12.6" customHeight="1">
      <c r="A40" s="97">
        <v>24</v>
      </c>
      <c r="B40" s="240">
        <f>IF(A40&gt;C9,0,SUM(C296:C307)*($C$6/$C$7))</f>
        <v>0</v>
      </c>
      <c r="C40" s="241">
        <f>IF(A40&gt;C9,0,(E339+K339)*$C$8)</f>
        <v>0</v>
      </c>
      <c r="D40" s="922">
        <f t="shared" si="0"/>
        <v>0</v>
      </c>
      <c r="E40" s="922"/>
      <c r="F40" s="247"/>
      <c r="G40" s="247"/>
      <c r="H40" s="247"/>
    </row>
    <row r="41" spans="1:8" ht="12.6" customHeight="1">
      <c r="A41" s="97">
        <v>25</v>
      </c>
      <c r="B41" s="243">
        <f>IF(A41&gt;C9,0,SUM(C297:C308)*($C$6/$C$7))</f>
        <v>0</v>
      </c>
      <c r="C41" s="262">
        <f>IF(A41&gt;C9,0,(E351+K351)*$C$8)</f>
        <v>0</v>
      </c>
      <c r="D41" s="923">
        <f t="shared" si="0"/>
        <v>0</v>
      </c>
      <c r="E41" s="923"/>
      <c r="F41" s="247"/>
      <c r="G41" s="247"/>
      <c r="H41" s="247"/>
    </row>
    <row r="42" spans="1:8" ht="12.6" customHeight="1">
      <c r="A42" s="237">
        <v>26</v>
      </c>
      <c r="B42" s="238">
        <f>IF(A42&gt;C9,0,SUM(C298:C309)*($C$6/$C$7))</f>
        <v>0</v>
      </c>
      <c r="C42" s="263">
        <f>IF(A42&gt;C9,0,(E363+K363)*$C$8)</f>
        <v>0</v>
      </c>
      <c r="D42" s="924">
        <f t="shared" si="0"/>
        <v>0</v>
      </c>
      <c r="E42" s="924"/>
      <c r="F42" s="247"/>
      <c r="G42" s="247"/>
      <c r="H42" s="247"/>
    </row>
    <row r="43" spans="1:8" ht="12.6" customHeight="1">
      <c r="A43" s="239">
        <v>27</v>
      </c>
      <c r="B43" s="240">
        <f>IF(A43&gt;C9,0,SUM(C299:C310)*($C$6/$C$7))</f>
        <v>0</v>
      </c>
      <c r="C43" s="241">
        <f>IF(A43&gt;C9,0,(E375+K375)*$C$8)</f>
        <v>0</v>
      </c>
      <c r="D43" s="922">
        <f t="shared" si="0"/>
        <v>0</v>
      </c>
      <c r="E43" s="922"/>
      <c r="F43" s="247"/>
      <c r="G43" s="247"/>
      <c r="H43" s="247"/>
    </row>
    <row r="44" spans="1:8" ht="12.6" customHeight="1">
      <c r="A44" s="239">
        <v>28</v>
      </c>
      <c r="B44" s="240">
        <f>IF(A44&gt;C9,0,SUM(C300:C311)*($C$6/$C$7))</f>
        <v>0</v>
      </c>
      <c r="C44" s="241">
        <f>IF(A44&gt;C9,0,(E387+K387)*$C$8)</f>
        <v>0</v>
      </c>
      <c r="D44" s="922">
        <f t="shared" si="0"/>
        <v>0</v>
      </c>
      <c r="E44" s="922"/>
      <c r="F44" s="247"/>
      <c r="G44" s="247"/>
      <c r="H44" s="247"/>
    </row>
    <row r="45" spans="1:8" ht="12.6" customHeight="1">
      <c r="A45" s="239">
        <v>29</v>
      </c>
      <c r="B45" s="240">
        <f>IF(A45&gt;C9,0,SUM(C301:C312)*($C$6/$C$7))</f>
        <v>0</v>
      </c>
      <c r="C45" s="241">
        <f>IF(A45&gt;C9,0,(E411+K411)*$C$8)</f>
        <v>0</v>
      </c>
      <c r="D45" s="922">
        <f t="shared" si="0"/>
        <v>0</v>
      </c>
      <c r="E45" s="922"/>
      <c r="F45" s="247"/>
      <c r="G45" s="247"/>
      <c r="H45" s="247"/>
    </row>
    <row r="46" spans="1:8" ht="12.6" customHeight="1">
      <c r="A46" s="242">
        <v>30</v>
      </c>
      <c r="B46" s="243">
        <f>IF(A46&gt;C9,0,SUM(C302:C313)*($C$6/$C$7))</f>
        <v>0</v>
      </c>
      <c r="C46" s="262">
        <f>IF(A46&gt;C9,0,(E423+K423)*$C$8)</f>
        <v>0</v>
      </c>
      <c r="D46" s="923">
        <f t="shared" si="0"/>
        <v>0</v>
      </c>
      <c r="E46" s="923"/>
      <c r="F46" s="247"/>
      <c r="G46" s="247"/>
      <c r="H46" s="247"/>
    </row>
    <row r="47" spans="1:8" ht="12.6" customHeight="1">
      <c r="A47" s="246">
        <v>31</v>
      </c>
      <c r="B47" s="238">
        <f>IF(A47&gt;C9,0,SUM(C303:C314)*($C$6/$C$7))</f>
        <v>0</v>
      </c>
      <c r="C47" s="263">
        <f>IF(A47&gt;C9,0,(E435+K435)*$C$8)</f>
        <v>0</v>
      </c>
      <c r="D47" s="924">
        <f t="shared" si="0"/>
        <v>0</v>
      </c>
      <c r="E47" s="924"/>
      <c r="F47" s="247"/>
      <c r="G47" s="247"/>
      <c r="H47" s="247"/>
    </row>
    <row r="48" spans="1:8" ht="12.6" customHeight="1">
      <c r="A48" s="239">
        <v>32</v>
      </c>
      <c r="B48" s="240">
        <f>IF(A48&gt;C9,0,SUM(C304:C315)*($C$6/$C$7))</f>
        <v>0</v>
      </c>
      <c r="C48" s="241">
        <f>IF(A48&gt;C9,0,(E447+K447)*$C$8)</f>
        <v>0</v>
      </c>
      <c r="D48" s="922">
        <f t="shared" si="0"/>
        <v>0</v>
      </c>
      <c r="E48" s="922"/>
      <c r="F48" s="247"/>
      <c r="G48" s="247"/>
      <c r="H48" s="247"/>
    </row>
    <row r="49" spans="1:12" ht="12.6" customHeight="1">
      <c r="A49" s="239">
        <v>33</v>
      </c>
      <c r="B49" s="240">
        <f>IF(A49&gt;C9,0,SUM(C305:C316)*($C$6/$C$7))</f>
        <v>0</v>
      </c>
      <c r="C49" s="241">
        <f>IF(A49&gt;C9,0,(E459+K459)*$C$8)</f>
        <v>0</v>
      </c>
      <c r="D49" s="922">
        <f t="shared" si="0"/>
        <v>0</v>
      </c>
      <c r="E49" s="922"/>
      <c r="F49" s="247"/>
      <c r="G49" s="247"/>
      <c r="H49" s="247"/>
    </row>
    <row r="50" spans="1:12" ht="12.6" customHeight="1">
      <c r="A50" s="239">
        <v>34</v>
      </c>
      <c r="B50" s="240">
        <f>IF(A50&gt;C9,0,SUM(C306:C317)*($C$6/$C$7))</f>
        <v>0</v>
      </c>
      <c r="C50" s="241">
        <f>IF(A50&gt;C9,0,(E471+K471)*$C$8)</f>
        <v>0</v>
      </c>
      <c r="D50" s="922">
        <f t="shared" si="0"/>
        <v>0</v>
      </c>
      <c r="E50" s="922"/>
      <c r="F50" s="247"/>
      <c r="G50" s="247"/>
      <c r="H50" s="247"/>
    </row>
    <row r="51" spans="1:12" ht="12.6" customHeight="1">
      <c r="A51" s="242">
        <v>35</v>
      </c>
      <c r="B51" s="243">
        <f>IF(A51&gt;C9,0,SUM(C307:C318)*($C$6/$C$7))</f>
        <v>0</v>
      </c>
      <c r="C51" s="262">
        <f>IF(A51&gt;C9,0,(E483+K483)*$C$8)</f>
        <v>0</v>
      </c>
      <c r="D51" s="923">
        <f t="shared" si="0"/>
        <v>0</v>
      </c>
      <c r="E51" s="923"/>
      <c r="F51" s="247"/>
      <c r="G51" s="247"/>
      <c r="H51" s="247"/>
    </row>
    <row r="52" spans="1:12" ht="12.6" customHeight="1">
      <c r="A52" s="246">
        <v>36</v>
      </c>
      <c r="B52" s="238">
        <f>IF(A52&gt;C9,0,SUM(C308:C319)*($C$6/$C$7))</f>
        <v>0</v>
      </c>
      <c r="C52" s="263">
        <f>IF(A52&gt;C9,0,(E495+K495)*$C$8)</f>
        <v>0</v>
      </c>
      <c r="D52" s="924">
        <f t="shared" si="0"/>
        <v>0</v>
      </c>
      <c r="E52" s="924"/>
      <c r="F52" s="247"/>
      <c r="G52" s="247"/>
      <c r="H52" s="247"/>
    </row>
    <row r="53" spans="1:12" ht="12.6" customHeight="1">
      <c r="A53" s="239">
        <v>37</v>
      </c>
      <c r="B53" s="240">
        <f>IF(A53&gt;C9,0,SUM(C309:C320)*($C$6/$C$7))</f>
        <v>0</v>
      </c>
      <c r="C53" s="241">
        <f>IF(A53&gt;C9,0,(E507+K507)*$C$8)</f>
        <v>0</v>
      </c>
      <c r="D53" s="922">
        <f t="shared" si="0"/>
        <v>0</v>
      </c>
      <c r="E53" s="922"/>
      <c r="F53" s="247"/>
      <c r="G53" s="247"/>
      <c r="H53" s="247"/>
    </row>
    <row r="54" spans="1:12" ht="12.6" customHeight="1">
      <c r="A54" s="239">
        <v>38</v>
      </c>
      <c r="B54" s="240">
        <f>IF(A54&gt;C9,0,SUM(C310:C321)*($C$6/$C$7))</f>
        <v>0</v>
      </c>
      <c r="C54" s="241">
        <f>IF(A54&gt;C9,0,(E519+K519)*$C$8)</f>
        <v>0</v>
      </c>
      <c r="D54" s="922">
        <f t="shared" si="0"/>
        <v>0</v>
      </c>
      <c r="E54" s="922"/>
      <c r="F54" s="247"/>
      <c r="G54" s="247"/>
      <c r="H54" s="247"/>
    </row>
    <row r="55" spans="1:12" ht="12.6" customHeight="1">
      <c r="A55" s="239">
        <v>39</v>
      </c>
      <c r="B55" s="240">
        <f>IF(A55&gt;C9,0,SUM(C311:C322)*($C$6/$C$7))</f>
        <v>0</v>
      </c>
      <c r="C55" s="241">
        <f>IF(A55&gt;C9,0,(E531+K531)*$C$8)</f>
        <v>0</v>
      </c>
      <c r="D55" s="922">
        <f t="shared" si="0"/>
        <v>0</v>
      </c>
      <c r="E55" s="922"/>
      <c r="F55" s="247"/>
      <c r="G55" s="247"/>
      <c r="H55" s="247"/>
    </row>
    <row r="56" spans="1:12" ht="12.6" customHeight="1">
      <c r="A56" s="242">
        <v>40</v>
      </c>
      <c r="B56" s="243">
        <f>IF(A56&gt;C9,0,SUM(C312:C323)*($C$6/$C$7))</f>
        <v>0</v>
      </c>
      <c r="C56" s="262">
        <f>IF(A56&gt;C9,0,(E543+K543)*$C$8)</f>
        <v>0</v>
      </c>
      <c r="D56" s="923">
        <f t="shared" si="0"/>
        <v>0</v>
      </c>
      <c r="E56" s="923"/>
      <c r="F56" s="247"/>
      <c r="G56" s="247"/>
      <c r="H56" s="247"/>
    </row>
    <row r="57" spans="1:12" ht="3" customHeight="1">
      <c r="A57" s="247"/>
      <c r="B57" s="247"/>
      <c r="C57" s="247"/>
      <c r="D57" s="247"/>
      <c r="E57" s="247"/>
      <c r="F57" s="247"/>
      <c r="G57" s="247"/>
      <c r="H57" s="247"/>
    </row>
    <row r="58" spans="1:12" ht="13.15" customHeight="1">
      <c r="A58" s="926" t="str">
        <f>CONCATENATE('Part I-Project Information'!$O$4," ",'Part I-Project Information'!$F$23,", ",'Part I-Project Information'!$F$26,", ",'Part I-Project Information'!$J$27," County")</f>
        <v>2013-011 Mountain View Senior Residences, Stone Mountain, DeKalb County</v>
      </c>
      <c r="B58" s="926"/>
      <c r="C58" s="926"/>
      <c r="D58" s="926"/>
      <c r="E58" s="926"/>
      <c r="F58" s="926"/>
      <c r="G58" s="926" t="str">
        <f>CONCATENATE('Part I-Project Information'!$O$4," ",'Part I-Project Information'!$F$23,", ",'Part I-Project Information'!$F$26,", ",'Part I-Project Information'!$J$27," County")</f>
        <v>2013-011 Mountain View Senior Residences, Stone Mountain, DeKalb County</v>
      </c>
      <c r="H58" s="926"/>
      <c r="I58" s="926"/>
      <c r="J58" s="926"/>
      <c r="K58" s="926"/>
      <c r="L58" s="926"/>
    </row>
    <row r="59" spans="1:12" ht="15">
      <c r="A59" s="927" t="s">
        <v>3252</v>
      </c>
      <c r="B59" s="927"/>
      <c r="C59" s="927"/>
      <c r="D59" s="927"/>
      <c r="E59" s="927"/>
      <c r="F59" s="927"/>
      <c r="G59" s="927" t="s">
        <v>3252</v>
      </c>
      <c r="H59" s="927"/>
      <c r="I59" s="927"/>
      <c r="J59" s="927"/>
      <c r="K59" s="927"/>
      <c r="L59" s="927"/>
    </row>
    <row r="60" spans="1:12" ht="6" customHeight="1">
      <c r="C60" s="245"/>
      <c r="D60" s="245"/>
      <c r="I60" s="245"/>
      <c r="J60" s="245"/>
    </row>
    <row r="61" spans="1:12">
      <c r="A61" s="248" t="s">
        <v>3253</v>
      </c>
      <c r="B61" s="249" t="s">
        <v>3254</v>
      </c>
      <c r="C61" s="249" t="s">
        <v>1728</v>
      </c>
      <c r="D61" s="249" t="s">
        <v>3255</v>
      </c>
      <c r="E61" s="248" t="s">
        <v>3256</v>
      </c>
      <c r="F61" s="280" t="s">
        <v>3261</v>
      </c>
      <c r="G61" s="248" t="s">
        <v>3253</v>
      </c>
      <c r="H61" s="249" t="s">
        <v>3254</v>
      </c>
      <c r="I61" s="249" t="s">
        <v>1728</v>
      </c>
      <c r="J61" s="249" t="s">
        <v>3255</v>
      </c>
      <c r="K61" s="248" t="s">
        <v>3256</v>
      </c>
      <c r="L61" s="280" t="s">
        <v>3261</v>
      </c>
    </row>
    <row r="62" spans="1:12" ht="3.6" customHeight="1">
      <c r="A62" s="251"/>
      <c r="B62" s="142"/>
      <c r="C62" s="142"/>
      <c r="D62" s="142"/>
      <c r="E62" s="142"/>
      <c r="F62" s="97"/>
      <c r="G62" s="251"/>
      <c r="H62" s="142"/>
      <c r="I62" s="142"/>
      <c r="J62" s="142"/>
      <c r="K62" s="142"/>
      <c r="L62" s="97"/>
    </row>
    <row r="63" spans="1:12">
      <c r="A63" s="252" t="s">
        <v>3257</v>
      </c>
      <c r="B63" s="253"/>
      <c r="C63" s="253"/>
      <c r="D63" s="253"/>
      <c r="E63" s="254">
        <f>IF($C$5&gt;1500000,$D$5,$C$5)</f>
        <v>0</v>
      </c>
      <c r="F63" s="97"/>
      <c r="G63" s="252" t="s">
        <v>3257</v>
      </c>
      <c r="H63" s="253"/>
      <c r="I63" s="253"/>
      <c r="J63" s="253"/>
      <c r="K63" s="254">
        <f>IF($C$5&gt;1500000,$E$5,0)</f>
        <v>0</v>
      </c>
      <c r="L63" s="97"/>
    </row>
    <row r="64" spans="1:12">
      <c r="A64" s="255">
        <v>1</v>
      </c>
      <c r="B64" s="256">
        <f t="shared" ref="B64:B127" si="1">IF(A64&gt;12*$C$9,0,IF($C$5&gt;1500000,$D$12,$C$12))</f>
        <v>0</v>
      </c>
      <c r="C64" s="256">
        <f t="shared" ref="C64:C127" si="2">IF(A64&gt;12*$C$9,0,E63*$C$7/12)</f>
        <v>0</v>
      </c>
      <c r="D64" s="256">
        <f t="shared" ref="D64:D127" si="3">IF(A64&gt;12*$C$9,0,B64-C64)</f>
        <v>0</v>
      </c>
      <c r="E64" s="256">
        <f t="shared" ref="E64:E127" si="4">IF(A64&gt;12*$C$9,0,E63-D64)</f>
        <v>0</v>
      </c>
      <c r="F64" s="255"/>
      <c r="G64" s="255">
        <v>1</v>
      </c>
      <c r="H64" s="256">
        <f t="shared" ref="H64:H127" si="5">IF(G64&gt;12*$C$9,0,IF($C$5&gt;1500000,$E$12,0))</f>
        <v>0</v>
      </c>
      <c r="I64" s="256">
        <f t="shared" ref="I64:I127" si="6">IF(G64&gt;12*$C$9,0,K63*$C$7/12)</f>
        <v>0</v>
      </c>
      <c r="J64" s="256">
        <f t="shared" ref="J64:J127" si="7">IF(G64&gt;12*$C$9,0,H64-I64)</f>
        <v>0</v>
      </c>
      <c r="K64" s="256">
        <f t="shared" ref="K64:K127" si="8">IF(G64&gt;12*$C$9,0,K63-J64)</f>
        <v>0</v>
      </c>
      <c r="L64" s="255"/>
    </row>
    <row r="65" spans="1:12">
      <c r="A65" s="255">
        <v>2</v>
      </c>
      <c r="B65" s="256">
        <f t="shared" si="1"/>
        <v>0</v>
      </c>
      <c r="C65" s="256">
        <f t="shared" si="2"/>
        <v>0</v>
      </c>
      <c r="D65" s="256">
        <f t="shared" si="3"/>
        <v>0</v>
      </c>
      <c r="E65" s="256">
        <f t="shared" si="4"/>
        <v>0</v>
      </c>
      <c r="F65" s="255"/>
      <c r="G65" s="255">
        <v>2</v>
      </c>
      <c r="H65" s="256">
        <f t="shared" si="5"/>
        <v>0</v>
      </c>
      <c r="I65" s="256">
        <f t="shared" si="6"/>
        <v>0</v>
      </c>
      <c r="J65" s="256">
        <f t="shared" si="7"/>
        <v>0</v>
      </c>
      <c r="K65" s="256">
        <f t="shared" si="8"/>
        <v>0</v>
      </c>
      <c r="L65" s="255"/>
    </row>
    <row r="66" spans="1:12">
      <c r="A66" s="255">
        <v>3</v>
      </c>
      <c r="B66" s="256">
        <f t="shared" si="1"/>
        <v>0</v>
      </c>
      <c r="C66" s="256">
        <f t="shared" si="2"/>
        <v>0</v>
      </c>
      <c r="D66" s="256">
        <f t="shared" si="3"/>
        <v>0</v>
      </c>
      <c r="E66" s="256">
        <f t="shared" si="4"/>
        <v>0</v>
      </c>
      <c r="F66" s="255"/>
      <c r="G66" s="255">
        <v>3</v>
      </c>
      <c r="H66" s="256">
        <f t="shared" si="5"/>
        <v>0</v>
      </c>
      <c r="I66" s="256">
        <f t="shared" si="6"/>
        <v>0</v>
      </c>
      <c r="J66" s="256">
        <f t="shared" si="7"/>
        <v>0</v>
      </c>
      <c r="K66" s="256">
        <f t="shared" si="8"/>
        <v>0</v>
      </c>
      <c r="L66" s="255"/>
    </row>
    <row r="67" spans="1:12">
      <c r="A67" s="255">
        <v>4</v>
      </c>
      <c r="B67" s="256">
        <f t="shared" si="1"/>
        <v>0</v>
      </c>
      <c r="C67" s="256">
        <f t="shared" si="2"/>
        <v>0</v>
      </c>
      <c r="D67" s="256">
        <f t="shared" si="3"/>
        <v>0</v>
      </c>
      <c r="E67" s="256">
        <f t="shared" si="4"/>
        <v>0</v>
      </c>
      <c r="F67" s="255"/>
      <c r="G67" s="255">
        <v>4</v>
      </c>
      <c r="H67" s="256">
        <f t="shared" si="5"/>
        <v>0</v>
      </c>
      <c r="I67" s="256">
        <f t="shared" si="6"/>
        <v>0</v>
      </c>
      <c r="J67" s="256">
        <f t="shared" si="7"/>
        <v>0</v>
      </c>
      <c r="K67" s="256">
        <f t="shared" si="8"/>
        <v>0</v>
      </c>
      <c r="L67" s="255"/>
    </row>
    <row r="68" spans="1:12">
      <c r="A68" s="255">
        <v>5</v>
      </c>
      <c r="B68" s="256">
        <f t="shared" si="1"/>
        <v>0</v>
      </c>
      <c r="C68" s="256">
        <f t="shared" si="2"/>
        <v>0</v>
      </c>
      <c r="D68" s="256">
        <f t="shared" si="3"/>
        <v>0</v>
      </c>
      <c r="E68" s="256">
        <f t="shared" si="4"/>
        <v>0</v>
      </c>
      <c r="F68" s="255"/>
      <c r="G68" s="255">
        <v>5</v>
      </c>
      <c r="H68" s="256">
        <f t="shared" si="5"/>
        <v>0</v>
      </c>
      <c r="I68" s="256">
        <f t="shared" si="6"/>
        <v>0</v>
      </c>
      <c r="J68" s="256">
        <f t="shared" si="7"/>
        <v>0</v>
      </c>
      <c r="K68" s="256">
        <f t="shared" si="8"/>
        <v>0</v>
      </c>
      <c r="L68" s="255"/>
    </row>
    <row r="69" spans="1:12">
      <c r="A69" s="255">
        <v>6</v>
      </c>
      <c r="B69" s="256">
        <f t="shared" si="1"/>
        <v>0</v>
      </c>
      <c r="C69" s="256">
        <f t="shared" si="2"/>
        <v>0</v>
      </c>
      <c r="D69" s="256">
        <f t="shared" si="3"/>
        <v>0</v>
      </c>
      <c r="E69" s="256">
        <f t="shared" si="4"/>
        <v>0</v>
      </c>
      <c r="F69" s="255"/>
      <c r="G69" s="255">
        <v>6</v>
      </c>
      <c r="H69" s="256">
        <f t="shared" si="5"/>
        <v>0</v>
      </c>
      <c r="I69" s="256">
        <f t="shared" si="6"/>
        <v>0</v>
      </c>
      <c r="J69" s="256">
        <f t="shared" si="7"/>
        <v>0</v>
      </c>
      <c r="K69" s="256">
        <f t="shared" si="8"/>
        <v>0</v>
      </c>
      <c r="L69" s="255"/>
    </row>
    <row r="70" spans="1:12">
      <c r="A70" s="255">
        <v>7</v>
      </c>
      <c r="B70" s="256">
        <f t="shared" si="1"/>
        <v>0</v>
      </c>
      <c r="C70" s="256">
        <f t="shared" si="2"/>
        <v>0</v>
      </c>
      <c r="D70" s="256">
        <f t="shared" si="3"/>
        <v>0</v>
      </c>
      <c r="E70" s="256">
        <f t="shared" si="4"/>
        <v>0</v>
      </c>
      <c r="F70" s="255"/>
      <c r="G70" s="255">
        <v>7</v>
      </c>
      <c r="H70" s="256">
        <f t="shared" si="5"/>
        <v>0</v>
      </c>
      <c r="I70" s="256">
        <f t="shared" si="6"/>
        <v>0</v>
      </c>
      <c r="J70" s="256">
        <f t="shared" si="7"/>
        <v>0</v>
      </c>
      <c r="K70" s="256">
        <f t="shared" si="8"/>
        <v>0</v>
      </c>
      <c r="L70" s="255"/>
    </row>
    <row r="71" spans="1:12">
      <c r="A71" s="255">
        <v>8</v>
      </c>
      <c r="B71" s="256">
        <f t="shared" si="1"/>
        <v>0</v>
      </c>
      <c r="C71" s="256">
        <f t="shared" si="2"/>
        <v>0</v>
      </c>
      <c r="D71" s="256">
        <f t="shared" si="3"/>
        <v>0</v>
      </c>
      <c r="E71" s="256">
        <f t="shared" si="4"/>
        <v>0</v>
      </c>
      <c r="F71" s="255"/>
      <c r="G71" s="255">
        <v>8</v>
      </c>
      <c r="H71" s="256">
        <f t="shared" si="5"/>
        <v>0</v>
      </c>
      <c r="I71" s="256">
        <f t="shared" si="6"/>
        <v>0</v>
      </c>
      <c r="J71" s="256">
        <f t="shared" si="7"/>
        <v>0</v>
      </c>
      <c r="K71" s="256">
        <f t="shared" si="8"/>
        <v>0</v>
      </c>
      <c r="L71" s="255"/>
    </row>
    <row r="72" spans="1:12">
      <c r="A72" s="255">
        <v>9</v>
      </c>
      <c r="B72" s="256">
        <f t="shared" si="1"/>
        <v>0</v>
      </c>
      <c r="C72" s="256">
        <f t="shared" si="2"/>
        <v>0</v>
      </c>
      <c r="D72" s="256">
        <f t="shared" si="3"/>
        <v>0</v>
      </c>
      <c r="E72" s="256">
        <f t="shared" si="4"/>
        <v>0</v>
      </c>
      <c r="F72" s="255"/>
      <c r="G72" s="255">
        <v>9</v>
      </c>
      <c r="H72" s="256">
        <f t="shared" si="5"/>
        <v>0</v>
      </c>
      <c r="I72" s="256">
        <f t="shared" si="6"/>
        <v>0</v>
      </c>
      <c r="J72" s="256">
        <f t="shared" si="7"/>
        <v>0</v>
      </c>
      <c r="K72" s="256">
        <f t="shared" si="8"/>
        <v>0</v>
      </c>
      <c r="L72" s="255"/>
    </row>
    <row r="73" spans="1:12">
      <c r="A73" s="255">
        <v>10</v>
      </c>
      <c r="B73" s="256">
        <f t="shared" si="1"/>
        <v>0</v>
      </c>
      <c r="C73" s="256">
        <f t="shared" si="2"/>
        <v>0</v>
      </c>
      <c r="D73" s="256">
        <f t="shared" si="3"/>
        <v>0</v>
      </c>
      <c r="E73" s="256">
        <f t="shared" si="4"/>
        <v>0</v>
      </c>
      <c r="F73" s="255"/>
      <c r="G73" s="255">
        <v>10</v>
      </c>
      <c r="H73" s="256">
        <f t="shared" si="5"/>
        <v>0</v>
      </c>
      <c r="I73" s="256">
        <f t="shared" si="6"/>
        <v>0</v>
      </c>
      <c r="J73" s="256">
        <f t="shared" si="7"/>
        <v>0</v>
      </c>
      <c r="K73" s="256">
        <f t="shared" si="8"/>
        <v>0</v>
      </c>
      <c r="L73" s="255"/>
    </row>
    <row r="74" spans="1:12">
      <c r="A74" s="255">
        <v>11</v>
      </c>
      <c r="B74" s="256">
        <f t="shared" si="1"/>
        <v>0</v>
      </c>
      <c r="C74" s="256">
        <f t="shared" si="2"/>
        <v>0</v>
      </c>
      <c r="D74" s="256">
        <f t="shared" si="3"/>
        <v>0</v>
      </c>
      <c r="E74" s="256">
        <f t="shared" si="4"/>
        <v>0</v>
      </c>
      <c r="F74" s="255"/>
      <c r="G74" s="255">
        <v>11</v>
      </c>
      <c r="H74" s="256">
        <f t="shared" si="5"/>
        <v>0</v>
      </c>
      <c r="I74" s="256">
        <f t="shared" si="6"/>
        <v>0</v>
      </c>
      <c r="J74" s="256">
        <f t="shared" si="7"/>
        <v>0</v>
      </c>
      <c r="K74" s="256">
        <f t="shared" si="8"/>
        <v>0</v>
      </c>
      <c r="L74" s="255"/>
    </row>
    <row r="75" spans="1:12">
      <c r="A75" s="255">
        <v>12</v>
      </c>
      <c r="B75" s="256">
        <f t="shared" si="1"/>
        <v>0</v>
      </c>
      <c r="C75" s="256">
        <f t="shared" si="2"/>
        <v>0</v>
      </c>
      <c r="D75" s="256">
        <f t="shared" si="3"/>
        <v>0</v>
      </c>
      <c r="E75" s="256">
        <f t="shared" si="4"/>
        <v>0</v>
      </c>
      <c r="F75" s="255">
        <v>1</v>
      </c>
      <c r="G75" s="255">
        <v>12</v>
      </c>
      <c r="H75" s="256">
        <f t="shared" si="5"/>
        <v>0</v>
      </c>
      <c r="I75" s="256">
        <f t="shared" si="6"/>
        <v>0</v>
      </c>
      <c r="J75" s="256">
        <f t="shared" si="7"/>
        <v>0</v>
      </c>
      <c r="K75" s="256">
        <f t="shared" si="8"/>
        <v>0</v>
      </c>
      <c r="L75" s="255">
        <v>1</v>
      </c>
    </row>
    <row r="76" spans="1:12">
      <c r="A76" s="255">
        <v>13</v>
      </c>
      <c r="B76" s="256">
        <f t="shared" si="1"/>
        <v>0</v>
      </c>
      <c r="C76" s="256">
        <f t="shared" si="2"/>
        <v>0</v>
      </c>
      <c r="D76" s="256">
        <f t="shared" si="3"/>
        <v>0</v>
      </c>
      <c r="E76" s="256">
        <f t="shared" si="4"/>
        <v>0</v>
      </c>
      <c r="F76" s="255"/>
      <c r="G76" s="255">
        <v>13</v>
      </c>
      <c r="H76" s="256">
        <f t="shared" si="5"/>
        <v>0</v>
      </c>
      <c r="I76" s="256">
        <f t="shared" si="6"/>
        <v>0</v>
      </c>
      <c r="J76" s="256">
        <f t="shared" si="7"/>
        <v>0</v>
      </c>
      <c r="K76" s="256">
        <f t="shared" si="8"/>
        <v>0</v>
      </c>
      <c r="L76" s="255"/>
    </row>
    <row r="77" spans="1:12">
      <c r="A77" s="255">
        <v>14</v>
      </c>
      <c r="B77" s="256">
        <f t="shared" si="1"/>
        <v>0</v>
      </c>
      <c r="C77" s="256">
        <f t="shared" si="2"/>
        <v>0</v>
      </c>
      <c r="D77" s="256">
        <f t="shared" si="3"/>
        <v>0</v>
      </c>
      <c r="E77" s="256">
        <f t="shared" si="4"/>
        <v>0</v>
      </c>
      <c r="F77" s="255"/>
      <c r="G77" s="255">
        <v>14</v>
      </c>
      <c r="H77" s="256">
        <f t="shared" si="5"/>
        <v>0</v>
      </c>
      <c r="I77" s="256">
        <f t="shared" si="6"/>
        <v>0</v>
      </c>
      <c r="J77" s="256">
        <f t="shared" si="7"/>
        <v>0</v>
      </c>
      <c r="K77" s="256">
        <f t="shared" si="8"/>
        <v>0</v>
      </c>
      <c r="L77" s="255"/>
    </row>
    <row r="78" spans="1:12">
      <c r="A78" s="255">
        <v>15</v>
      </c>
      <c r="B78" s="256">
        <f t="shared" si="1"/>
        <v>0</v>
      </c>
      <c r="C78" s="256">
        <f t="shared" si="2"/>
        <v>0</v>
      </c>
      <c r="D78" s="256">
        <f t="shared" si="3"/>
        <v>0</v>
      </c>
      <c r="E78" s="256">
        <f t="shared" si="4"/>
        <v>0</v>
      </c>
      <c r="F78" s="255"/>
      <c r="G78" s="255">
        <v>15</v>
      </c>
      <c r="H78" s="256">
        <f t="shared" si="5"/>
        <v>0</v>
      </c>
      <c r="I78" s="256">
        <f t="shared" si="6"/>
        <v>0</v>
      </c>
      <c r="J78" s="256">
        <f t="shared" si="7"/>
        <v>0</v>
      </c>
      <c r="K78" s="256">
        <f t="shared" si="8"/>
        <v>0</v>
      </c>
      <c r="L78" s="255"/>
    </row>
    <row r="79" spans="1:12">
      <c r="A79" s="255">
        <v>16</v>
      </c>
      <c r="B79" s="256">
        <f t="shared" si="1"/>
        <v>0</v>
      </c>
      <c r="C79" s="256">
        <f t="shared" si="2"/>
        <v>0</v>
      </c>
      <c r="D79" s="256">
        <f t="shared" si="3"/>
        <v>0</v>
      </c>
      <c r="E79" s="256">
        <f t="shared" si="4"/>
        <v>0</v>
      </c>
      <c r="F79" s="255"/>
      <c r="G79" s="255">
        <v>16</v>
      </c>
      <c r="H79" s="256">
        <f t="shared" si="5"/>
        <v>0</v>
      </c>
      <c r="I79" s="256">
        <f t="shared" si="6"/>
        <v>0</v>
      </c>
      <c r="J79" s="256">
        <f t="shared" si="7"/>
        <v>0</v>
      </c>
      <c r="K79" s="256">
        <f t="shared" si="8"/>
        <v>0</v>
      </c>
      <c r="L79" s="255"/>
    </row>
    <row r="80" spans="1:12">
      <c r="A80" s="255">
        <v>17</v>
      </c>
      <c r="B80" s="256">
        <f t="shared" si="1"/>
        <v>0</v>
      </c>
      <c r="C80" s="256">
        <f t="shared" si="2"/>
        <v>0</v>
      </c>
      <c r="D80" s="256">
        <f t="shared" si="3"/>
        <v>0</v>
      </c>
      <c r="E80" s="256">
        <f t="shared" si="4"/>
        <v>0</v>
      </c>
      <c r="F80" s="255"/>
      <c r="G80" s="255">
        <v>17</v>
      </c>
      <c r="H80" s="256">
        <f t="shared" si="5"/>
        <v>0</v>
      </c>
      <c r="I80" s="256">
        <f t="shared" si="6"/>
        <v>0</v>
      </c>
      <c r="J80" s="256">
        <f t="shared" si="7"/>
        <v>0</v>
      </c>
      <c r="K80" s="256">
        <f t="shared" si="8"/>
        <v>0</v>
      </c>
      <c r="L80" s="255"/>
    </row>
    <row r="81" spans="1:12">
      <c r="A81" s="255">
        <v>18</v>
      </c>
      <c r="B81" s="256">
        <f t="shared" si="1"/>
        <v>0</v>
      </c>
      <c r="C81" s="256">
        <f t="shared" si="2"/>
        <v>0</v>
      </c>
      <c r="D81" s="256">
        <f t="shared" si="3"/>
        <v>0</v>
      </c>
      <c r="E81" s="256">
        <f t="shared" si="4"/>
        <v>0</v>
      </c>
      <c r="F81" s="255"/>
      <c r="G81" s="255">
        <v>18</v>
      </c>
      <c r="H81" s="256">
        <f t="shared" si="5"/>
        <v>0</v>
      </c>
      <c r="I81" s="256">
        <f t="shared" si="6"/>
        <v>0</v>
      </c>
      <c r="J81" s="256">
        <f t="shared" si="7"/>
        <v>0</v>
      </c>
      <c r="K81" s="256">
        <f t="shared" si="8"/>
        <v>0</v>
      </c>
      <c r="L81" s="255"/>
    </row>
    <row r="82" spans="1:12">
      <c r="A82" s="255">
        <v>19</v>
      </c>
      <c r="B82" s="256">
        <f t="shared" si="1"/>
        <v>0</v>
      </c>
      <c r="C82" s="256">
        <f t="shared" si="2"/>
        <v>0</v>
      </c>
      <c r="D82" s="256">
        <f t="shared" si="3"/>
        <v>0</v>
      </c>
      <c r="E82" s="256">
        <f t="shared" si="4"/>
        <v>0</v>
      </c>
      <c r="F82" s="255"/>
      <c r="G82" s="255">
        <v>19</v>
      </c>
      <c r="H82" s="256">
        <f t="shared" si="5"/>
        <v>0</v>
      </c>
      <c r="I82" s="256">
        <f t="shared" si="6"/>
        <v>0</v>
      </c>
      <c r="J82" s="256">
        <f t="shared" si="7"/>
        <v>0</v>
      </c>
      <c r="K82" s="256">
        <f t="shared" si="8"/>
        <v>0</v>
      </c>
      <c r="L82" s="255"/>
    </row>
    <row r="83" spans="1:12">
      <c r="A83" s="255">
        <v>20</v>
      </c>
      <c r="B83" s="256">
        <f t="shared" si="1"/>
        <v>0</v>
      </c>
      <c r="C83" s="256">
        <f t="shared" si="2"/>
        <v>0</v>
      </c>
      <c r="D83" s="256">
        <f t="shared" si="3"/>
        <v>0</v>
      </c>
      <c r="E83" s="256">
        <f t="shared" si="4"/>
        <v>0</v>
      </c>
      <c r="F83" s="255"/>
      <c r="G83" s="255">
        <v>20</v>
      </c>
      <c r="H83" s="256">
        <f t="shared" si="5"/>
        <v>0</v>
      </c>
      <c r="I83" s="256">
        <f t="shared" si="6"/>
        <v>0</v>
      </c>
      <c r="J83" s="256">
        <f t="shared" si="7"/>
        <v>0</v>
      </c>
      <c r="K83" s="256">
        <f t="shared" si="8"/>
        <v>0</v>
      </c>
      <c r="L83" s="255"/>
    </row>
    <row r="84" spans="1:12">
      <c r="A84" s="255">
        <v>21</v>
      </c>
      <c r="B84" s="256">
        <f t="shared" si="1"/>
        <v>0</v>
      </c>
      <c r="C84" s="256">
        <f t="shared" si="2"/>
        <v>0</v>
      </c>
      <c r="D84" s="256">
        <f t="shared" si="3"/>
        <v>0</v>
      </c>
      <c r="E84" s="256">
        <f t="shared" si="4"/>
        <v>0</v>
      </c>
      <c r="F84" s="255"/>
      <c r="G84" s="255">
        <v>21</v>
      </c>
      <c r="H84" s="256">
        <f t="shared" si="5"/>
        <v>0</v>
      </c>
      <c r="I84" s="256">
        <f t="shared" si="6"/>
        <v>0</v>
      </c>
      <c r="J84" s="256">
        <f t="shared" si="7"/>
        <v>0</v>
      </c>
      <c r="K84" s="256">
        <f t="shared" si="8"/>
        <v>0</v>
      </c>
      <c r="L84" s="255"/>
    </row>
    <row r="85" spans="1:12">
      <c r="A85" s="255">
        <v>22</v>
      </c>
      <c r="B85" s="256">
        <f t="shared" si="1"/>
        <v>0</v>
      </c>
      <c r="C85" s="256">
        <f t="shared" si="2"/>
        <v>0</v>
      </c>
      <c r="D85" s="256">
        <f t="shared" si="3"/>
        <v>0</v>
      </c>
      <c r="E85" s="256">
        <f t="shared" si="4"/>
        <v>0</v>
      </c>
      <c r="F85" s="255"/>
      <c r="G85" s="255">
        <v>22</v>
      </c>
      <c r="H85" s="256">
        <f t="shared" si="5"/>
        <v>0</v>
      </c>
      <c r="I85" s="256">
        <f t="shared" si="6"/>
        <v>0</v>
      </c>
      <c r="J85" s="256">
        <f t="shared" si="7"/>
        <v>0</v>
      </c>
      <c r="K85" s="256">
        <f t="shared" si="8"/>
        <v>0</v>
      </c>
      <c r="L85" s="255"/>
    </row>
    <row r="86" spans="1:12">
      <c r="A86" s="255">
        <v>23</v>
      </c>
      <c r="B86" s="256">
        <f t="shared" si="1"/>
        <v>0</v>
      </c>
      <c r="C86" s="256">
        <f t="shared" si="2"/>
        <v>0</v>
      </c>
      <c r="D86" s="256">
        <f t="shared" si="3"/>
        <v>0</v>
      </c>
      <c r="E86" s="256">
        <f t="shared" si="4"/>
        <v>0</v>
      </c>
      <c r="F86" s="255"/>
      <c r="G86" s="255">
        <v>23</v>
      </c>
      <c r="H86" s="256">
        <f t="shared" si="5"/>
        <v>0</v>
      </c>
      <c r="I86" s="256">
        <f t="shared" si="6"/>
        <v>0</v>
      </c>
      <c r="J86" s="256">
        <f t="shared" si="7"/>
        <v>0</v>
      </c>
      <c r="K86" s="256">
        <f t="shared" si="8"/>
        <v>0</v>
      </c>
      <c r="L86" s="255"/>
    </row>
    <row r="87" spans="1:12">
      <c r="A87" s="255">
        <v>24</v>
      </c>
      <c r="B87" s="256">
        <f t="shared" si="1"/>
        <v>0</v>
      </c>
      <c r="C87" s="256">
        <f t="shared" si="2"/>
        <v>0</v>
      </c>
      <c r="D87" s="256">
        <f t="shared" si="3"/>
        <v>0</v>
      </c>
      <c r="E87" s="256">
        <f t="shared" si="4"/>
        <v>0</v>
      </c>
      <c r="F87" s="255">
        <v>2</v>
      </c>
      <c r="G87" s="255">
        <v>24</v>
      </c>
      <c r="H87" s="256">
        <f t="shared" si="5"/>
        <v>0</v>
      </c>
      <c r="I87" s="256">
        <f t="shared" si="6"/>
        <v>0</v>
      </c>
      <c r="J87" s="256">
        <f t="shared" si="7"/>
        <v>0</v>
      </c>
      <c r="K87" s="256">
        <f t="shared" si="8"/>
        <v>0</v>
      </c>
      <c r="L87" s="255">
        <v>2</v>
      </c>
    </row>
    <row r="88" spans="1:12">
      <c r="A88" s="255">
        <v>25</v>
      </c>
      <c r="B88" s="256">
        <f t="shared" si="1"/>
        <v>0</v>
      </c>
      <c r="C88" s="256">
        <f t="shared" si="2"/>
        <v>0</v>
      </c>
      <c r="D88" s="256">
        <f t="shared" si="3"/>
        <v>0</v>
      </c>
      <c r="E88" s="256">
        <f t="shared" si="4"/>
        <v>0</v>
      </c>
      <c r="F88" s="255"/>
      <c r="G88" s="255">
        <v>25</v>
      </c>
      <c r="H88" s="256">
        <f t="shared" si="5"/>
        <v>0</v>
      </c>
      <c r="I88" s="256">
        <f t="shared" si="6"/>
        <v>0</v>
      </c>
      <c r="J88" s="256">
        <f t="shared" si="7"/>
        <v>0</v>
      </c>
      <c r="K88" s="256">
        <f t="shared" si="8"/>
        <v>0</v>
      </c>
      <c r="L88" s="255"/>
    </row>
    <row r="89" spans="1:12">
      <c r="A89" s="255">
        <v>26</v>
      </c>
      <c r="B89" s="256">
        <f t="shared" si="1"/>
        <v>0</v>
      </c>
      <c r="C89" s="256">
        <f t="shared" si="2"/>
        <v>0</v>
      </c>
      <c r="D89" s="256">
        <f t="shared" si="3"/>
        <v>0</v>
      </c>
      <c r="E89" s="256">
        <f t="shared" si="4"/>
        <v>0</v>
      </c>
      <c r="F89" s="255"/>
      <c r="G89" s="255">
        <v>26</v>
      </c>
      <c r="H89" s="256">
        <f t="shared" si="5"/>
        <v>0</v>
      </c>
      <c r="I89" s="256">
        <f t="shared" si="6"/>
        <v>0</v>
      </c>
      <c r="J89" s="256">
        <f t="shared" si="7"/>
        <v>0</v>
      </c>
      <c r="K89" s="256">
        <f t="shared" si="8"/>
        <v>0</v>
      </c>
      <c r="L89" s="255"/>
    </row>
    <row r="90" spans="1:12">
      <c r="A90" s="255">
        <v>27</v>
      </c>
      <c r="B90" s="256">
        <f t="shared" si="1"/>
        <v>0</v>
      </c>
      <c r="C90" s="256">
        <f t="shared" si="2"/>
        <v>0</v>
      </c>
      <c r="D90" s="256">
        <f t="shared" si="3"/>
        <v>0</v>
      </c>
      <c r="E90" s="256">
        <f t="shared" si="4"/>
        <v>0</v>
      </c>
      <c r="F90" s="255"/>
      <c r="G90" s="255">
        <v>27</v>
      </c>
      <c r="H90" s="256">
        <f t="shared" si="5"/>
        <v>0</v>
      </c>
      <c r="I90" s="256">
        <f t="shared" si="6"/>
        <v>0</v>
      </c>
      <c r="J90" s="256">
        <f t="shared" si="7"/>
        <v>0</v>
      </c>
      <c r="K90" s="256">
        <f t="shared" si="8"/>
        <v>0</v>
      </c>
      <c r="L90" s="255"/>
    </row>
    <row r="91" spans="1:12">
      <c r="A91" s="255">
        <v>28</v>
      </c>
      <c r="B91" s="256">
        <f t="shared" si="1"/>
        <v>0</v>
      </c>
      <c r="C91" s="256">
        <f t="shared" si="2"/>
        <v>0</v>
      </c>
      <c r="D91" s="256">
        <f t="shared" si="3"/>
        <v>0</v>
      </c>
      <c r="E91" s="256">
        <f t="shared" si="4"/>
        <v>0</v>
      </c>
      <c r="F91" s="255"/>
      <c r="G91" s="255">
        <v>28</v>
      </c>
      <c r="H91" s="256">
        <f t="shared" si="5"/>
        <v>0</v>
      </c>
      <c r="I91" s="256">
        <f t="shared" si="6"/>
        <v>0</v>
      </c>
      <c r="J91" s="256">
        <f t="shared" si="7"/>
        <v>0</v>
      </c>
      <c r="K91" s="256">
        <f t="shared" si="8"/>
        <v>0</v>
      </c>
      <c r="L91" s="255"/>
    </row>
    <row r="92" spans="1:12">
      <c r="A92" s="255">
        <v>29</v>
      </c>
      <c r="B92" s="256">
        <f t="shared" si="1"/>
        <v>0</v>
      </c>
      <c r="C92" s="256">
        <f t="shared" si="2"/>
        <v>0</v>
      </c>
      <c r="D92" s="256">
        <f t="shared" si="3"/>
        <v>0</v>
      </c>
      <c r="E92" s="256">
        <f t="shared" si="4"/>
        <v>0</v>
      </c>
      <c r="F92" s="255"/>
      <c r="G92" s="255">
        <v>29</v>
      </c>
      <c r="H92" s="256">
        <f t="shared" si="5"/>
        <v>0</v>
      </c>
      <c r="I92" s="256">
        <f t="shared" si="6"/>
        <v>0</v>
      </c>
      <c r="J92" s="256">
        <f t="shared" si="7"/>
        <v>0</v>
      </c>
      <c r="K92" s="256">
        <f t="shared" si="8"/>
        <v>0</v>
      </c>
      <c r="L92" s="255"/>
    </row>
    <row r="93" spans="1:12">
      <c r="A93" s="255">
        <v>30</v>
      </c>
      <c r="B93" s="256">
        <f t="shared" si="1"/>
        <v>0</v>
      </c>
      <c r="C93" s="256">
        <f t="shared" si="2"/>
        <v>0</v>
      </c>
      <c r="D93" s="256">
        <f t="shared" si="3"/>
        <v>0</v>
      </c>
      <c r="E93" s="256">
        <f t="shared" si="4"/>
        <v>0</v>
      </c>
      <c r="F93" s="255"/>
      <c r="G93" s="255">
        <v>30</v>
      </c>
      <c r="H93" s="256">
        <f t="shared" si="5"/>
        <v>0</v>
      </c>
      <c r="I93" s="256">
        <f t="shared" si="6"/>
        <v>0</v>
      </c>
      <c r="J93" s="256">
        <f t="shared" si="7"/>
        <v>0</v>
      </c>
      <c r="K93" s="256">
        <f t="shared" si="8"/>
        <v>0</v>
      </c>
      <c r="L93" s="255"/>
    </row>
    <row r="94" spans="1:12">
      <c r="A94" s="255">
        <v>31</v>
      </c>
      <c r="B94" s="256">
        <f t="shared" si="1"/>
        <v>0</v>
      </c>
      <c r="C94" s="256">
        <f t="shared" si="2"/>
        <v>0</v>
      </c>
      <c r="D94" s="256">
        <f t="shared" si="3"/>
        <v>0</v>
      </c>
      <c r="E94" s="256">
        <f t="shared" si="4"/>
        <v>0</v>
      </c>
      <c r="F94" s="255"/>
      <c r="G94" s="255">
        <v>31</v>
      </c>
      <c r="H94" s="256">
        <f t="shared" si="5"/>
        <v>0</v>
      </c>
      <c r="I94" s="256">
        <f t="shared" si="6"/>
        <v>0</v>
      </c>
      <c r="J94" s="256">
        <f t="shared" si="7"/>
        <v>0</v>
      </c>
      <c r="K94" s="256">
        <f t="shared" si="8"/>
        <v>0</v>
      </c>
      <c r="L94" s="255"/>
    </row>
    <row r="95" spans="1:12">
      <c r="A95" s="255">
        <v>32</v>
      </c>
      <c r="B95" s="256">
        <f t="shared" si="1"/>
        <v>0</v>
      </c>
      <c r="C95" s="256">
        <f t="shared" si="2"/>
        <v>0</v>
      </c>
      <c r="D95" s="256">
        <f t="shared" si="3"/>
        <v>0</v>
      </c>
      <c r="E95" s="256">
        <f t="shared" si="4"/>
        <v>0</v>
      </c>
      <c r="F95" s="255"/>
      <c r="G95" s="255">
        <v>32</v>
      </c>
      <c r="H95" s="256">
        <f t="shared" si="5"/>
        <v>0</v>
      </c>
      <c r="I95" s="256">
        <f t="shared" si="6"/>
        <v>0</v>
      </c>
      <c r="J95" s="256">
        <f t="shared" si="7"/>
        <v>0</v>
      </c>
      <c r="K95" s="256">
        <f t="shared" si="8"/>
        <v>0</v>
      </c>
      <c r="L95" s="255"/>
    </row>
    <row r="96" spans="1:12">
      <c r="A96" s="255">
        <v>33</v>
      </c>
      <c r="B96" s="256">
        <f t="shared" si="1"/>
        <v>0</v>
      </c>
      <c r="C96" s="256">
        <f t="shared" si="2"/>
        <v>0</v>
      </c>
      <c r="D96" s="256">
        <f t="shared" si="3"/>
        <v>0</v>
      </c>
      <c r="E96" s="256">
        <f t="shared" si="4"/>
        <v>0</v>
      </c>
      <c r="F96" s="255"/>
      <c r="G96" s="255">
        <v>33</v>
      </c>
      <c r="H96" s="256">
        <f t="shared" si="5"/>
        <v>0</v>
      </c>
      <c r="I96" s="256">
        <f t="shared" si="6"/>
        <v>0</v>
      </c>
      <c r="J96" s="256">
        <f t="shared" si="7"/>
        <v>0</v>
      </c>
      <c r="K96" s="256">
        <f t="shared" si="8"/>
        <v>0</v>
      </c>
      <c r="L96" s="255"/>
    </row>
    <row r="97" spans="1:12">
      <c r="A97" s="255">
        <v>34</v>
      </c>
      <c r="B97" s="256">
        <f t="shared" si="1"/>
        <v>0</v>
      </c>
      <c r="C97" s="256">
        <f t="shared" si="2"/>
        <v>0</v>
      </c>
      <c r="D97" s="256">
        <f t="shared" si="3"/>
        <v>0</v>
      </c>
      <c r="E97" s="256">
        <f t="shared" si="4"/>
        <v>0</v>
      </c>
      <c r="F97" s="255"/>
      <c r="G97" s="255">
        <v>34</v>
      </c>
      <c r="H97" s="256">
        <f t="shared" si="5"/>
        <v>0</v>
      </c>
      <c r="I97" s="256">
        <f t="shared" si="6"/>
        <v>0</v>
      </c>
      <c r="J97" s="256">
        <f t="shared" si="7"/>
        <v>0</v>
      </c>
      <c r="K97" s="256">
        <f t="shared" si="8"/>
        <v>0</v>
      </c>
      <c r="L97" s="255"/>
    </row>
    <row r="98" spans="1:12">
      <c r="A98" s="255">
        <v>35</v>
      </c>
      <c r="B98" s="256">
        <f t="shared" si="1"/>
        <v>0</v>
      </c>
      <c r="C98" s="256">
        <f t="shared" si="2"/>
        <v>0</v>
      </c>
      <c r="D98" s="256">
        <f t="shared" si="3"/>
        <v>0</v>
      </c>
      <c r="E98" s="256">
        <f t="shared" si="4"/>
        <v>0</v>
      </c>
      <c r="F98" s="255"/>
      <c r="G98" s="255">
        <v>35</v>
      </c>
      <c r="H98" s="256">
        <f t="shared" si="5"/>
        <v>0</v>
      </c>
      <c r="I98" s="256">
        <f t="shared" si="6"/>
        <v>0</v>
      </c>
      <c r="J98" s="256">
        <f t="shared" si="7"/>
        <v>0</v>
      </c>
      <c r="K98" s="256">
        <f t="shared" si="8"/>
        <v>0</v>
      </c>
      <c r="L98" s="255"/>
    </row>
    <row r="99" spans="1:12">
      <c r="A99" s="255">
        <v>36</v>
      </c>
      <c r="B99" s="256">
        <f t="shared" si="1"/>
        <v>0</v>
      </c>
      <c r="C99" s="256">
        <f t="shared" si="2"/>
        <v>0</v>
      </c>
      <c r="D99" s="256">
        <f t="shared" si="3"/>
        <v>0</v>
      </c>
      <c r="E99" s="256">
        <f t="shared" si="4"/>
        <v>0</v>
      </c>
      <c r="F99" s="255">
        <v>3</v>
      </c>
      <c r="G99" s="255">
        <v>36</v>
      </c>
      <c r="H99" s="256">
        <f t="shared" si="5"/>
        <v>0</v>
      </c>
      <c r="I99" s="256">
        <f t="shared" si="6"/>
        <v>0</v>
      </c>
      <c r="J99" s="256">
        <f t="shared" si="7"/>
        <v>0</v>
      </c>
      <c r="K99" s="256">
        <f t="shared" si="8"/>
        <v>0</v>
      </c>
      <c r="L99" s="255">
        <v>3</v>
      </c>
    </row>
    <row r="100" spans="1:12">
      <c r="A100" s="255">
        <v>37</v>
      </c>
      <c r="B100" s="256">
        <f t="shared" si="1"/>
        <v>0</v>
      </c>
      <c r="C100" s="256">
        <f t="shared" si="2"/>
        <v>0</v>
      </c>
      <c r="D100" s="256">
        <f t="shared" si="3"/>
        <v>0</v>
      </c>
      <c r="E100" s="256">
        <f t="shared" si="4"/>
        <v>0</v>
      </c>
      <c r="F100" s="255"/>
      <c r="G100" s="255">
        <v>37</v>
      </c>
      <c r="H100" s="256">
        <f t="shared" si="5"/>
        <v>0</v>
      </c>
      <c r="I100" s="256">
        <f t="shared" si="6"/>
        <v>0</v>
      </c>
      <c r="J100" s="256">
        <f t="shared" si="7"/>
        <v>0</v>
      </c>
      <c r="K100" s="256">
        <f t="shared" si="8"/>
        <v>0</v>
      </c>
      <c r="L100" s="255"/>
    </row>
    <row r="101" spans="1:12">
      <c r="A101" s="255">
        <v>38</v>
      </c>
      <c r="B101" s="256">
        <f t="shared" si="1"/>
        <v>0</v>
      </c>
      <c r="C101" s="256">
        <f t="shared" si="2"/>
        <v>0</v>
      </c>
      <c r="D101" s="256">
        <f t="shared" si="3"/>
        <v>0</v>
      </c>
      <c r="E101" s="256">
        <f t="shared" si="4"/>
        <v>0</v>
      </c>
      <c r="F101" s="255"/>
      <c r="G101" s="255">
        <v>38</v>
      </c>
      <c r="H101" s="256">
        <f t="shared" si="5"/>
        <v>0</v>
      </c>
      <c r="I101" s="256">
        <f t="shared" si="6"/>
        <v>0</v>
      </c>
      <c r="J101" s="256">
        <f t="shared" si="7"/>
        <v>0</v>
      </c>
      <c r="K101" s="256">
        <f t="shared" si="8"/>
        <v>0</v>
      </c>
      <c r="L101" s="255"/>
    </row>
    <row r="102" spans="1:12">
      <c r="A102" s="255">
        <v>39</v>
      </c>
      <c r="B102" s="256">
        <f t="shared" si="1"/>
        <v>0</v>
      </c>
      <c r="C102" s="256">
        <f t="shared" si="2"/>
        <v>0</v>
      </c>
      <c r="D102" s="256">
        <f t="shared" si="3"/>
        <v>0</v>
      </c>
      <c r="E102" s="256">
        <f t="shared" si="4"/>
        <v>0</v>
      </c>
      <c r="F102" s="255"/>
      <c r="G102" s="255">
        <v>39</v>
      </c>
      <c r="H102" s="256">
        <f t="shared" si="5"/>
        <v>0</v>
      </c>
      <c r="I102" s="256">
        <f t="shared" si="6"/>
        <v>0</v>
      </c>
      <c r="J102" s="256">
        <f t="shared" si="7"/>
        <v>0</v>
      </c>
      <c r="K102" s="256">
        <f t="shared" si="8"/>
        <v>0</v>
      </c>
      <c r="L102" s="255"/>
    </row>
    <row r="103" spans="1:12">
      <c r="A103" s="255">
        <v>40</v>
      </c>
      <c r="B103" s="256">
        <f t="shared" si="1"/>
        <v>0</v>
      </c>
      <c r="C103" s="256">
        <f t="shared" si="2"/>
        <v>0</v>
      </c>
      <c r="D103" s="256">
        <f t="shared" si="3"/>
        <v>0</v>
      </c>
      <c r="E103" s="256">
        <f t="shared" si="4"/>
        <v>0</v>
      </c>
      <c r="F103" s="255"/>
      <c r="G103" s="255">
        <v>40</v>
      </c>
      <c r="H103" s="256">
        <f t="shared" si="5"/>
        <v>0</v>
      </c>
      <c r="I103" s="256">
        <f t="shared" si="6"/>
        <v>0</v>
      </c>
      <c r="J103" s="256">
        <f t="shared" si="7"/>
        <v>0</v>
      </c>
      <c r="K103" s="256">
        <f t="shared" si="8"/>
        <v>0</v>
      </c>
      <c r="L103" s="255"/>
    </row>
    <row r="104" spans="1:12">
      <c r="A104" s="255">
        <v>41</v>
      </c>
      <c r="B104" s="256">
        <f t="shared" si="1"/>
        <v>0</v>
      </c>
      <c r="C104" s="256">
        <f t="shared" si="2"/>
        <v>0</v>
      </c>
      <c r="D104" s="256">
        <f t="shared" si="3"/>
        <v>0</v>
      </c>
      <c r="E104" s="256">
        <f t="shared" si="4"/>
        <v>0</v>
      </c>
      <c r="F104" s="255"/>
      <c r="G104" s="255">
        <v>41</v>
      </c>
      <c r="H104" s="256">
        <f t="shared" si="5"/>
        <v>0</v>
      </c>
      <c r="I104" s="256">
        <f t="shared" si="6"/>
        <v>0</v>
      </c>
      <c r="J104" s="256">
        <f t="shared" si="7"/>
        <v>0</v>
      </c>
      <c r="K104" s="256">
        <f t="shared" si="8"/>
        <v>0</v>
      </c>
      <c r="L104" s="255"/>
    </row>
    <row r="105" spans="1:12">
      <c r="A105" s="255">
        <v>42</v>
      </c>
      <c r="B105" s="256">
        <f t="shared" si="1"/>
        <v>0</v>
      </c>
      <c r="C105" s="256">
        <f t="shared" si="2"/>
        <v>0</v>
      </c>
      <c r="D105" s="256">
        <f t="shared" si="3"/>
        <v>0</v>
      </c>
      <c r="E105" s="256">
        <f t="shared" si="4"/>
        <v>0</v>
      </c>
      <c r="F105" s="255"/>
      <c r="G105" s="255">
        <v>42</v>
      </c>
      <c r="H105" s="256">
        <f t="shared" si="5"/>
        <v>0</v>
      </c>
      <c r="I105" s="256">
        <f t="shared" si="6"/>
        <v>0</v>
      </c>
      <c r="J105" s="256">
        <f t="shared" si="7"/>
        <v>0</v>
      </c>
      <c r="K105" s="256">
        <f t="shared" si="8"/>
        <v>0</v>
      </c>
      <c r="L105" s="255"/>
    </row>
    <row r="106" spans="1:12">
      <c r="A106" s="255">
        <v>43</v>
      </c>
      <c r="B106" s="256">
        <f t="shared" si="1"/>
        <v>0</v>
      </c>
      <c r="C106" s="256">
        <f t="shared" si="2"/>
        <v>0</v>
      </c>
      <c r="D106" s="256">
        <f t="shared" si="3"/>
        <v>0</v>
      </c>
      <c r="E106" s="256">
        <f t="shared" si="4"/>
        <v>0</v>
      </c>
      <c r="F106" s="255"/>
      <c r="G106" s="255">
        <v>43</v>
      </c>
      <c r="H106" s="256">
        <f t="shared" si="5"/>
        <v>0</v>
      </c>
      <c r="I106" s="256">
        <f t="shared" si="6"/>
        <v>0</v>
      </c>
      <c r="J106" s="256">
        <f t="shared" si="7"/>
        <v>0</v>
      </c>
      <c r="K106" s="256">
        <f t="shared" si="8"/>
        <v>0</v>
      </c>
      <c r="L106" s="255"/>
    </row>
    <row r="107" spans="1:12">
      <c r="A107" s="255">
        <v>44</v>
      </c>
      <c r="B107" s="256">
        <f t="shared" si="1"/>
        <v>0</v>
      </c>
      <c r="C107" s="256">
        <f t="shared" si="2"/>
        <v>0</v>
      </c>
      <c r="D107" s="256">
        <f t="shared" si="3"/>
        <v>0</v>
      </c>
      <c r="E107" s="256">
        <f t="shared" si="4"/>
        <v>0</v>
      </c>
      <c r="F107" s="255"/>
      <c r="G107" s="255">
        <v>44</v>
      </c>
      <c r="H107" s="256">
        <f t="shared" si="5"/>
        <v>0</v>
      </c>
      <c r="I107" s="256">
        <f t="shared" si="6"/>
        <v>0</v>
      </c>
      <c r="J107" s="256">
        <f t="shared" si="7"/>
        <v>0</v>
      </c>
      <c r="K107" s="256">
        <f t="shared" si="8"/>
        <v>0</v>
      </c>
      <c r="L107" s="255"/>
    </row>
    <row r="108" spans="1:12">
      <c r="A108" s="255">
        <v>45</v>
      </c>
      <c r="B108" s="256">
        <f t="shared" si="1"/>
        <v>0</v>
      </c>
      <c r="C108" s="256">
        <f t="shared" si="2"/>
        <v>0</v>
      </c>
      <c r="D108" s="256">
        <f t="shared" si="3"/>
        <v>0</v>
      </c>
      <c r="E108" s="256">
        <f t="shared" si="4"/>
        <v>0</v>
      </c>
      <c r="F108" s="255"/>
      <c r="G108" s="255">
        <v>45</v>
      </c>
      <c r="H108" s="256">
        <f t="shared" si="5"/>
        <v>0</v>
      </c>
      <c r="I108" s="256">
        <f t="shared" si="6"/>
        <v>0</v>
      </c>
      <c r="J108" s="256">
        <f t="shared" si="7"/>
        <v>0</v>
      </c>
      <c r="K108" s="256">
        <f t="shared" si="8"/>
        <v>0</v>
      </c>
      <c r="L108" s="255"/>
    </row>
    <row r="109" spans="1:12">
      <c r="A109" s="255">
        <v>46</v>
      </c>
      <c r="B109" s="256">
        <f t="shared" si="1"/>
        <v>0</v>
      </c>
      <c r="C109" s="256">
        <f t="shared" si="2"/>
        <v>0</v>
      </c>
      <c r="D109" s="256">
        <f t="shared" si="3"/>
        <v>0</v>
      </c>
      <c r="E109" s="256">
        <f t="shared" si="4"/>
        <v>0</v>
      </c>
      <c r="F109" s="255"/>
      <c r="G109" s="255">
        <v>46</v>
      </c>
      <c r="H109" s="256">
        <f t="shared" si="5"/>
        <v>0</v>
      </c>
      <c r="I109" s="256">
        <f t="shared" si="6"/>
        <v>0</v>
      </c>
      <c r="J109" s="256">
        <f t="shared" si="7"/>
        <v>0</v>
      </c>
      <c r="K109" s="256">
        <f t="shared" si="8"/>
        <v>0</v>
      </c>
      <c r="L109" s="255"/>
    </row>
    <row r="110" spans="1:12">
      <c r="A110" s="255">
        <v>47</v>
      </c>
      <c r="B110" s="256">
        <f t="shared" si="1"/>
        <v>0</v>
      </c>
      <c r="C110" s="256">
        <f t="shared" si="2"/>
        <v>0</v>
      </c>
      <c r="D110" s="256">
        <f t="shared" si="3"/>
        <v>0</v>
      </c>
      <c r="E110" s="256">
        <f t="shared" si="4"/>
        <v>0</v>
      </c>
      <c r="F110" s="255"/>
      <c r="G110" s="255">
        <v>47</v>
      </c>
      <c r="H110" s="256">
        <f t="shared" si="5"/>
        <v>0</v>
      </c>
      <c r="I110" s="256">
        <f t="shared" si="6"/>
        <v>0</v>
      </c>
      <c r="J110" s="256">
        <f t="shared" si="7"/>
        <v>0</v>
      </c>
      <c r="K110" s="256">
        <f t="shared" si="8"/>
        <v>0</v>
      </c>
      <c r="L110" s="255"/>
    </row>
    <row r="111" spans="1:12">
      <c r="A111" s="255">
        <v>48</v>
      </c>
      <c r="B111" s="256">
        <f t="shared" si="1"/>
        <v>0</v>
      </c>
      <c r="C111" s="256">
        <f t="shared" si="2"/>
        <v>0</v>
      </c>
      <c r="D111" s="256">
        <f t="shared" si="3"/>
        <v>0</v>
      </c>
      <c r="E111" s="256">
        <f t="shared" si="4"/>
        <v>0</v>
      </c>
      <c r="F111" s="255">
        <v>4</v>
      </c>
      <c r="G111" s="255">
        <v>48</v>
      </c>
      <c r="H111" s="256">
        <f t="shared" si="5"/>
        <v>0</v>
      </c>
      <c r="I111" s="256">
        <f t="shared" si="6"/>
        <v>0</v>
      </c>
      <c r="J111" s="256">
        <f t="shared" si="7"/>
        <v>0</v>
      </c>
      <c r="K111" s="256">
        <f t="shared" si="8"/>
        <v>0</v>
      </c>
      <c r="L111" s="255">
        <v>4</v>
      </c>
    </row>
    <row r="112" spans="1:12">
      <c r="A112" s="255">
        <v>49</v>
      </c>
      <c r="B112" s="256">
        <f t="shared" si="1"/>
        <v>0</v>
      </c>
      <c r="C112" s="256">
        <f t="shared" si="2"/>
        <v>0</v>
      </c>
      <c r="D112" s="256">
        <f t="shared" si="3"/>
        <v>0</v>
      </c>
      <c r="E112" s="256">
        <f t="shared" si="4"/>
        <v>0</v>
      </c>
      <c r="F112" s="255"/>
      <c r="G112" s="255">
        <v>49</v>
      </c>
      <c r="H112" s="256">
        <f t="shared" si="5"/>
        <v>0</v>
      </c>
      <c r="I112" s="256">
        <f t="shared" si="6"/>
        <v>0</v>
      </c>
      <c r="J112" s="256">
        <f t="shared" si="7"/>
        <v>0</v>
      </c>
      <c r="K112" s="256">
        <f t="shared" si="8"/>
        <v>0</v>
      </c>
      <c r="L112" s="255"/>
    </row>
    <row r="113" spans="1:12">
      <c r="A113" s="255">
        <v>50</v>
      </c>
      <c r="B113" s="256">
        <f t="shared" si="1"/>
        <v>0</v>
      </c>
      <c r="C113" s="256">
        <f t="shared" si="2"/>
        <v>0</v>
      </c>
      <c r="D113" s="256">
        <f t="shared" si="3"/>
        <v>0</v>
      </c>
      <c r="E113" s="256">
        <f t="shared" si="4"/>
        <v>0</v>
      </c>
      <c r="F113" s="255"/>
      <c r="G113" s="255">
        <v>50</v>
      </c>
      <c r="H113" s="256">
        <f t="shared" si="5"/>
        <v>0</v>
      </c>
      <c r="I113" s="256">
        <f t="shared" si="6"/>
        <v>0</v>
      </c>
      <c r="J113" s="256">
        <f t="shared" si="7"/>
        <v>0</v>
      </c>
      <c r="K113" s="256">
        <f t="shared" si="8"/>
        <v>0</v>
      </c>
      <c r="L113" s="255"/>
    </row>
    <row r="114" spans="1:12">
      <c r="A114" s="255">
        <v>51</v>
      </c>
      <c r="B114" s="256">
        <f t="shared" si="1"/>
        <v>0</v>
      </c>
      <c r="C114" s="256">
        <f t="shared" si="2"/>
        <v>0</v>
      </c>
      <c r="D114" s="256">
        <f t="shared" si="3"/>
        <v>0</v>
      </c>
      <c r="E114" s="256">
        <f t="shared" si="4"/>
        <v>0</v>
      </c>
      <c r="F114" s="255"/>
      <c r="G114" s="255">
        <v>51</v>
      </c>
      <c r="H114" s="256">
        <f t="shared" si="5"/>
        <v>0</v>
      </c>
      <c r="I114" s="256">
        <f t="shared" si="6"/>
        <v>0</v>
      </c>
      <c r="J114" s="256">
        <f t="shared" si="7"/>
        <v>0</v>
      </c>
      <c r="K114" s="256">
        <f t="shared" si="8"/>
        <v>0</v>
      </c>
      <c r="L114" s="255"/>
    </row>
    <row r="115" spans="1:12">
      <c r="A115" s="255">
        <v>52</v>
      </c>
      <c r="B115" s="256">
        <f t="shared" si="1"/>
        <v>0</v>
      </c>
      <c r="C115" s="256">
        <f t="shared" si="2"/>
        <v>0</v>
      </c>
      <c r="D115" s="256">
        <f t="shared" si="3"/>
        <v>0</v>
      </c>
      <c r="E115" s="256">
        <f t="shared" si="4"/>
        <v>0</v>
      </c>
      <c r="F115" s="255"/>
      <c r="G115" s="255">
        <v>52</v>
      </c>
      <c r="H115" s="256">
        <f t="shared" si="5"/>
        <v>0</v>
      </c>
      <c r="I115" s="256">
        <f t="shared" si="6"/>
        <v>0</v>
      </c>
      <c r="J115" s="256">
        <f t="shared" si="7"/>
        <v>0</v>
      </c>
      <c r="K115" s="256">
        <f t="shared" si="8"/>
        <v>0</v>
      </c>
      <c r="L115" s="255"/>
    </row>
    <row r="116" spans="1:12">
      <c r="A116" s="255">
        <v>53</v>
      </c>
      <c r="B116" s="256">
        <f t="shared" si="1"/>
        <v>0</v>
      </c>
      <c r="C116" s="256">
        <f t="shared" si="2"/>
        <v>0</v>
      </c>
      <c r="D116" s="256">
        <f t="shared" si="3"/>
        <v>0</v>
      </c>
      <c r="E116" s="256">
        <f t="shared" si="4"/>
        <v>0</v>
      </c>
      <c r="F116" s="255"/>
      <c r="G116" s="255">
        <v>53</v>
      </c>
      <c r="H116" s="256">
        <f t="shared" si="5"/>
        <v>0</v>
      </c>
      <c r="I116" s="256">
        <f t="shared" si="6"/>
        <v>0</v>
      </c>
      <c r="J116" s="256">
        <f t="shared" si="7"/>
        <v>0</v>
      </c>
      <c r="K116" s="256">
        <f t="shared" si="8"/>
        <v>0</v>
      </c>
      <c r="L116" s="255"/>
    </row>
    <row r="117" spans="1:12">
      <c r="A117" s="255">
        <v>54</v>
      </c>
      <c r="B117" s="256">
        <f t="shared" si="1"/>
        <v>0</v>
      </c>
      <c r="C117" s="256">
        <f t="shared" si="2"/>
        <v>0</v>
      </c>
      <c r="D117" s="256">
        <f t="shared" si="3"/>
        <v>0</v>
      </c>
      <c r="E117" s="256">
        <f t="shared" si="4"/>
        <v>0</v>
      </c>
      <c r="F117" s="255"/>
      <c r="G117" s="255">
        <v>54</v>
      </c>
      <c r="H117" s="256">
        <f t="shared" si="5"/>
        <v>0</v>
      </c>
      <c r="I117" s="256">
        <f t="shared" si="6"/>
        <v>0</v>
      </c>
      <c r="J117" s="256">
        <f t="shared" si="7"/>
        <v>0</v>
      </c>
      <c r="K117" s="256">
        <f t="shared" si="8"/>
        <v>0</v>
      </c>
      <c r="L117" s="255"/>
    </row>
    <row r="118" spans="1:12">
      <c r="A118" s="255">
        <v>55</v>
      </c>
      <c r="B118" s="256">
        <f t="shared" si="1"/>
        <v>0</v>
      </c>
      <c r="C118" s="256">
        <f t="shared" si="2"/>
        <v>0</v>
      </c>
      <c r="D118" s="256">
        <f t="shared" si="3"/>
        <v>0</v>
      </c>
      <c r="E118" s="256">
        <f t="shared" si="4"/>
        <v>0</v>
      </c>
      <c r="F118" s="255"/>
      <c r="G118" s="255">
        <v>55</v>
      </c>
      <c r="H118" s="256">
        <f t="shared" si="5"/>
        <v>0</v>
      </c>
      <c r="I118" s="256">
        <f t="shared" si="6"/>
        <v>0</v>
      </c>
      <c r="J118" s="256">
        <f t="shared" si="7"/>
        <v>0</v>
      </c>
      <c r="K118" s="256">
        <f t="shared" si="8"/>
        <v>0</v>
      </c>
      <c r="L118" s="255"/>
    </row>
    <row r="119" spans="1:12">
      <c r="A119" s="255">
        <v>56</v>
      </c>
      <c r="B119" s="256">
        <f t="shared" si="1"/>
        <v>0</v>
      </c>
      <c r="C119" s="256">
        <f t="shared" si="2"/>
        <v>0</v>
      </c>
      <c r="D119" s="256">
        <f t="shared" si="3"/>
        <v>0</v>
      </c>
      <c r="E119" s="256">
        <f t="shared" si="4"/>
        <v>0</v>
      </c>
      <c r="F119" s="255"/>
      <c r="G119" s="255">
        <v>56</v>
      </c>
      <c r="H119" s="256">
        <f t="shared" si="5"/>
        <v>0</v>
      </c>
      <c r="I119" s="256">
        <f t="shared" si="6"/>
        <v>0</v>
      </c>
      <c r="J119" s="256">
        <f t="shared" si="7"/>
        <v>0</v>
      </c>
      <c r="K119" s="256">
        <f t="shared" si="8"/>
        <v>0</v>
      </c>
      <c r="L119" s="255"/>
    </row>
    <row r="120" spans="1:12">
      <c r="A120" s="255">
        <v>57</v>
      </c>
      <c r="B120" s="256">
        <f t="shared" si="1"/>
        <v>0</v>
      </c>
      <c r="C120" s="256">
        <f t="shared" si="2"/>
        <v>0</v>
      </c>
      <c r="D120" s="256">
        <f t="shared" si="3"/>
        <v>0</v>
      </c>
      <c r="E120" s="256">
        <f t="shared" si="4"/>
        <v>0</v>
      </c>
      <c r="F120" s="255"/>
      <c r="G120" s="255">
        <v>57</v>
      </c>
      <c r="H120" s="256">
        <f t="shared" si="5"/>
        <v>0</v>
      </c>
      <c r="I120" s="256">
        <f t="shared" si="6"/>
        <v>0</v>
      </c>
      <c r="J120" s="256">
        <f t="shared" si="7"/>
        <v>0</v>
      </c>
      <c r="K120" s="256">
        <f t="shared" si="8"/>
        <v>0</v>
      </c>
      <c r="L120" s="255"/>
    </row>
    <row r="121" spans="1:12">
      <c r="A121" s="255">
        <v>58</v>
      </c>
      <c r="B121" s="256">
        <f t="shared" si="1"/>
        <v>0</v>
      </c>
      <c r="C121" s="256">
        <f t="shared" si="2"/>
        <v>0</v>
      </c>
      <c r="D121" s="256">
        <f t="shared" si="3"/>
        <v>0</v>
      </c>
      <c r="E121" s="256">
        <f t="shared" si="4"/>
        <v>0</v>
      </c>
      <c r="F121" s="255"/>
      <c r="G121" s="255">
        <v>58</v>
      </c>
      <c r="H121" s="256">
        <f t="shared" si="5"/>
        <v>0</v>
      </c>
      <c r="I121" s="256">
        <f t="shared" si="6"/>
        <v>0</v>
      </c>
      <c r="J121" s="256">
        <f t="shared" si="7"/>
        <v>0</v>
      </c>
      <c r="K121" s="256">
        <f t="shared" si="8"/>
        <v>0</v>
      </c>
      <c r="L121" s="255"/>
    </row>
    <row r="122" spans="1:12">
      <c r="A122" s="255">
        <v>59</v>
      </c>
      <c r="B122" s="256">
        <f t="shared" si="1"/>
        <v>0</v>
      </c>
      <c r="C122" s="256">
        <f t="shared" si="2"/>
        <v>0</v>
      </c>
      <c r="D122" s="256">
        <f t="shared" si="3"/>
        <v>0</v>
      </c>
      <c r="E122" s="256">
        <f t="shared" si="4"/>
        <v>0</v>
      </c>
      <c r="F122" s="255"/>
      <c r="G122" s="255">
        <v>59</v>
      </c>
      <c r="H122" s="256">
        <f t="shared" si="5"/>
        <v>0</v>
      </c>
      <c r="I122" s="256">
        <f t="shared" si="6"/>
        <v>0</v>
      </c>
      <c r="J122" s="256">
        <f t="shared" si="7"/>
        <v>0</v>
      </c>
      <c r="K122" s="256">
        <f t="shared" si="8"/>
        <v>0</v>
      </c>
      <c r="L122" s="255"/>
    </row>
    <row r="123" spans="1:12">
      <c r="A123" s="255">
        <v>60</v>
      </c>
      <c r="B123" s="256">
        <f t="shared" si="1"/>
        <v>0</v>
      </c>
      <c r="C123" s="256">
        <f t="shared" si="2"/>
        <v>0</v>
      </c>
      <c r="D123" s="256">
        <f t="shared" si="3"/>
        <v>0</v>
      </c>
      <c r="E123" s="256">
        <f t="shared" si="4"/>
        <v>0</v>
      </c>
      <c r="F123" s="255"/>
      <c r="G123" s="255">
        <v>60</v>
      </c>
      <c r="H123" s="256">
        <f t="shared" si="5"/>
        <v>0</v>
      </c>
      <c r="I123" s="256">
        <f t="shared" si="6"/>
        <v>0</v>
      </c>
      <c r="J123" s="256">
        <f t="shared" si="7"/>
        <v>0</v>
      </c>
      <c r="K123" s="256">
        <f t="shared" si="8"/>
        <v>0</v>
      </c>
      <c r="L123" s="255"/>
    </row>
    <row r="124" spans="1:12">
      <c r="A124" s="255">
        <v>61</v>
      </c>
      <c r="B124" s="256">
        <f t="shared" si="1"/>
        <v>0</v>
      </c>
      <c r="C124" s="256">
        <f t="shared" si="2"/>
        <v>0</v>
      </c>
      <c r="D124" s="256">
        <f t="shared" si="3"/>
        <v>0</v>
      </c>
      <c r="E124" s="256">
        <f t="shared" si="4"/>
        <v>0</v>
      </c>
      <c r="F124" s="255"/>
      <c r="G124" s="255">
        <v>61</v>
      </c>
      <c r="H124" s="256">
        <f t="shared" si="5"/>
        <v>0</v>
      </c>
      <c r="I124" s="256">
        <f t="shared" si="6"/>
        <v>0</v>
      </c>
      <c r="J124" s="256">
        <f t="shared" si="7"/>
        <v>0</v>
      </c>
      <c r="K124" s="256">
        <f t="shared" si="8"/>
        <v>0</v>
      </c>
      <c r="L124" s="255"/>
    </row>
    <row r="125" spans="1:12">
      <c r="A125" s="255">
        <v>62</v>
      </c>
      <c r="B125" s="256">
        <f t="shared" si="1"/>
        <v>0</v>
      </c>
      <c r="C125" s="256">
        <f t="shared" si="2"/>
        <v>0</v>
      </c>
      <c r="D125" s="256">
        <f t="shared" si="3"/>
        <v>0</v>
      </c>
      <c r="E125" s="256">
        <f t="shared" si="4"/>
        <v>0</v>
      </c>
      <c r="F125" s="255">
        <v>5</v>
      </c>
      <c r="G125" s="255">
        <v>62</v>
      </c>
      <c r="H125" s="256">
        <f t="shared" si="5"/>
        <v>0</v>
      </c>
      <c r="I125" s="256">
        <f t="shared" si="6"/>
        <v>0</v>
      </c>
      <c r="J125" s="256">
        <f t="shared" si="7"/>
        <v>0</v>
      </c>
      <c r="K125" s="256">
        <f t="shared" si="8"/>
        <v>0</v>
      </c>
      <c r="L125" s="255">
        <v>5</v>
      </c>
    </row>
    <row r="126" spans="1:12">
      <c r="A126" s="255">
        <v>63</v>
      </c>
      <c r="B126" s="256">
        <f t="shared" si="1"/>
        <v>0</v>
      </c>
      <c r="C126" s="256">
        <f t="shared" si="2"/>
        <v>0</v>
      </c>
      <c r="D126" s="256">
        <f t="shared" si="3"/>
        <v>0</v>
      </c>
      <c r="E126" s="256">
        <f t="shared" si="4"/>
        <v>0</v>
      </c>
      <c r="F126" s="255"/>
      <c r="G126" s="255">
        <v>63</v>
      </c>
      <c r="H126" s="256">
        <f t="shared" si="5"/>
        <v>0</v>
      </c>
      <c r="I126" s="256">
        <f t="shared" si="6"/>
        <v>0</v>
      </c>
      <c r="J126" s="256">
        <f t="shared" si="7"/>
        <v>0</v>
      </c>
      <c r="K126" s="256">
        <f t="shared" si="8"/>
        <v>0</v>
      </c>
      <c r="L126" s="255"/>
    </row>
    <row r="127" spans="1:12">
      <c r="A127" s="255">
        <v>64</v>
      </c>
      <c r="B127" s="256">
        <f t="shared" si="1"/>
        <v>0</v>
      </c>
      <c r="C127" s="256">
        <f t="shared" si="2"/>
        <v>0</v>
      </c>
      <c r="D127" s="256">
        <f t="shared" si="3"/>
        <v>0</v>
      </c>
      <c r="E127" s="256">
        <f t="shared" si="4"/>
        <v>0</v>
      </c>
      <c r="F127" s="255"/>
      <c r="G127" s="255">
        <v>64</v>
      </c>
      <c r="H127" s="256">
        <f t="shared" si="5"/>
        <v>0</v>
      </c>
      <c r="I127" s="256">
        <f t="shared" si="6"/>
        <v>0</v>
      </c>
      <c r="J127" s="256">
        <f t="shared" si="7"/>
        <v>0</v>
      </c>
      <c r="K127" s="256">
        <f t="shared" si="8"/>
        <v>0</v>
      </c>
      <c r="L127" s="255"/>
    </row>
    <row r="128" spans="1:12">
      <c r="A128" s="255">
        <v>65</v>
      </c>
      <c r="B128" s="256">
        <f t="shared" ref="B128:B191" si="9">IF(A128&gt;12*$C$9,0,IF($C$5&gt;1500000,$D$12,$C$12))</f>
        <v>0</v>
      </c>
      <c r="C128" s="256">
        <f t="shared" ref="C128:C191" si="10">IF(A128&gt;12*$C$9,0,E127*$C$7/12)</f>
        <v>0</v>
      </c>
      <c r="D128" s="256">
        <f t="shared" ref="D128:D191" si="11">IF(A128&gt;12*$C$9,0,B128-C128)</f>
        <v>0</v>
      </c>
      <c r="E128" s="256">
        <f t="shared" ref="E128:E191" si="12">IF(A128&gt;12*$C$9,0,E127-D128)</f>
        <v>0</v>
      </c>
      <c r="F128" s="255"/>
      <c r="G128" s="255">
        <v>65</v>
      </c>
      <c r="H128" s="256">
        <f t="shared" ref="H128:H191" si="13">IF(G128&gt;12*$C$9,0,IF($C$5&gt;1500000,$E$12,0))</f>
        <v>0</v>
      </c>
      <c r="I128" s="256">
        <f t="shared" ref="I128:I191" si="14">IF(G128&gt;12*$C$9,0,K127*$C$7/12)</f>
        <v>0</v>
      </c>
      <c r="J128" s="256">
        <f t="shared" ref="J128:J191" si="15">IF(G128&gt;12*$C$9,0,H128-I128)</f>
        <v>0</v>
      </c>
      <c r="K128" s="256">
        <f t="shared" ref="K128:K191" si="16">IF(G128&gt;12*$C$9,0,K127-J128)</f>
        <v>0</v>
      </c>
      <c r="L128" s="255"/>
    </row>
    <row r="129" spans="1:12">
      <c r="A129" s="255">
        <v>66</v>
      </c>
      <c r="B129" s="256">
        <f t="shared" si="9"/>
        <v>0</v>
      </c>
      <c r="C129" s="256">
        <f t="shared" si="10"/>
        <v>0</v>
      </c>
      <c r="D129" s="256">
        <f t="shared" si="11"/>
        <v>0</v>
      </c>
      <c r="E129" s="256">
        <f t="shared" si="12"/>
        <v>0</v>
      </c>
      <c r="F129" s="255"/>
      <c r="G129" s="255">
        <v>66</v>
      </c>
      <c r="H129" s="256">
        <f t="shared" si="13"/>
        <v>0</v>
      </c>
      <c r="I129" s="256">
        <f t="shared" si="14"/>
        <v>0</v>
      </c>
      <c r="J129" s="256">
        <f t="shared" si="15"/>
        <v>0</v>
      </c>
      <c r="K129" s="256">
        <f t="shared" si="16"/>
        <v>0</v>
      </c>
      <c r="L129" s="255"/>
    </row>
    <row r="130" spans="1:12">
      <c r="A130" s="255">
        <v>67</v>
      </c>
      <c r="B130" s="256">
        <f t="shared" si="9"/>
        <v>0</v>
      </c>
      <c r="C130" s="256">
        <f t="shared" si="10"/>
        <v>0</v>
      </c>
      <c r="D130" s="256">
        <f t="shared" si="11"/>
        <v>0</v>
      </c>
      <c r="E130" s="256">
        <f t="shared" si="12"/>
        <v>0</v>
      </c>
      <c r="F130" s="255"/>
      <c r="G130" s="255">
        <v>67</v>
      </c>
      <c r="H130" s="256">
        <f t="shared" si="13"/>
        <v>0</v>
      </c>
      <c r="I130" s="256">
        <f t="shared" si="14"/>
        <v>0</v>
      </c>
      <c r="J130" s="256">
        <f t="shared" si="15"/>
        <v>0</v>
      </c>
      <c r="K130" s="256">
        <f t="shared" si="16"/>
        <v>0</v>
      </c>
      <c r="L130" s="255"/>
    </row>
    <row r="131" spans="1:12">
      <c r="A131" s="255">
        <v>68</v>
      </c>
      <c r="B131" s="256">
        <f t="shared" si="9"/>
        <v>0</v>
      </c>
      <c r="C131" s="256">
        <f t="shared" si="10"/>
        <v>0</v>
      </c>
      <c r="D131" s="256">
        <f t="shared" si="11"/>
        <v>0</v>
      </c>
      <c r="E131" s="256">
        <f t="shared" si="12"/>
        <v>0</v>
      </c>
      <c r="F131" s="255"/>
      <c r="G131" s="255">
        <v>68</v>
      </c>
      <c r="H131" s="256">
        <f t="shared" si="13"/>
        <v>0</v>
      </c>
      <c r="I131" s="256">
        <f t="shared" si="14"/>
        <v>0</v>
      </c>
      <c r="J131" s="256">
        <f t="shared" si="15"/>
        <v>0</v>
      </c>
      <c r="K131" s="256">
        <f t="shared" si="16"/>
        <v>0</v>
      </c>
      <c r="L131" s="255"/>
    </row>
    <row r="132" spans="1:12">
      <c r="A132" s="255">
        <v>69</v>
      </c>
      <c r="B132" s="256">
        <f t="shared" si="9"/>
        <v>0</v>
      </c>
      <c r="C132" s="256">
        <f t="shared" si="10"/>
        <v>0</v>
      </c>
      <c r="D132" s="256">
        <f t="shared" si="11"/>
        <v>0</v>
      </c>
      <c r="E132" s="256">
        <f t="shared" si="12"/>
        <v>0</v>
      </c>
      <c r="F132" s="255"/>
      <c r="G132" s="255">
        <v>69</v>
      </c>
      <c r="H132" s="256">
        <f t="shared" si="13"/>
        <v>0</v>
      </c>
      <c r="I132" s="256">
        <f t="shared" si="14"/>
        <v>0</v>
      </c>
      <c r="J132" s="256">
        <f t="shared" si="15"/>
        <v>0</v>
      </c>
      <c r="K132" s="256">
        <f t="shared" si="16"/>
        <v>0</v>
      </c>
      <c r="L132" s="255"/>
    </row>
    <row r="133" spans="1:12">
      <c r="A133" s="255">
        <v>70</v>
      </c>
      <c r="B133" s="256">
        <f t="shared" si="9"/>
        <v>0</v>
      </c>
      <c r="C133" s="256">
        <f t="shared" si="10"/>
        <v>0</v>
      </c>
      <c r="D133" s="256">
        <f t="shared" si="11"/>
        <v>0</v>
      </c>
      <c r="E133" s="256">
        <f t="shared" si="12"/>
        <v>0</v>
      </c>
      <c r="F133" s="255"/>
      <c r="G133" s="255">
        <v>70</v>
      </c>
      <c r="H133" s="256">
        <f t="shared" si="13"/>
        <v>0</v>
      </c>
      <c r="I133" s="256">
        <f t="shared" si="14"/>
        <v>0</v>
      </c>
      <c r="J133" s="256">
        <f t="shared" si="15"/>
        <v>0</v>
      </c>
      <c r="K133" s="256">
        <f t="shared" si="16"/>
        <v>0</v>
      </c>
      <c r="L133" s="255"/>
    </row>
    <row r="134" spans="1:12">
      <c r="A134" s="255">
        <v>71</v>
      </c>
      <c r="B134" s="256">
        <f t="shared" si="9"/>
        <v>0</v>
      </c>
      <c r="C134" s="256">
        <f t="shared" si="10"/>
        <v>0</v>
      </c>
      <c r="D134" s="256">
        <f t="shared" si="11"/>
        <v>0</v>
      </c>
      <c r="E134" s="256">
        <f t="shared" si="12"/>
        <v>0</v>
      </c>
      <c r="F134" s="255"/>
      <c r="G134" s="255">
        <v>71</v>
      </c>
      <c r="H134" s="256">
        <f t="shared" si="13"/>
        <v>0</v>
      </c>
      <c r="I134" s="256">
        <f t="shared" si="14"/>
        <v>0</v>
      </c>
      <c r="J134" s="256">
        <f t="shared" si="15"/>
        <v>0</v>
      </c>
      <c r="K134" s="256">
        <f t="shared" si="16"/>
        <v>0</v>
      </c>
      <c r="L134" s="255"/>
    </row>
    <row r="135" spans="1:12">
      <c r="A135" s="255">
        <v>72</v>
      </c>
      <c r="B135" s="256">
        <f t="shared" si="9"/>
        <v>0</v>
      </c>
      <c r="C135" s="256">
        <f t="shared" si="10"/>
        <v>0</v>
      </c>
      <c r="D135" s="256">
        <f t="shared" si="11"/>
        <v>0</v>
      </c>
      <c r="E135" s="256">
        <f t="shared" si="12"/>
        <v>0</v>
      </c>
      <c r="F135" s="255"/>
      <c r="G135" s="255">
        <v>72</v>
      </c>
      <c r="H135" s="256">
        <f t="shared" si="13"/>
        <v>0</v>
      </c>
      <c r="I135" s="256">
        <f t="shared" si="14"/>
        <v>0</v>
      </c>
      <c r="J135" s="256">
        <f t="shared" si="15"/>
        <v>0</v>
      </c>
      <c r="K135" s="256">
        <f t="shared" si="16"/>
        <v>0</v>
      </c>
      <c r="L135" s="255"/>
    </row>
    <row r="136" spans="1:12">
      <c r="A136" s="255">
        <v>73</v>
      </c>
      <c r="B136" s="256">
        <f t="shared" si="9"/>
        <v>0</v>
      </c>
      <c r="C136" s="256">
        <f t="shared" si="10"/>
        <v>0</v>
      </c>
      <c r="D136" s="256">
        <f t="shared" si="11"/>
        <v>0</v>
      </c>
      <c r="E136" s="256">
        <f t="shared" si="12"/>
        <v>0</v>
      </c>
      <c r="F136" s="255"/>
      <c r="G136" s="255">
        <v>73</v>
      </c>
      <c r="H136" s="256">
        <f t="shared" si="13"/>
        <v>0</v>
      </c>
      <c r="I136" s="256">
        <f t="shared" si="14"/>
        <v>0</v>
      </c>
      <c r="J136" s="256">
        <f t="shared" si="15"/>
        <v>0</v>
      </c>
      <c r="K136" s="256">
        <f t="shared" si="16"/>
        <v>0</v>
      </c>
      <c r="L136" s="255"/>
    </row>
    <row r="137" spans="1:12">
      <c r="A137" s="255">
        <v>74</v>
      </c>
      <c r="B137" s="256">
        <f t="shared" si="9"/>
        <v>0</v>
      </c>
      <c r="C137" s="256">
        <f t="shared" si="10"/>
        <v>0</v>
      </c>
      <c r="D137" s="256">
        <f t="shared" si="11"/>
        <v>0</v>
      </c>
      <c r="E137" s="256">
        <f t="shared" si="12"/>
        <v>0</v>
      </c>
      <c r="F137" s="255">
        <v>6</v>
      </c>
      <c r="G137" s="255">
        <v>74</v>
      </c>
      <c r="H137" s="256">
        <f t="shared" si="13"/>
        <v>0</v>
      </c>
      <c r="I137" s="256">
        <f t="shared" si="14"/>
        <v>0</v>
      </c>
      <c r="J137" s="256">
        <f t="shared" si="15"/>
        <v>0</v>
      </c>
      <c r="K137" s="256">
        <f t="shared" si="16"/>
        <v>0</v>
      </c>
      <c r="L137" s="255">
        <v>6</v>
      </c>
    </row>
    <row r="138" spans="1:12">
      <c r="A138" s="255">
        <v>75</v>
      </c>
      <c r="B138" s="256">
        <f t="shared" si="9"/>
        <v>0</v>
      </c>
      <c r="C138" s="256">
        <f t="shared" si="10"/>
        <v>0</v>
      </c>
      <c r="D138" s="256">
        <f t="shared" si="11"/>
        <v>0</v>
      </c>
      <c r="E138" s="256">
        <f t="shared" si="12"/>
        <v>0</v>
      </c>
      <c r="F138" s="255"/>
      <c r="G138" s="255">
        <v>75</v>
      </c>
      <c r="H138" s="256">
        <f t="shared" si="13"/>
        <v>0</v>
      </c>
      <c r="I138" s="256">
        <f t="shared" si="14"/>
        <v>0</v>
      </c>
      <c r="J138" s="256">
        <f t="shared" si="15"/>
        <v>0</v>
      </c>
      <c r="K138" s="256">
        <f t="shared" si="16"/>
        <v>0</v>
      </c>
      <c r="L138" s="255"/>
    </row>
    <row r="139" spans="1:12">
      <c r="A139" s="255">
        <v>76</v>
      </c>
      <c r="B139" s="256">
        <f t="shared" si="9"/>
        <v>0</v>
      </c>
      <c r="C139" s="256">
        <f t="shared" si="10"/>
        <v>0</v>
      </c>
      <c r="D139" s="256">
        <f t="shared" si="11"/>
        <v>0</v>
      </c>
      <c r="E139" s="256">
        <f t="shared" si="12"/>
        <v>0</v>
      </c>
      <c r="F139" s="255"/>
      <c r="G139" s="255">
        <v>76</v>
      </c>
      <c r="H139" s="256">
        <f t="shared" si="13"/>
        <v>0</v>
      </c>
      <c r="I139" s="256">
        <f t="shared" si="14"/>
        <v>0</v>
      </c>
      <c r="J139" s="256">
        <f t="shared" si="15"/>
        <v>0</v>
      </c>
      <c r="K139" s="256">
        <f t="shared" si="16"/>
        <v>0</v>
      </c>
      <c r="L139" s="255"/>
    </row>
    <row r="140" spans="1:12">
      <c r="A140" s="255">
        <v>77</v>
      </c>
      <c r="B140" s="256">
        <f t="shared" si="9"/>
        <v>0</v>
      </c>
      <c r="C140" s="256">
        <f t="shared" si="10"/>
        <v>0</v>
      </c>
      <c r="D140" s="256">
        <f t="shared" si="11"/>
        <v>0</v>
      </c>
      <c r="E140" s="256">
        <f t="shared" si="12"/>
        <v>0</v>
      </c>
      <c r="F140" s="255"/>
      <c r="G140" s="255">
        <v>77</v>
      </c>
      <c r="H140" s="256">
        <f t="shared" si="13"/>
        <v>0</v>
      </c>
      <c r="I140" s="256">
        <f t="shared" si="14"/>
        <v>0</v>
      </c>
      <c r="J140" s="256">
        <f t="shared" si="15"/>
        <v>0</v>
      </c>
      <c r="K140" s="256">
        <f t="shared" si="16"/>
        <v>0</v>
      </c>
      <c r="L140" s="255"/>
    </row>
    <row r="141" spans="1:12">
      <c r="A141" s="255">
        <v>78</v>
      </c>
      <c r="B141" s="256">
        <f t="shared" si="9"/>
        <v>0</v>
      </c>
      <c r="C141" s="256">
        <f t="shared" si="10"/>
        <v>0</v>
      </c>
      <c r="D141" s="256">
        <f t="shared" si="11"/>
        <v>0</v>
      </c>
      <c r="E141" s="256">
        <f t="shared" si="12"/>
        <v>0</v>
      </c>
      <c r="F141" s="255"/>
      <c r="G141" s="255">
        <v>78</v>
      </c>
      <c r="H141" s="256">
        <f t="shared" si="13"/>
        <v>0</v>
      </c>
      <c r="I141" s="256">
        <f t="shared" si="14"/>
        <v>0</v>
      </c>
      <c r="J141" s="256">
        <f t="shared" si="15"/>
        <v>0</v>
      </c>
      <c r="K141" s="256">
        <f t="shared" si="16"/>
        <v>0</v>
      </c>
      <c r="L141" s="255"/>
    </row>
    <row r="142" spans="1:12">
      <c r="A142" s="255">
        <v>79</v>
      </c>
      <c r="B142" s="256">
        <f t="shared" si="9"/>
        <v>0</v>
      </c>
      <c r="C142" s="256">
        <f t="shared" si="10"/>
        <v>0</v>
      </c>
      <c r="D142" s="256">
        <f t="shared" si="11"/>
        <v>0</v>
      </c>
      <c r="E142" s="256">
        <f t="shared" si="12"/>
        <v>0</v>
      </c>
      <c r="F142" s="255"/>
      <c r="G142" s="255">
        <v>79</v>
      </c>
      <c r="H142" s="256">
        <f t="shared" si="13"/>
        <v>0</v>
      </c>
      <c r="I142" s="256">
        <f t="shared" si="14"/>
        <v>0</v>
      </c>
      <c r="J142" s="256">
        <f t="shared" si="15"/>
        <v>0</v>
      </c>
      <c r="K142" s="256">
        <f t="shared" si="16"/>
        <v>0</v>
      </c>
      <c r="L142" s="255"/>
    </row>
    <row r="143" spans="1:12">
      <c r="A143" s="255">
        <v>80</v>
      </c>
      <c r="B143" s="256">
        <f t="shared" si="9"/>
        <v>0</v>
      </c>
      <c r="C143" s="256">
        <f t="shared" si="10"/>
        <v>0</v>
      </c>
      <c r="D143" s="256">
        <f t="shared" si="11"/>
        <v>0</v>
      </c>
      <c r="E143" s="256">
        <f t="shared" si="12"/>
        <v>0</v>
      </c>
      <c r="F143" s="255"/>
      <c r="G143" s="255">
        <v>80</v>
      </c>
      <c r="H143" s="256">
        <f t="shared" si="13"/>
        <v>0</v>
      </c>
      <c r="I143" s="256">
        <f t="shared" si="14"/>
        <v>0</v>
      </c>
      <c r="J143" s="256">
        <f t="shared" si="15"/>
        <v>0</v>
      </c>
      <c r="K143" s="256">
        <f t="shared" si="16"/>
        <v>0</v>
      </c>
      <c r="L143" s="255"/>
    </row>
    <row r="144" spans="1:12">
      <c r="A144" s="255">
        <v>81</v>
      </c>
      <c r="B144" s="256">
        <f t="shared" si="9"/>
        <v>0</v>
      </c>
      <c r="C144" s="256">
        <f t="shared" si="10"/>
        <v>0</v>
      </c>
      <c r="D144" s="256">
        <f t="shared" si="11"/>
        <v>0</v>
      </c>
      <c r="E144" s="256">
        <f t="shared" si="12"/>
        <v>0</v>
      </c>
      <c r="F144" s="255"/>
      <c r="G144" s="255">
        <v>81</v>
      </c>
      <c r="H144" s="256">
        <f t="shared" si="13"/>
        <v>0</v>
      </c>
      <c r="I144" s="256">
        <f t="shared" si="14"/>
        <v>0</v>
      </c>
      <c r="J144" s="256">
        <f t="shared" si="15"/>
        <v>0</v>
      </c>
      <c r="K144" s="256">
        <f t="shared" si="16"/>
        <v>0</v>
      </c>
      <c r="L144" s="255"/>
    </row>
    <row r="145" spans="1:12">
      <c r="A145" s="255">
        <v>82</v>
      </c>
      <c r="B145" s="256">
        <f t="shared" si="9"/>
        <v>0</v>
      </c>
      <c r="C145" s="256">
        <f t="shared" si="10"/>
        <v>0</v>
      </c>
      <c r="D145" s="256">
        <f t="shared" si="11"/>
        <v>0</v>
      </c>
      <c r="E145" s="256">
        <f t="shared" si="12"/>
        <v>0</v>
      </c>
      <c r="F145" s="255"/>
      <c r="G145" s="255">
        <v>82</v>
      </c>
      <c r="H145" s="256">
        <f t="shared" si="13"/>
        <v>0</v>
      </c>
      <c r="I145" s="256">
        <f t="shared" si="14"/>
        <v>0</v>
      </c>
      <c r="J145" s="256">
        <f t="shared" si="15"/>
        <v>0</v>
      </c>
      <c r="K145" s="256">
        <f t="shared" si="16"/>
        <v>0</v>
      </c>
      <c r="L145" s="255"/>
    </row>
    <row r="146" spans="1:12">
      <c r="A146" s="255">
        <v>83</v>
      </c>
      <c r="B146" s="256">
        <f t="shared" si="9"/>
        <v>0</v>
      </c>
      <c r="C146" s="256">
        <f t="shared" si="10"/>
        <v>0</v>
      </c>
      <c r="D146" s="256">
        <f t="shared" si="11"/>
        <v>0</v>
      </c>
      <c r="E146" s="256">
        <f t="shared" si="12"/>
        <v>0</v>
      </c>
      <c r="F146" s="255"/>
      <c r="G146" s="255">
        <v>83</v>
      </c>
      <c r="H146" s="256">
        <f t="shared" si="13"/>
        <v>0</v>
      </c>
      <c r="I146" s="256">
        <f t="shared" si="14"/>
        <v>0</v>
      </c>
      <c r="J146" s="256">
        <f t="shared" si="15"/>
        <v>0</v>
      </c>
      <c r="K146" s="256">
        <f t="shared" si="16"/>
        <v>0</v>
      </c>
      <c r="L146" s="255"/>
    </row>
    <row r="147" spans="1:12">
      <c r="A147" s="255">
        <v>84</v>
      </c>
      <c r="B147" s="256">
        <f t="shared" si="9"/>
        <v>0</v>
      </c>
      <c r="C147" s="256">
        <f t="shared" si="10"/>
        <v>0</v>
      </c>
      <c r="D147" s="256">
        <f t="shared" si="11"/>
        <v>0</v>
      </c>
      <c r="E147" s="256">
        <f t="shared" si="12"/>
        <v>0</v>
      </c>
      <c r="F147" s="255">
        <v>7</v>
      </c>
      <c r="G147" s="255">
        <v>84</v>
      </c>
      <c r="H147" s="256">
        <f t="shared" si="13"/>
        <v>0</v>
      </c>
      <c r="I147" s="256">
        <f t="shared" si="14"/>
        <v>0</v>
      </c>
      <c r="J147" s="256">
        <f t="shared" si="15"/>
        <v>0</v>
      </c>
      <c r="K147" s="256">
        <f t="shared" si="16"/>
        <v>0</v>
      </c>
      <c r="L147" s="255">
        <v>7</v>
      </c>
    </row>
    <row r="148" spans="1:12">
      <c r="A148" s="255">
        <v>85</v>
      </c>
      <c r="B148" s="256">
        <f t="shared" si="9"/>
        <v>0</v>
      </c>
      <c r="C148" s="256">
        <f t="shared" si="10"/>
        <v>0</v>
      </c>
      <c r="D148" s="256">
        <f t="shared" si="11"/>
        <v>0</v>
      </c>
      <c r="E148" s="256">
        <f t="shared" si="12"/>
        <v>0</v>
      </c>
      <c r="F148" s="255"/>
      <c r="G148" s="255">
        <v>85</v>
      </c>
      <c r="H148" s="256">
        <f t="shared" si="13"/>
        <v>0</v>
      </c>
      <c r="I148" s="256">
        <f t="shared" si="14"/>
        <v>0</v>
      </c>
      <c r="J148" s="256">
        <f t="shared" si="15"/>
        <v>0</v>
      </c>
      <c r="K148" s="256">
        <f t="shared" si="16"/>
        <v>0</v>
      </c>
      <c r="L148" s="255"/>
    </row>
    <row r="149" spans="1:12">
      <c r="A149" s="255">
        <v>86</v>
      </c>
      <c r="B149" s="256">
        <f t="shared" si="9"/>
        <v>0</v>
      </c>
      <c r="C149" s="256">
        <f t="shared" si="10"/>
        <v>0</v>
      </c>
      <c r="D149" s="256">
        <f t="shared" si="11"/>
        <v>0</v>
      </c>
      <c r="E149" s="256">
        <f t="shared" si="12"/>
        <v>0</v>
      </c>
      <c r="F149" s="255"/>
      <c r="G149" s="255">
        <v>86</v>
      </c>
      <c r="H149" s="256">
        <f t="shared" si="13"/>
        <v>0</v>
      </c>
      <c r="I149" s="256">
        <f t="shared" si="14"/>
        <v>0</v>
      </c>
      <c r="J149" s="256">
        <f t="shared" si="15"/>
        <v>0</v>
      </c>
      <c r="K149" s="256">
        <f t="shared" si="16"/>
        <v>0</v>
      </c>
      <c r="L149" s="255"/>
    </row>
    <row r="150" spans="1:12">
      <c r="A150" s="255">
        <v>87</v>
      </c>
      <c r="B150" s="256">
        <f t="shared" si="9"/>
        <v>0</v>
      </c>
      <c r="C150" s="256">
        <f t="shared" si="10"/>
        <v>0</v>
      </c>
      <c r="D150" s="256">
        <f t="shared" si="11"/>
        <v>0</v>
      </c>
      <c r="E150" s="256">
        <f t="shared" si="12"/>
        <v>0</v>
      </c>
      <c r="F150" s="255"/>
      <c r="G150" s="255">
        <v>87</v>
      </c>
      <c r="H150" s="256">
        <f t="shared" si="13"/>
        <v>0</v>
      </c>
      <c r="I150" s="256">
        <f t="shared" si="14"/>
        <v>0</v>
      </c>
      <c r="J150" s="256">
        <f t="shared" si="15"/>
        <v>0</v>
      </c>
      <c r="K150" s="256">
        <f t="shared" si="16"/>
        <v>0</v>
      </c>
      <c r="L150" s="255"/>
    </row>
    <row r="151" spans="1:12">
      <c r="A151" s="255">
        <v>88</v>
      </c>
      <c r="B151" s="256">
        <f t="shared" si="9"/>
        <v>0</v>
      </c>
      <c r="C151" s="256">
        <f t="shared" si="10"/>
        <v>0</v>
      </c>
      <c r="D151" s="256">
        <f t="shared" si="11"/>
        <v>0</v>
      </c>
      <c r="E151" s="256">
        <f t="shared" si="12"/>
        <v>0</v>
      </c>
      <c r="F151" s="255"/>
      <c r="G151" s="255">
        <v>88</v>
      </c>
      <c r="H151" s="256">
        <f t="shared" si="13"/>
        <v>0</v>
      </c>
      <c r="I151" s="256">
        <f t="shared" si="14"/>
        <v>0</v>
      </c>
      <c r="J151" s="256">
        <f t="shared" si="15"/>
        <v>0</v>
      </c>
      <c r="K151" s="256">
        <f t="shared" si="16"/>
        <v>0</v>
      </c>
      <c r="L151" s="255"/>
    </row>
    <row r="152" spans="1:12">
      <c r="A152" s="255">
        <v>89</v>
      </c>
      <c r="B152" s="256">
        <f t="shared" si="9"/>
        <v>0</v>
      </c>
      <c r="C152" s="256">
        <f t="shared" si="10"/>
        <v>0</v>
      </c>
      <c r="D152" s="256">
        <f t="shared" si="11"/>
        <v>0</v>
      </c>
      <c r="E152" s="256">
        <f t="shared" si="12"/>
        <v>0</v>
      </c>
      <c r="F152" s="255"/>
      <c r="G152" s="255">
        <v>89</v>
      </c>
      <c r="H152" s="256">
        <f t="shared" si="13"/>
        <v>0</v>
      </c>
      <c r="I152" s="256">
        <f t="shared" si="14"/>
        <v>0</v>
      </c>
      <c r="J152" s="256">
        <f t="shared" si="15"/>
        <v>0</v>
      </c>
      <c r="K152" s="256">
        <f t="shared" si="16"/>
        <v>0</v>
      </c>
      <c r="L152" s="255"/>
    </row>
    <row r="153" spans="1:12">
      <c r="A153" s="255">
        <v>90</v>
      </c>
      <c r="B153" s="256">
        <f t="shared" si="9"/>
        <v>0</v>
      </c>
      <c r="C153" s="256">
        <f t="shared" si="10"/>
        <v>0</v>
      </c>
      <c r="D153" s="256">
        <f t="shared" si="11"/>
        <v>0</v>
      </c>
      <c r="E153" s="256">
        <f t="shared" si="12"/>
        <v>0</v>
      </c>
      <c r="F153" s="255"/>
      <c r="G153" s="255">
        <v>90</v>
      </c>
      <c r="H153" s="256">
        <f t="shared" si="13"/>
        <v>0</v>
      </c>
      <c r="I153" s="256">
        <f t="shared" si="14"/>
        <v>0</v>
      </c>
      <c r="J153" s="256">
        <f t="shared" si="15"/>
        <v>0</v>
      </c>
      <c r="K153" s="256">
        <f t="shared" si="16"/>
        <v>0</v>
      </c>
      <c r="L153" s="255"/>
    </row>
    <row r="154" spans="1:12">
      <c r="A154" s="255">
        <v>91</v>
      </c>
      <c r="B154" s="256">
        <f t="shared" si="9"/>
        <v>0</v>
      </c>
      <c r="C154" s="256">
        <f t="shared" si="10"/>
        <v>0</v>
      </c>
      <c r="D154" s="256">
        <f t="shared" si="11"/>
        <v>0</v>
      </c>
      <c r="E154" s="256">
        <f t="shared" si="12"/>
        <v>0</v>
      </c>
      <c r="F154" s="255"/>
      <c r="G154" s="255">
        <v>91</v>
      </c>
      <c r="H154" s="256">
        <f t="shared" si="13"/>
        <v>0</v>
      </c>
      <c r="I154" s="256">
        <f t="shared" si="14"/>
        <v>0</v>
      </c>
      <c r="J154" s="256">
        <f t="shared" si="15"/>
        <v>0</v>
      </c>
      <c r="K154" s="256">
        <f t="shared" si="16"/>
        <v>0</v>
      </c>
      <c r="L154" s="255"/>
    </row>
    <row r="155" spans="1:12">
      <c r="A155" s="255">
        <v>92</v>
      </c>
      <c r="B155" s="256">
        <f t="shared" si="9"/>
        <v>0</v>
      </c>
      <c r="C155" s="256">
        <f t="shared" si="10"/>
        <v>0</v>
      </c>
      <c r="D155" s="256">
        <f t="shared" si="11"/>
        <v>0</v>
      </c>
      <c r="E155" s="256">
        <f t="shared" si="12"/>
        <v>0</v>
      </c>
      <c r="F155" s="255"/>
      <c r="G155" s="255">
        <v>92</v>
      </c>
      <c r="H155" s="256">
        <f t="shared" si="13"/>
        <v>0</v>
      </c>
      <c r="I155" s="256">
        <f t="shared" si="14"/>
        <v>0</v>
      </c>
      <c r="J155" s="256">
        <f t="shared" si="15"/>
        <v>0</v>
      </c>
      <c r="K155" s="256">
        <f t="shared" si="16"/>
        <v>0</v>
      </c>
      <c r="L155" s="255"/>
    </row>
    <row r="156" spans="1:12">
      <c r="A156" s="255">
        <v>93</v>
      </c>
      <c r="B156" s="256">
        <f t="shared" si="9"/>
        <v>0</v>
      </c>
      <c r="C156" s="256">
        <f t="shared" si="10"/>
        <v>0</v>
      </c>
      <c r="D156" s="256">
        <f t="shared" si="11"/>
        <v>0</v>
      </c>
      <c r="E156" s="256">
        <f t="shared" si="12"/>
        <v>0</v>
      </c>
      <c r="F156" s="255"/>
      <c r="G156" s="255">
        <v>93</v>
      </c>
      <c r="H156" s="256">
        <f t="shared" si="13"/>
        <v>0</v>
      </c>
      <c r="I156" s="256">
        <f t="shared" si="14"/>
        <v>0</v>
      </c>
      <c r="J156" s="256">
        <f t="shared" si="15"/>
        <v>0</v>
      </c>
      <c r="K156" s="256">
        <f t="shared" si="16"/>
        <v>0</v>
      </c>
      <c r="L156" s="255"/>
    </row>
    <row r="157" spans="1:12">
      <c r="A157" s="255">
        <v>94</v>
      </c>
      <c r="B157" s="256">
        <f t="shared" si="9"/>
        <v>0</v>
      </c>
      <c r="C157" s="256">
        <f t="shared" si="10"/>
        <v>0</v>
      </c>
      <c r="D157" s="256">
        <f t="shared" si="11"/>
        <v>0</v>
      </c>
      <c r="E157" s="256">
        <f t="shared" si="12"/>
        <v>0</v>
      </c>
      <c r="F157" s="255"/>
      <c r="G157" s="255">
        <v>94</v>
      </c>
      <c r="H157" s="256">
        <f t="shared" si="13"/>
        <v>0</v>
      </c>
      <c r="I157" s="256">
        <f t="shared" si="14"/>
        <v>0</v>
      </c>
      <c r="J157" s="256">
        <f t="shared" si="15"/>
        <v>0</v>
      </c>
      <c r="K157" s="256">
        <f t="shared" si="16"/>
        <v>0</v>
      </c>
      <c r="L157" s="255"/>
    </row>
    <row r="158" spans="1:12">
      <c r="A158" s="255">
        <v>95</v>
      </c>
      <c r="B158" s="256">
        <f t="shared" si="9"/>
        <v>0</v>
      </c>
      <c r="C158" s="256">
        <f t="shared" si="10"/>
        <v>0</v>
      </c>
      <c r="D158" s="256">
        <f t="shared" si="11"/>
        <v>0</v>
      </c>
      <c r="E158" s="256">
        <f t="shared" si="12"/>
        <v>0</v>
      </c>
      <c r="F158" s="255"/>
      <c r="G158" s="255">
        <v>95</v>
      </c>
      <c r="H158" s="256">
        <f t="shared" si="13"/>
        <v>0</v>
      </c>
      <c r="I158" s="256">
        <f t="shared" si="14"/>
        <v>0</v>
      </c>
      <c r="J158" s="256">
        <f t="shared" si="15"/>
        <v>0</v>
      </c>
      <c r="K158" s="256">
        <f t="shared" si="16"/>
        <v>0</v>
      </c>
      <c r="L158" s="255"/>
    </row>
    <row r="159" spans="1:12">
      <c r="A159" s="255">
        <v>96</v>
      </c>
      <c r="B159" s="256">
        <f t="shared" si="9"/>
        <v>0</v>
      </c>
      <c r="C159" s="256">
        <f t="shared" si="10"/>
        <v>0</v>
      </c>
      <c r="D159" s="256">
        <f t="shared" si="11"/>
        <v>0</v>
      </c>
      <c r="E159" s="256">
        <f t="shared" si="12"/>
        <v>0</v>
      </c>
      <c r="F159" s="255">
        <v>8</v>
      </c>
      <c r="G159" s="255">
        <v>96</v>
      </c>
      <c r="H159" s="256">
        <f t="shared" si="13"/>
        <v>0</v>
      </c>
      <c r="I159" s="256">
        <f t="shared" si="14"/>
        <v>0</v>
      </c>
      <c r="J159" s="256">
        <f t="shared" si="15"/>
        <v>0</v>
      </c>
      <c r="K159" s="256">
        <f t="shared" si="16"/>
        <v>0</v>
      </c>
      <c r="L159" s="255">
        <v>8</v>
      </c>
    </row>
    <row r="160" spans="1:12">
      <c r="A160" s="255">
        <v>97</v>
      </c>
      <c r="B160" s="256">
        <f t="shared" si="9"/>
        <v>0</v>
      </c>
      <c r="C160" s="256">
        <f t="shared" si="10"/>
        <v>0</v>
      </c>
      <c r="D160" s="256">
        <f t="shared" si="11"/>
        <v>0</v>
      </c>
      <c r="E160" s="256">
        <f t="shared" si="12"/>
        <v>0</v>
      </c>
      <c r="F160" s="255"/>
      <c r="G160" s="255">
        <v>97</v>
      </c>
      <c r="H160" s="256">
        <f t="shared" si="13"/>
        <v>0</v>
      </c>
      <c r="I160" s="256">
        <f t="shared" si="14"/>
        <v>0</v>
      </c>
      <c r="J160" s="256">
        <f t="shared" si="15"/>
        <v>0</v>
      </c>
      <c r="K160" s="256">
        <f t="shared" si="16"/>
        <v>0</v>
      </c>
      <c r="L160" s="255"/>
    </row>
    <row r="161" spans="1:12">
      <c r="A161" s="255">
        <v>98</v>
      </c>
      <c r="B161" s="256">
        <f t="shared" si="9"/>
        <v>0</v>
      </c>
      <c r="C161" s="256">
        <f t="shared" si="10"/>
        <v>0</v>
      </c>
      <c r="D161" s="256">
        <f t="shared" si="11"/>
        <v>0</v>
      </c>
      <c r="E161" s="256">
        <f t="shared" si="12"/>
        <v>0</v>
      </c>
      <c r="F161" s="255"/>
      <c r="G161" s="255">
        <v>98</v>
      </c>
      <c r="H161" s="256">
        <f t="shared" si="13"/>
        <v>0</v>
      </c>
      <c r="I161" s="256">
        <f t="shared" si="14"/>
        <v>0</v>
      </c>
      <c r="J161" s="256">
        <f t="shared" si="15"/>
        <v>0</v>
      </c>
      <c r="K161" s="256">
        <f t="shared" si="16"/>
        <v>0</v>
      </c>
      <c r="L161" s="255"/>
    </row>
    <row r="162" spans="1:12">
      <c r="A162" s="255">
        <v>99</v>
      </c>
      <c r="B162" s="256">
        <f t="shared" si="9"/>
        <v>0</v>
      </c>
      <c r="C162" s="256">
        <f t="shared" si="10"/>
        <v>0</v>
      </c>
      <c r="D162" s="256">
        <f t="shared" si="11"/>
        <v>0</v>
      </c>
      <c r="E162" s="256">
        <f t="shared" si="12"/>
        <v>0</v>
      </c>
      <c r="F162" s="255"/>
      <c r="G162" s="255">
        <v>99</v>
      </c>
      <c r="H162" s="256">
        <f t="shared" si="13"/>
        <v>0</v>
      </c>
      <c r="I162" s="256">
        <f t="shared" si="14"/>
        <v>0</v>
      </c>
      <c r="J162" s="256">
        <f t="shared" si="15"/>
        <v>0</v>
      </c>
      <c r="K162" s="256">
        <f t="shared" si="16"/>
        <v>0</v>
      </c>
      <c r="L162" s="255"/>
    </row>
    <row r="163" spans="1:12">
      <c r="A163" s="255">
        <v>100</v>
      </c>
      <c r="B163" s="256">
        <f t="shared" si="9"/>
        <v>0</v>
      </c>
      <c r="C163" s="256">
        <f t="shared" si="10"/>
        <v>0</v>
      </c>
      <c r="D163" s="256">
        <f t="shared" si="11"/>
        <v>0</v>
      </c>
      <c r="E163" s="256">
        <f t="shared" si="12"/>
        <v>0</v>
      </c>
      <c r="F163" s="255"/>
      <c r="G163" s="255">
        <v>100</v>
      </c>
      <c r="H163" s="256">
        <f t="shared" si="13"/>
        <v>0</v>
      </c>
      <c r="I163" s="256">
        <f t="shared" si="14"/>
        <v>0</v>
      </c>
      <c r="J163" s="256">
        <f t="shared" si="15"/>
        <v>0</v>
      </c>
      <c r="K163" s="256">
        <f t="shared" si="16"/>
        <v>0</v>
      </c>
      <c r="L163" s="255"/>
    </row>
    <row r="164" spans="1:12">
      <c r="A164" s="255">
        <v>101</v>
      </c>
      <c r="B164" s="256">
        <f t="shared" si="9"/>
        <v>0</v>
      </c>
      <c r="C164" s="256">
        <f t="shared" si="10"/>
        <v>0</v>
      </c>
      <c r="D164" s="256">
        <f t="shared" si="11"/>
        <v>0</v>
      </c>
      <c r="E164" s="256">
        <f t="shared" si="12"/>
        <v>0</v>
      </c>
      <c r="F164" s="255"/>
      <c r="G164" s="255">
        <v>101</v>
      </c>
      <c r="H164" s="256">
        <f t="shared" si="13"/>
        <v>0</v>
      </c>
      <c r="I164" s="256">
        <f t="shared" si="14"/>
        <v>0</v>
      </c>
      <c r="J164" s="256">
        <f t="shared" si="15"/>
        <v>0</v>
      </c>
      <c r="K164" s="256">
        <f t="shared" si="16"/>
        <v>0</v>
      </c>
      <c r="L164" s="255"/>
    </row>
    <row r="165" spans="1:12">
      <c r="A165" s="255">
        <v>102</v>
      </c>
      <c r="B165" s="256">
        <f t="shared" si="9"/>
        <v>0</v>
      </c>
      <c r="C165" s="256">
        <f t="shared" si="10"/>
        <v>0</v>
      </c>
      <c r="D165" s="256">
        <f t="shared" si="11"/>
        <v>0</v>
      </c>
      <c r="E165" s="256">
        <f t="shared" si="12"/>
        <v>0</v>
      </c>
      <c r="F165" s="255"/>
      <c r="G165" s="255">
        <v>102</v>
      </c>
      <c r="H165" s="256">
        <f t="shared" si="13"/>
        <v>0</v>
      </c>
      <c r="I165" s="256">
        <f t="shared" si="14"/>
        <v>0</v>
      </c>
      <c r="J165" s="256">
        <f t="shared" si="15"/>
        <v>0</v>
      </c>
      <c r="K165" s="256">
        <f t="shared" si="16"/>
        <v>0</v>
      </c>
      <c r="L165" s="255"/>
    </row>
    <row r="166" spans="1:12">
      <c r="A166" s="255">
        <v>103</v>
      </c>
      <c r="B166" s="256">
        <f t="shared" si="9"/>
        <v>0</v>
      </c>
      <c r="C166" s="256">
        <f t="shared" si="10"/>
        <v>0</v>
      </c>
      <c r="D166" s="256">
        <f t="shared" si="11"/>
        <v>0</v>
      </c>
      <c r="E166" s="256">
        <f t="shared" si="12"/>
        <v>0</v>
      </c>
      <c r="F166" s="255"/>
      <c r="G166" s="255">
        <v>103</v>
      </c>
      <c r="H166" s="256">
        <f t="shared" si="13"/>
        <v>0</v>
      </c>
      <c r="I166" s="256">
        <f t="shared" si="14"/>
        <v>0</v>
      </c>
      <c r="J166" s="256">
        <f t="shared" si="15"/>
        <v>0</v>
      </c>
      <c r="K166" s="256">
        <f t="shared" si="16"/>
        <v>0</v>
      </c>
      <c r="L166" s="255"/>
    </row>
    <row r="167" spans="1:12">
      <c r="A167" s="255">
        <v>104</v>
      </c>
      <c r="B167" s="256">
        <f t="shared" si="9"/>
        <v>0</v>
      </c>
      <c r="C167" s="256">
        <f t="shared" si="10"/>
        <v>0</v>
      </c>
      <c r="D167" s="256">
        <f t="shared" si="11"/>
        <v>0</v>
      </c>
      <c r="E167" s="256">
        <f t="shared" si="12"/>
        <v>0</v>
      </c>
      <c r="F167" s="255"/>
      <c r="G167" s="255">
        <v>104</v>
      </c>
      <c r="H167" s="256">
        <f t="shared" si="13"/>
        <v>0</v>
      </c>
      <c r="I167" s="256">
        <f t="shared" si="14"/>
        <v>0</v>
      </c>
      <c r="J167" s="256">
        <f t="shared" si="15"/>
        <v>0</v>
      </c>
      <c r="K167" s="256">
        <f t="shared" si="16"/>
        <v>0</v>
      </c>
      <c r="L167" s="255"/>
    </row>
    <row r="168" spans="1:12">
      <c r="A168" s="255">
        <v>105</v>
      </c>
      <c r="B168" s="256">
        <f t="shared" si="9"/>
        <v>0</v>
      </c>
      <c r="C168" s="256">
        <f t="shared" si="10"/>
        <v>0</v>
      </c>
      <c r="D168" s="256">
        <f t="shared" si="11"/>
        <v>0</v>
      </c>
      <c r="E168" s="256">
        <f t="shared" si="12"/>
        <v>0</v>
      </c>
      <c r="F168" s="255"/>
      <c r="G168" s="255">
        <v>105</v>
      </c>
      <c r="H168" s="256">
        <f t="shared" si="13"/>
        <v>0</v>
      </c>
      <c r="I168" s="256">
        <f t="shared" si="14"/>
        <v>0</v>
      </c>
      <c r="J168" s="256">
        <f t="shared" si="15"/>
        <v>0</v>
      </c>
      <c r="K168" s="256">
        <f t="shared" si="16"/>
        <v>0</v>
      </c>
      <c r="L168" s="255"/>
    </row>
    <row r="169" spans="1:12">
      <c r="A169" s="255">
        <v>106</v>
      </c>
      <c r="B169" s="256">
        <f t="shared" si="9"/>
        <v>0</v>
      </c>
      <c r="C169" s="256">
        <f t="shared" si="10"/>
        <v>0</v>
      </c>
      <c r="D169" s="256">
        <f t="shared" si="11"/>
        <v>0</v>
      </c>
      <c r="E169" s="256">
        <f t="shared" si="12"/>
        <v>0</v>
      </c>
      <c r="F169" s="255"/>
      <c r="G169" s="255">
        <v>106</v>
      </c>
      <c r="H169" s="256">
        <f t="shared" si="13"/>
        <v>0</v>
      </c>
      <c r="I169" s="256">
        <f t="shared" si="14"/>
        <v>0</v>
      </c>
      <c r="J169" s="256">
        <f t="shared" si="15"/>
        <v>0</v>
      </c>
      <c r="K169" s="256">
        <f t="shared" si="16"/>
        <v>0</v>
      </c>
      <c r="L169" s="255"/>
    </row>
    <row r="170" spans="1:12">
      <c r="A170" s="255">
        <v>107</v>
      </c>
      <c r="B170" s="256">
        <f t="shared" si="9"/>
        <v>0</v>
      </c>
      <c r="C170" s="256">
        <f t="shared" si="10"/>
        <v>0</v>
      </c>
      <c r="D170" s="256">
        <f t="shared" si="11"/>
        <v>0</v>
      </c>
      <c r="E170" s="256">
        <f t="shared" si="12"/>
        <v>0</v>
      </c>
      <c r="F170" s="255"/>
      <c r="G170" s="255">
        <v>107</v>
      </c>
      <c r="H170" s="256">
        <f t="shared" si="13"/>
        <v>0</v>
      </c>
      <c r="I170" s="256">
        <f t="shared" si="14"/>
        <v>0</v>
      </c>
      <c r="J170" s="256">
        <f t="shared" si="15"/>
        <v>0</v>
      </c>
      <c r="K170" s="256">
        <f t="shared" si="16"/>
        <v>0</v>
      </c>
      <c r="L170" s="255"/>
    </row>
    <row r="171" spans="1:12">
      <c r="A171" s="255">
        <v>108</v>
      </c>
      <c r="B171" s="256">
        <f t="shared" si="9"/>
        <v>0</v>
      </c>
      <c r="C171" s="256">
        <f t="shared" si="10"/>
        <v>0</v>
      </c>
      <c r="D171" s="256">
        <f t="shared" si="11"/>
        <v>0</v>
      </c>
      <c r="E171" s="256">
        <f t="shared" si="12"/>
        <v>0</v>
      </c>
      <c r="F171" s="255">
        <v>9</v>
      </c>
      <c r="G171" s="255">
        <v>108</v>
      </c>
      <c r="H171" s="256">
        <f t="shared" si="13"/>
        <v>0</v>
      </c>
      <c r="I171" s="256">
        <f t="shared" si="14"/>
        <v>0</v>
      </c>
      <c r="J171" s="256">
        <f t="shared" si="15"/>
        <v>0</v>
      </c>
      <c r="K171" s="256">
        <f t="shared" si="16"/>
        <v>0</v>
      </c>
      <c r="L171" s="255">
        <v>9</v>
      </c>
    </row>
    <row r="172" spans="1:12">
      <c r="A172" s="255">
        <v>109</v>
      </c>
      <c r="B172" s="256">
        <f t="shared" si="9"/>
        <v>0</v>
      </c>
      <c r="C172" s="256">
        <f t="shared" si="10"/>
        <v>0</v>
      </c>
      <c r="D172" s="256">
        <f t="shared" si="11"/>
        <v>0</v>
      </c>
      <c r="E172" s="256">
        <f t="shared" si="12"/>
        <v>0</v>
      </c>
      <c r="F172" s="255"/>
      <c r="G172" s="255">
        <v>109</v>
      </c>
      <c r="H172" s="256">
        <f t="shared" si="13"/>
        <v>0</v>
      </c>
      <c r="I172" s="256">
        <f t="shared" si="14"/>
        <v>0</v>
      </c>
      <c r="J172" s="256">
        <f t="shared" si="15"/>
        <v>0</v>
      </c>
      <c r="K172" s="256">
        <f t="shared" si="16"/>
        <v>0</v>
      </c>
      <c r="L172" s="255"/>
    </row>
    <row r="173" spans="1:12">
      <c r="A173" s="255">
        <v>110</v>
      </c>
      <c r="B173" s="256">
        <f t="shared" si="9"/>
        <v>0</v>
      </c>
      <c r="C173" s="256">
        <f t="shared" si="10"/>
        <v>0</v>
      </c>
      <c r="D173" s="256">
        <f t="shared" si="11"/>
        <v>0</v>
      </c>
      <c r="E173" s="256">
        <f t="shared" si="12"/>
        <v>0</v>
      </c>
      <c r="F173" s="255"/>
      <c r="G173" s="255">
        <v>110</v>
      </c>
      <c r="H173" s="256">
        <f t="shared" si="13"/>
        <v>0</v>
      </c>
      <c r="I173" s="256">
        <f t="shared" si="14"/>
        <v>0</v>
      </c>
      <c r="J173" s="256">
        <f t="shared" si="15"/>
        <v>0</v>
      </c>
      <c r="K173" s="256">
        <f t="shared" si="16"/>
        <v>0</v>
      </c>
      <c r="L173" s="255"/>
    </row>
    <row r="174" spans="1:12">
      <c r="A174" s="255">
        <v>111</v>
      </c>
      <c r="B174" s="256">
        <f t="shared" si="9"/>
        <v>0</v>
      </c>
      <c r="C174" s="256">
        <f t="shared" si="10"/>
        <v>0</v>
      </c>
      <c r="D174" s="256">
        <f t="shared" si="11"/>
        <v>0</v>
      </c>
      <c r="E174" s="256">
        <f t="shared" si="12"/>
        <v>0</v>
      </c>
      <c r="F174" s="255"/>
      <c r="G174" s="255">
        <v>111</v>
      </c>
      <c r="H174" s="256">
        <f t="shared" si="13"/>
        <v>0</v>
      </c>
      <c r="I174" s="256">
        <f t="shared" si="14"/>
        <v>0</v>
      </c>
      <c r="J174" s="256">
        <f t="shared" si="15"/>
        <v>0</v>
      </c>
      <c r="K174" s="256">
        <f t="shared" si="16"/>
        <v>0</v>
      </c>
      <c r="L174" s="255"/>
    </row>
    <row r="175" spans="1:12">
      <c r="A175" s="255">
        <v>112</v>
      </c>
      <c r="B175" s="256">
        <f t="shared" si="9"/>
        <v>0</v>
      </c>
      <c r="C175" s="256">
        <f t="shared" si="10"/>
        <v>0</v>
      </c>
      <c r="D175" s="256">
        <f t="shared" si="11"/>
        <v>0</v>
      </c>
      <c r="E175" s="256">
        <f t="shared" si="12"/>
        <v>0</v>
      </c>
      <c r="F175" s="255"/>
      <c r="G175" s="255">
        <v>112</v>
      </c>
      <c r="H175" s="256">
        <f t="shared" si="13"/>
        <v>0</v>
      </c>
      <c r="I175" s="256">
        <f t="shared" si="14"/>
        <v>0</v>
      </c>
      <c r="J175" s="256">
        <f t="shared" si="15"/>
        <v>0</v>
      </c>
      <c r="K175" s="256">
        <f t="shared" si="16"/>
        <v>0</v>
      </c>
      <c r="L175" s="255"/>
    </row>
    <row r="176" spans="1:12">
      <c r="A176" s="255">
        <v>113</v>
      </c>
      <c r="B176" s="256">
        <f t="shared" si="9"/>
        <v>0</v>
      </c>
      <c r="C176" s="256">
        <f t="shared" si="10"/>
        <v>0</v>
      </c>
      <c r="D176" s="256">
        <f t="shared" si="11"/>
        <v>0</v>
      </c>
      <c r="E176" s="256">
        <f t="shared" si="12"/>
        <v>0</v>
      </c>
      <c r="F176" s="255"/>
      <c r="G176" s="255">
        <v>113</v>
      </c>
      <c r="H176" s="256">
        <f t="shared" si="13"/>
        <v>0</v>
      </c>
      <c r="I176" s="256">
        <f t="shared" si="14"/>
        <v>0</v>
      </c>
      <c r="J176" s="256">
        <f t="shared" si="15"/>
        <v>0</v>
      </c>
      <c r="K176" s="256">
        <f t="shared" si="16"/>
        <v>0</v>
      </c>
      <c r="L176" s="255"/>
    </row>
    <row r="177" spans="1:12">
      <c r="A177" s="255">
        <v>114</v>
      </c>
      <c r="B177" s="256">
        <f t="shared" si="9"/>
        <v>0</v>
      </c>
      <c r="C177" s="256">
        <f t="shared" si="10"/>
        <v>0</v>
      </c>
      <c r="D177" s="256">
        <f t="shared" si="11"/>
        <v>0</v>
      </c>
      <c r="E177" s="256">
        <f t="shared" si="12"/>
        <v>0</v>
      </c>
      <c r="F177" s="255"/>
      <c r="G177" s="255">
        <v>114</v>
      </c>
      <c r="H177" s="256">
        <f t="shared" si="13"/>
        <v>0</v>
      </c>
      <c r="I177" s="256">
        <f t="shared" si="14"/>
        <v>0</v>
      </c>
      <c r="J177" s="256">
        <f t="shared" si="15"/>
        <v>0</v>
      </c>
      <c r="K177" s="256">
        <f t="shared" si="16"/>
        <v>0</v>
      </c>
      <c r="L177" s="255"/>
    </row>
    <row r="178" spans="1:12">
      <c r="A178" s="255">
        <v>115</v>
      </c>
      <c r="B178" s="256">
        <f t="shared" si="9"/>
        <v>0</v>
      </c>
      <c r="C178" s="256">
        <f t="shared" si="10"/>
        <v>0</v>
      </c>
      <c r="D178" s="256">
        <f t="shared" si="11"/>
        <v>0</v>
      </c>
      <c r="E178" s="256">
        <f t="shared" si="12"/>
        <v>0</v>
      </c>
      <c r="F178" s="255"/>
      <c r="G178" s="255">
        <v>115</v>
      </c>
      <c r="H178" s="256">
        <f t="shared" si="13"/>
        <v>0</v>
      </c>
      <c r="I178" s="256">
        <f t="shared" si="14"/>
        <v>0</v>
      </c>
      <c r="J178" s="256">
        <f t="shared" si="15"/>
        <v>0</v>
      </c>
      <c r="K178" s="256">
        <f t="shared" si="16"/>
        <v>0</v>
      </c>
      <c r="L178" s="255"/>
    </row>
    <row r="179" spans="1:12">
      <c r="A179" s="255">
        <v>116</v>
      </c>
      <c r="B179" s="256">
        <f t="shared" si="9"/>
        <v>0</v>
      </c>
      <c r="C179" s="256">
        <f t="shared" si="10"/>
        <v>0</v>
      </c>
      <c r="D179" s="256">
        <f t="shared" si="11"/>
        <v>0</v>
      </c>
      <c r="E179" s="256">
        <f t="shared" si="12"/>
        <v>0</v>
      </c>
      <c r="F179" s="255"/>
      <c r="G179" s="255">
        <v>116</v>
      </c>
      <c r="H179" s="256">
        <f t="shared" si="13"/>
        <v>0</v>
      </c>
      <c r="I179" s="256">
        <f t="shared" si="14"/>
        <v>0</v>
      </c>
      <c r="J179" s="256">
        <f t="shared" si="15"/>
        <v>0</v>
      </c>
      <c r="K179" s="256">
        <f t="shared" si="16"/>
        <v>0</v>
      </c>
      <c r="L179" s="255"/>
    </row>
    <row r="180" spans="1:12">
      <c r="A180" s="255">
        <v>117</v>
      </c>
      <c r="B180" s="256">
        <f t="shared" si="9"/>
        <v>0</v>
      </c>
      <c r="C180" s="256">
        <f t="shared" si="10"/>
        <v>0</v>
      </c>
      <c r="D180" s="256">
        <f t="shared" si="11"/>
        <v>0</v>
      </c>
      <c r="E180" s="256">
        <f t="shared" si="12"/>
        <v>0</v>
      </c>
      <c r="F180" s="255"/>
      <c r="G180" s="255">
        <v>117</v>
      </c>
      <c r="H180" s="256">
        <f t="shared" si="13"/>
        <v>0</v>
      </c>
      <c r="I180" s="256">
        <f t="shared" si="14"/>
        <v>0</v>
      </c>
      <c r="J180" s="256">
        <f t="shared" si="15"/>
        <v>0</v>
      </c>
      <c r="K180" s="256">
        <f t="shared" si="16"/>
        <v>0</v>
      </c>
      <c r="L180" s="255"/>
    </row>
    <row r="181" spans="1:12">
      <c r="A181" s="255">
        <v>118</v>
      </c>
      <c r="B181" s="256">
        <f t="shared" si="9"/>
        <v>0</v>
      </c>
      <c r="C181" s="256">
        <f t="shared" si="10"/>
        <v>0</v>
      </c>
      <c r="D181" s="256">
        <f t="shared" si="11"/>
        <v>0</v>
      </c>
      <c r="E181" s="256">
        <f t="shared" si="12"/>
        <v>0</v>
      </c>
      <c r="F181" s="255"/>
      <c r="G181" s="255">
        <v>118</v>
      </c>
      <c r="H181" s="256">
        <f t="shared" si="13"/>
        <v>0</v>
      </c>
      <c r="I181" s="256">
        <f t="shared" si="14"/>
        <v>0</v>
      </c>
      <c r="J181" s="256">
        <f t="shared" si="15"/>
        <v>0</v>
      </c>
      <c r="K181" s="256">
        <f t="shared" si="16"/>
        <v>0</v>
      </c>
      <c r="L181" s="255"/>
    </row>
    <row r="182" spans="1:12">
      <c r="A182" s="255">
        <v>119</v>
      </c>
      <c r="B182" s="256">
        <f t="shared" si="9"/>
        <v>0</v>
      </c>
      <c r="C182" s="256">
        <f t="shared" si="10"/>
        <v>0</v>
      </c>
      <c r="D182" s="256">
        <f t="shared" si="11"/>
        <v>0</v>
      </c>
      <c r="E182" s="256">
        <f t="shared" si="12"/>
        <v>0</v>
      </c>
      <c r="F182" s="255"/>
      <c r="G182" s="255">
        <v>119</v>
      </c>
      <c r="H182" s="256">
        <f t="shared" si="13"/>
        <v>0</v>
      </c>
      <c r="I182" s="256">
        <f t="shared" si="14"/>
        <v>0</v>
      </c>
      <c r="J182" s="256">
        <f t="shared" si="15"/>
        <v>0</v>
      </c>
      <c r="K182" s="256">
        <f t="shared" si="16"/>
        <v>0</v>
      </c>
      <c r="L182" s="255"/>
    </row>
    <row r="183" spans="1:12">
      <c r="A183" s="255">
        <v>120</v>
      </c>
      <c r="B183" s="256">
        <f t="shared" si="9"/>
        <v>0</v>
      </c>
      <c r="C183" s="256">
        <f t="shared" si="10"/>
        <v>0</v>
      </c>
      <c r="D183" s="256">
        <f t="shared" si="11"/>
        <v>0</v>
      </c>
      <c r="E183" s="256">
        <f t="shared" si="12"/>
        <v>0</v>
      </c>
      <c r="F183" s="255">
        <v>10</v>
      </c>
      <c r="G183" s="255">
        <v>120</v>
      </c>
      <c r="H183" s="256">
        <f t="shared" si="13"/>
        <v>0</v>
      </c>
      <c r="I183" s="256">
        <f t="shared" si="14"/>
        <v>0</v>
      </c>
      <c r="J183" s="256">
        <f t="shared" si="15"/>
        <v>0</v>
      </c>
      <c r="K183" s="256">
        <f t="shared" si="16"/>
        <v>0</v>
      </c>
      <c r="L183" s="255">
        <v>10</v>
      </c>
    </row>
    <row r="184" spans="1:12">
      <c r="A184" s="255">
        <v>121</v>
      </c>
      <c r="B184" s="256">
        <f t="shared" si="9"/>
        <v>0</v>
      </c>
      <c r="C184" s="256">
        <f t="shared" si="10"/>
        <v>0</v>
      </c>
      <c r="D184" s="256">
        <f t="shared" si="11"/>
        <v>0</v>
      </c>
      <c r="E184" s="256">
        <f t="shared" si="12"/>
        <v>0</v>
      </c>
      <c r="F184" s="255"/>
      <c r="G184" s="255">
        <v>121</v>
      </c>
      <c r="H184" s="256">
        <f t="shared" si="13"/>
        <v>0</v>
      </c>
      <c r="I184" s="256">
        <f t="shared" si="14"/>
        <v>0</v>
      </c>
      <c r="J184" s="256">
        <f t="shared" si="15"/>
        <v>0</v>
      </c>
      <c r="K184" s="256">
        <f t="shared" si="16"/>
        <v>0</v>
      </c>
      <c r="L184" s="255"/>
    </row>
    <row r="185" spans="1:12">
      <c r="A185" s="255">
        <v>122</v>
      </c>
      <c r="B185" s="256">
        <f t="shared" si="9"/>
        <v>0</v>
      </c>
      <c r="C185" s="256">
        <f t="shared" si="10"/>
        <v>0</v>
      </c>
      <c r="D185" s="256">
        <f t="shared" si="11"/>
        <v>0</v>
      </c>
      <c r="E185" s="256">
        <f t="shared" si="12"/>
        <v>0</v>
      </c>
      <c r="F185" s="255"/>
      <c r="G185" s="255">
        <v>122</v>
      </c>
      <c r="H185" s="256">
        <f t="shared" si="13"/>
        <v>0</v>
      </c>
      <c r="I185" s="256">
        <f t="shared" si="14"/>
        <v>0</v>
      </c>
      <c r="J185" s="256">
        <f t="shared" si="15"/>
        <v>0</v>
      </c>
      <c r="K185" s="256">
        <f t="shared" si="16"/>
        <v>0</v>
      </c>
      <c r="L185" s="255"/>
    </row>
    <row r="186" spans="1:12">
      <c r="A186" s="255">
        <v>123</v>
      </c>
      <c r="B186" s="256">
        <f t="shared" si="9"/>
        <v>0</v>
      </c>
      <c r="C186" s="256">
        <f t="shared" si="10"/>
        <v>0</v>
      </c>
      <c r="D186" s="256">
        <f t="shared" si="11"/>
        <v>0</v>
      </c>
      <c r="E186" s="256">
        <f t="shared" si="12"/>
        <v>0</v>
      </c>
      <c r="F186" s="255"/>
      <c r="G186" s="255">
        <v>123</v>
      </c>
      <c r="H186" s="256">
        <f t="shared" si="13"/>
        <v>0</v>
      </c>
      <c r="I186" s="256">
        <f t="shared" si="14"/>
        <v>0</v>
      </c>
      <c r="J186" s="256">
        <f t="shared" si="15"/>
        <v>0</v>
      </c>
      <c r="K186" s="256">
        <f t="shared" si="16"/>
        <v>0</v>
      </c>
      <c r="L186" s="255"/>
    </row>
    <row r="187" spans="1:12">
      <c r="A187" s="255">
        <v>124</v>
      </c>
      <c r="B187" s="256">
        <f t="shared" si="9"/>
        <v>0</v>
      </c>
      <c r="C187" s="256">
        <f t="shared" si="10"/>
        <v>0</v>
      </c>
      <c r="D187" s="256">
        <f t="shared" si="11"/>
        <v>0</v>
      </c>
      <c r="E187" s="256">
        <f t="shared" si="12"/>
        <v>0</v>
      </c>
      <c r="F187" s="255"/>
      <c r="G187" s="255">
        <v>124</v>
      </c>
      <c r="H187" s="256">
        <f t="shared" si="13"/>
        <v>0</v>
      </c>
      <c r="I187" s="256">
        <f t="shared" si="14"/>
        <v>0</v>
      </c>
      <c r="J187" s="256">
        <f t="shared" si="15"/>
        <v>0</v>
      </c>
      <c r="K187" s="256">
        <f t="shared" si="16"/>
        <v>0</v>
      </c>
      <c r="L187" s="255"/>
    </row>
    <row r="188" spans="1:12">
      <c r="A188" s="255">
        <v>125</v>
      </c>
      <c r="B188" s="256">
        <f t="shared" si="9"/>
        <v>0</v>
      </c>
      <c r="C188" s="256">
        <f t="shared" si="10"/>
        <v>0</v>
      </c>
      <c r="D188" s="256">
        <f t="shared" si="11"/>
        <v>0</v>
      </c>
      <c r="E188" s="256">
        <f t="shared" si="12"/>
        <v>0</v>
      </c>
      <c r="F188" s="255"/>
      <c r="G188" s="255">
        <v>125</v>
      </c>
      <c r="H188" s="256">
        <f t="shared" si="13"/>
        <v>0</v>
      </c>
      <c r="I188" s="256">
        <f t="shared" si="14"/>
        <v>0</v>
      </c>
      <c r="J188" s="256">
        <f t="shared" si="15"/>
        <v>0</v>
      </c>
      <c r="K188" s="256">
        <f t="shared" si="16"/>
        <v>0</v>
      </c>
      <c r="L188" s="255"/>
    </row>
    <row r="189" spans="1:12">
      <c r="A189" s="255">
        <v>126</v>
      </c>
      <c r="B189" s="256">
        <f t="shared" si="9"/>
        <v>0</v>
      </c>
      <c r="C189" s="256">
        <f t="shared" si="10"/>
        <v>0</v>
      </c>
      <c r="D189" s="256">
        <f t="shared" si="11"/>
        <v>0</v>
      </c>
      <c r="E189" s="256">
        <f t="shared" si="12"/>
        <v>0</v>
      </c>
      <c r="F189" s="255"/>
      <c r="G189" s="255">
        <v>126</v>
      </c>
      <c r="H189" s="256">
        <f t="shared" si="13"/>
        <v>0</v>
      </c>
      <c r="I189" s="256">
        <f t="shared" si="14"/>
        <v>0</v>
      </c>
      <c r="J189" s="256">
        <f t="shared" si="15"/>
        <v>0</v>
      </c>
      <c r="K189" s="256">
        <f t="shared" si="16"/>
        <v>0</v>
      </c>
      <c r="L189" s="255"/>
    </row>
    <row r="190" spans="1:12">
      <c r="A190" s="255">
        <v>127</v>
      </c>
      <c r="B190" s="256">
        <f t="shared" si="9"/>
        <v>0</v>
      </c>
      <c r="C190" s="256">
        <f t="shared" si="10"/>
        <v>0</v>
      </c>
      <c r="D190" s="256">
        <f t="shared" si="11"/>
        <v>0</v>
      </c>
      <c r="E190" s="256">
        <f t="shared" si="12"/>
        <v>0</v>
      </c>
      <c r="F190" s="255"/>
      <c r="G190" s="255">
        <v>127</v>
      </c>
      <c r="H190" s="256">
        <f t="shared" si="13"/>
        <v>0</v>
      </c>
      <c r="I190" s="256">
        <f t="shared" si="14"/>
        <v>0</v>
      </c>
      <c r="J190" s="256">
        <f t="shared" si="15"/>
        <v>0</v>
      </c>
      <c r="K190" s="256">
        <f t="shared" si="16"/>
        <v>0</v>
      </c>
      <c r="L190" s="255"/>
    </row>
    <row r="191" spans="1:12">
      <c r="A191" s="255">
        <v>128</v>
      </c>
      <c r="B191" s="256">
        <f t="shared" si="9"/>
        <v>0</v>
      </c>
      <c r="C191" s="256">
        <f t="shared" si="10"/>
        <v>0</v>
      </c>
      <c r="D191" s="256">
        <f t="shared" si="11"/>
        <v>0</v>
      </c>
      <c r="E191" s="256">
        <f t="shared" si="12"/>
        <v>0</v>
      </c>
      <c r="F191" s="255"/>
      <c r="G191" s="255">
        <v>128</v>
      </c>
      <c r="H191" s="256">
        <f t="shared" si="13"/>
        <v>0</v>
      </c>
      <c r="I191" s="256">
        <f t="shared" si="14"/>
        <v>0</v>
      </c>
      <c r="J191" s="256">
        <f t="shared" si="15"/>
        <v>0</v>
      </c>
      <c r="K191" s="256">
        <f t="shared" si="16"/>
        <v>0</v>
      </c>
      <c r="L191" s="255"/>
    </row>
    <row r="192" spans="1:12">
      <c r="A192" s="255">
        <v>129</v>
      </c>
      <c r="B192" s="256">
        <f t="shared" ref="B192:B255" si="17">IF(A192&gt;12*$C$9,0,IF($C$5&gt;1500000,$D$12,$C$12))</f>
        <v>0</v>
      </c>
      <c r="C192" s="256">
        <f t="shared" ref="C192:C255" si="18">IF(A192&gt;12*$C$9,0,E191*$C$7/12)</f>
        <v>0</v>
      </c>
      <c r="D192" s="256">
        <f t="shared" ref="D192:D255" si="19">IF(A192&gt;12*$C$9,0,B192-C192)</f>
        <v>0</v>
      </c>
      <c r="E192" s="256">
        <f t="shared" ref="E192:E255" si="20">IF(A192&gt;12*$C$9,0,E191-D192)</f>
        <v>0</v>
      </c>
      <c r="F192" s="255"/>
      <c r="G192" s="255">
        <v>129</v>
      </c>
      <c r="H192" s="256">
        <f t="shared" ref="H192:H255" si="21">IF(G192&gt;12*$C$9,0,IF($C$5&gt;1500000,$E$12,0))</f>
        <v>0</v>
      </c>
      <c r="I192" s="256">
        <f t="shared" ref="I192:I255" si="22">IF(G192&gt;12*$C$9,0,K191*$C$7/12)</f>
        <v>0</v>
      </c>
      <c r="J192" s="256">
        <f t="shared" ref="J192:J255" si="23">IF(G192&gt;12*$C$9,0,H192-I192)</f>
        <v>0</v>
      </c>
      <c r="K192" s="256">
        <f t="shared" ref="K192:K255" si="24">IF(G192&gt;12*$C$9,0,K191-J192)</f>
        <v>0</v>
      </c>
      <c r="L192" s="255"/>
    </row>
    <row r="193" spans="1:12">
      <c r="A193" s="255">
        <v>130</v>
      </c>
      <c r="B193" s="256">
        <f t="shared" si="17"/>
        <v>0</v>
      </c>
      <c r="C193" s="256">
        <f t="shared" si="18"/>
        <v>0</v>
      </c>
      <c r="D193" s="256">
        <f t="shared" si="19"/>
        <v>0</v>
      </c>
      <c r="E193" s="256">
        <f t="shared" si="20"/>
        <v>0</v>
      </c>
      <c r="F193" s="255"/>
      <c r="G193" s="255">
        <v>130</v>
      </c>
      <c r="H193" s="256">
        <f t="shared" si="21"/>
        <v>0</v>
      </c>
      <c r="I193" s="256">
        <f t="shared" si="22"/>
        <v>0</v>
      </c>
      <c r="J193" s="256">
        <f t="shared" si="23"/>
        <v>0</v>
      </c>
      <c r="K193" s="256">
        <f t="shared" si="24"/>
        <v>0</v>
      </c>
      <c r="L193" s="255"/>
    </row>
    <row r="194" spans="1:12">
      <c r="A194" s="255">
        <v>131</v>
      </c>
      <c r="B194" s="256">
        <f t="shared" si="17"/>
        <v>0</v>
      </c>
      <c r="C194" s="256">
        <f t="shared" si="18"/>
        <v>0</v>
      </c>
      <c r="D194" s="256">
        <f t="shared" si="19"/>
        <v>0</v>
      </c>
      <c r="E194" s="256">
        <f t="shared" si="20"/>
        <v>0</v>
      </c>
      <c r="F194" s="255"/>
      <c r="G194" s="255">
        <v>131</v>
      </c>
      <c r="H194" s="256">
        <f t="shared" si="21"/>
        <v>0</v>
      </c>
      <c r="I194" s="256">
        <f t="shared" si="22"/>
        <v>0</v>
      </c>
      <c r="J194" s="256">
        <f t="shared" si="23"/>
        <v>0</v>
      </c>
      <c r="K194" s="256">
        <f t="shared" si="24"/>
        <v>0</v>
      </c>
      <c r="L194" s="255"/>
    </row>
    <row r="195" spans="1:12">
      <c r="A195" s="255">
        <v>132</v>
      </c>
      <c r="B195" s="256">
        <f t="shared" si="17"/>
        <v>0</v>
      </c>
      <c r="C195" s="256">
        <f t="shared" si="18"/>
        <v>0</v>
      </c>
      <c r="D195" s="256">
        <f t="shared" si="19"/>
        <v>0</v>
      </c>
      <c r="E195" s="256">
        <f t="shared" si="20"/>
        <v>0</v>
      </c>
      <c r="F195" s="255">
        <v>11</v>
      </c>
      <c r="G195" s="255">
        <v>132</v>
      </c>
      <c r="H195" s="256">
        <f t="shared" si="21"/>
        <v>0</v>
      </c>
      <c r="I195" s="256">
        <f t="shared" si="22"/>
        <v>0</v>
      </c>
      <c r="J195" s="256">
        <f t="shared" si="23"/>
        <v>0</v>
      </c>
      <c r="K195" s="256">
        <f t="shared" si="24"/>
        <v>0</v>
      </c>
      <c r="L195" s="255">
        <v>11</v>
      </c>
    </row>
    <row r="196" spans="1:12">
      <c r="A196" s="255">
        <v>133</v>
      </c>
      <c r="B196" s="256">
        <f t="shared" si="17"/>
        <v>0</v>
      </c>
      <c r="C196" s="256">
        <f t="shared" si="18"/>
        <v>0</v>
      </c>
      <c r="D196" s="256">
        <f t="shared" si="19"/>
        <v>0</v>
      </c>
      <c r="E196" s="256">
        <f t="shared" si="20"/>
        <v>0</v>
      </c>
      <c r="F196" s="255"/>
      <c r="G196" s="255">
        <v>133</v>
      </c>
      <c r="H196" s="256">
        <f t="shared" si="21"/>
        <v>0</v>
      </c>
      <c r="I196" s="256">
        <f t="shared" si="22"/>
        <v>0</v>
      </c>
      <c r="J196" s="256">
        <f t="shared" si="23"/>
        <v>0</v>
      </c>
      <c r="K196" s="256">
        <f t="shared" si="24"/>
        <v>0</v>
      </c>
      <c r="L196" s="255"/>
    </row>
    <row r="197" spans="1:12">
      <c r="A197" s="255">
        <v>134</v>
      </c>
      <c r="B197" s="256">
        <f t="shared" si="17"/>
        <v>0</v>
      </c>
      <c r="C197" s="256">
        <f t="shared" si="18"/>
        <v>0</v>
      </c>
      <c r="D197" s="256">
        <f t="shared" si="19"/>
        <v>0</v>
      </c>
      <c r="E197" s="256">
        <f t="shared" si="20"/>
        <v>0</v>
      </c>
      <c r="F197" s="255"/>
      <c r="G197" s="255">
        <v>134</v>
      </c>
      <c r="H197" s="256">
        <f t="shared" si="21"/>
        <v>0</v>
      </c>
      <c r="I197" s="256">
        <f t="shared" si="22"/>
        <v>0</v>
      </c>
      <c r="J197" s="256">
        <f t="shared" si="23"/>
        <v>0</v>
      </c>
      <c r="K197" s="256">
        <f t="shared" si="24"/>
        <v>0</v>
      </c>
      <c r="L197" s="255"/>
    </row>
    <row r="198" spans="1:12">
      <c r="A198" s="255">
        <v>135</v>
      </c>
      <c r="B198" s="256">
        <f t="shared" si="17"/>
        <v>0</v>
      </c>
      <c r="C198" s="256">
        <f t="shared" si="18"/>
        <v>0</v>
      </c>
      <c r="D198" s="256">
        <f t="shared" si="19"/>
        <v>0</v>
      </c>
      <c r="E198" s="256">
        <f t="shared" si="20"/>
        <v>0</v>
      </c>
      <c r="F198" s="255"/>
      <c r="G198" s="255">
        <v>135</v>
      </c>
      <c r="H198" s="256">
        <f t="shared" si="21"/>
        <v>0</v>
      </c>
      <c r="I198" s="256">
        <f t="shared" si="22"/>
        <v>0</v>
      </c>
      <c r="J198" s="256">
        <f t="shared" si="23"/>
        <v>0</v>
      </c>
      <c r="K198" s="256">
        <f t="shared" si="24"/>
        <v>0</v>
      </c>
      <c r="L198" s="255"/>
    </row>
    <row r="199" spans="1:12">
      <c r="A199" s="255">
        <v>136</v>
      </c>
      <c r="B199" s="256">
        <f t="shared" si="17"/>
        <v>0</v>
      </c>
      <c r="C199" s="256">
        <f t="shared" si="18"/>
        <v>0</v>
      </c>
      <c r="D199" s="256">
        <f t="shared" si="19"/>
        <v>0</v>
      </c>
      <c r="E199" s="256">
        <f t="shared" si="20"/>
        <v>0</v>
      </c>
      <c r="F199" s="255"/>
      <c r="G199" s="255">
        <v>136</v>
      </c>
      <c r="H199" s="256">
        <f t="shared" si="21"/>
        <v>0</v>
      </c>
      <c r="I199" s="256">
        <f t="shared" si="22"/>
        <v>0</v>
      </c>
      <c r="J199" s="256">
        <f t="shared" si="23"/>
        <v>0</v>
      </c>
      <c r="K199" s="256">
        <f t="shared" si="24"/>
        <v>0</v>
      </c>
      <c r="L199" s="255"/>
    </row>
    <row r="200" spans="1:12">
      <c r="A200" s="255">
        <v>137</v>
      </c>
      <c r="B200" s="256">
        <f t="shared" si="17"/>
        <v>0</v>
      </c>
      <c r="C200" s="256">
        <f t="shared" si="18"/>
        <v>0</v>
      </c>
      <c r="D200" s="256">
        <f t="shared" si="19"/>
        <v>0</v>
      </c>
      <c r="E200" s="256">
        <f t="shared" si="20"/>
        <v>0</v>
      </c>
      <c r="F200" s="255"/>
      <c r="G200" s="255">
        <v>137</v>
      </c>
      <c r="H200" s="256">
        <f t="shared" si="21"/>
        <v>0</v>
      </c>
      <c r="I200" s="256">
        <f t="shared" si="22"/>
        <v>0</v>
      </c>
      <c r="J200" s="256">
        <f t="shared" si="23"/>
        <v>0</v>
      </c>
      <c r="K200" s="256">
        <f t="shared" si="24"/>
        <v>0</v>
      </c>
      <c r="L200" s="255"/>
    </row>
    <row r="201" spans="1:12">
      <c r="A201" s="255">
        <v>138</v>
      </c>
      <c r="B201" s="256">
        <f t="shared" si="17"/>
        <v>0</v>
      </c>
      <c r="C201" s="256">
        <f t="shared" si="18"/>
        <v>0</v>
      </c>
      <c r="D201" s="256">
        <f t="shared" si="19"/>
        <v>0</v>
      </c>
      <c r="E201" s="256">
        <f t="shared" si="20"/>
        <v>0</v>
      </c>
      <c r="F201" s="255"/>
      <c r="G201" s="255">
        <v>138</v>
      </c>
      <c r="H201" s="256">
        <f t="shared" si="21"/>
        <v>0</v>
      </c>
      <c r="I201" s="256">
        <f t="shared" si="22"/>
        <v>0</v>
      </c>
      <c r="J201" s="256">
        <f t="shared" si="23"/>
        <v>0</v>
      </c>
      <c r="K201" s="256">
        <f t="shared" si="24"/>
        <v>0</v>
      </c>
      <c r="L201" s="255"/>
    </row>
    <row r="202" spans="1:12">
      <c r="A202" s="255">
        <v>139</v>
      </c>
      <c r="B202" s="256">
        <f t="shared" si="17"/>
        <v>0</v>
      </c>
      <c r="C202" s="256">
        <f t="shared" si="18"/>
        <v>0</v>
      </c>
      <c r="D202" s="256">
        <f t="shared" si="19"/>
        <v>0</v>
      </c>
      <c r="E202" s="256">
        <f t="shared" si="20"/>
        <v>0</v>
      </c>
      <c r="F202" s="255"/>
      <c r="G202" s="255">
        <v>139</v>
      </c>
      <c r="H202" s="256">
        <f t="shared" si="21"/>
        <v>0</v>
      </c>
      <c r="I202" s="256">
        <f t="shared" si="22"/>
        <v>0</v>
      </c>
      <c r="J202" s="256">
        <f t="shared" si="23"/>
        <v>0</v>
      </c>
      <c r="K202" s="256">
        <f t="shared" si="24"/>
        <v>0</v>
      </c>
      <c r="L202" s="255"/>
    </row>
    <row r="203" spans="1:12">
      <c r="A203" s="255">
        <v>140</v>
      </c>
      <c r="B203" s="256">
        <f t="shared" si="17"/>
        <v>0</v>
      </c>
      <c r="C203" s="256">
        <f t="shared" si="18"/>
        <v>0</v>
      </c>
      <c r="D203" s="256">
        <f t="shared" si="19"/>
        <v>0</v>
      </c>
      <c r="E203" s="256">
        <f t="shared" si="20"/>
        <v>0</v>
      </c>
      <c r="F203" s="255"/>
      <c r="G203" s="255">
        <v>140</v>
      </c>
      <c r="H203" s="256">
        <f t="shared" si="21"/>
        <v>0</v>
      </c>
      <c r="I203" s="256">
        <f t="shared" si="22"/>
        <v>0</v>
      </c>
      <c r="J203" s="256">
        <f t="shared" si="23"/>
        <v>0</v>
      </c>
      <c r="K203" s="256">
        <f t="shared" si="24"/>
        <v>0</v>
      </c>
      <c r="L203" s="255"/>
    </row>
    <row r="204" spans="1:12">
      <c r="A204" s="255">
        <v>141</v>
      </c>
      <c r="B204" s="256">
        <f t="shared" si="17"/>
        <v>0</v>
      </c>
      <c r="C204" s="256">
        <f t="shared" si="18"/>
        <v>0</v>
      </c>
      <c r="D204" s="256">
        <f t="shared" si="19"/>
        <v>0</v>
      </c>
      <c r="E204" s="256">
        <f t="shared" si="20"/>
        <v>0</v>
      </c>
      <c r="F204" s="255"/>
      <c r="G204" s="255">
        <v>141</v>
      </c>
      <c r="H204" s="256">
        <f t="shared" si="21"/>
        <v>0</v>
      </c>
      <c r="I204" s="256">
        <f t="shared" si="22"/>
        <v>0</v>
      </c>
      <c r="J204" s="256">
        <f t="shared" si="23"/>
        <v>0</v>
      </c>
      <c r="K204" s="256">
        <f t="shared" si="24"/>
        <v>0</v>
      </c>
      <c r="L204" s="255"/>
    </row>
    <row r="205" spans="1:12">
      <c r="A205" s="255">
        <v>142</v>
      </c>
      <c r="B205" s="256">
        <f t="shared" si="17"/>
        <v>0</v>
      </c>
      <c r="C205" s="256">
        <f t="shared" si="18"/>
        <v>0</v>
      </c>
      <c r="D205" s="256">
        <f t="shared" si="19"/>
        <v>0</v>
      </c>
      <c r="E205" s="256">
        <f t="shared" si="20"/>
        <v>0</v>
      </c>
      <c r="F205" s="255"/>
      <c r="G205" s="255">
        <v>142</v>
      </c>
      <c r="H205" s="256">
        <f t="shared" si="21"/>
        <v>0</v>
      </c>
      <c r="I205" s="256">
        <f t="shared" si="22"/>
        <v>0</v>
      </c>
      <c r="J205" s="256">
        <f t="shared" si="23"/>
        <v>0</v>
      </c>
      <c r="K205" s="256">
        <f t="shared" si="24"/>
        <v>0</v>
      </c>
      <c r="L205" s="255"/>
    </row>
    <row r="206" spans="1:12">
      <c r="A206" s="255">
        <v>143</v>
      </c>
      <c r="B206" s="256">
        <f t="shared" si="17"/>
        <v>0</v>
      </c>
      <c r="C206" s="256">
        <f t="shared" si="18"/>
        <v>0</v>
      </c>
      <c r="D206" s="256">
        <f t="shared" si="19"/>
        <v>0</v>
      </c>
      <c r="E206" s="256">
        <f t="shared" si="20"/>
        <v>0</v>
      </c>
      <c r="F206" s="255"/>
      <c r="G206" s="255">
        <v>143</v>
      </c>
      <c r="H206" s="256">
        <f t="shared" si="21"/>
        <v>0</v>
      </c>
      <c r="I206" s="256">
        <f t="shared" si="22"/>
        <v>0</v>
      </c>
      <c r="J206" s="256">
        <f t="shared" si="23"/>
        <v>0</v>
      </c>
      <c r="K206" s="256">
        <f t="shared" si="24"/>
        <v>0</v>
      </c>
      <c r="L206" s="255"/>
    </row>
    <row r="207" spans="1:12">
      <c r="A207" s="257">
        <v>144</v>
      </c>
      <c r="B207" s="256">
        <f t="shared" si="17"/>
        <v>0</v>
      </c>
      <c r="C207" s="256">
        <f t="shared" si="18"/>
        <v>0</v>
      </c>
      <c r="D207" s="256">
        <f t="shared" si="19"/>
        <v>0</v>
      </c>
      <c r="E207" s="256">
        <f t="shared" si="20"/>
        <v>0</v>
      </c>
      <c r="F207" s="257">
        <v>12</v>
      </c>
      <c r="G207" s="257">
        <v>144</v>
      </c>
      <c r="H207" s="256">
        <f t="shared" si="21"/>
        <v>0</v>
      </c>
      <c r="I207" s="256">
        <f t="shared" si="22"/>
        <v>0</v>
      </c>
      <c r="J207" s="256">
        <f t="shared" si="23"/>
        <v>0</v>
      </c>
      <c r="K207" s="256">
        <f t="shared" si="24"/>
        <v>0</v>
      </c>
      <c r="L207" s="257">
        <v>12</v>
      </c>
    </row>
    <row r="208" spans="1:12">
      <c r="A208" s="255">
        <v>145</v>
      </c>
      <c r="B208" s="256">
        <f t="shared" si="17"/>
        <v>0</v>
      </c>
      <c r="C208" s="256">
        <f t="shared" si="18"/>
        <v>0</v>
      </c>
      <c r="D208" s="256">
        <f t="shared" si="19"/>
        <v>0</v>
      </c>
      <c r="E208" s="256">
        <f t="shared" si="20"/>
        <v>0</v>
      </c>
      <c r="F208" s="255"/>
      <c r="G208" s="255">
        <v>145</v>
      </c>
      <c r="H208" s="256">
        <f t="shared" si="21"/>
        <v>0</v>
      </c>
      <c r="I208" s="256">
        <f t="shared" si="22"/>
        <v>0</v>
      </c>
      <c r="J208" s="256">
        <f t="shared" si="23"/>
        <v>0</v>
      </c>
      <c r="K208" s="256">
        <f t="shared" si="24"/>
        <v>0</v>
      </c>
      <c r="L208" s="255"/>
    </row>
    <row r="209" spans="1:12" s="235" customFormat="1">
      <c r="A209" s="255">
        <v>146</v>
      </c>
      <c r="B209" s="256">
        <f t="shared" si="17"/>
        <v>0</v>
      </c>
      <c r="C209" s="256">
        <f t="shared" si="18"/>
        <v>0</v>
      </c>
      <c r="D209" s="256">
        <f t="shared" si="19"/>
        <v>0</v>
      </c>
      <c r="E209" s="256">
        <f t="shared" si="20"/>
        <v>0</v>
      </c>
      <c r="F209" s="255"/>
      <c r="G209" s="255">
        <v>146</v>
      </c>
      <c r="H209" s="256">
        <f t="shared" si="21"/>
        <v>0</v>
      </c>
      <c r="I209" s="256">
        <f t="shared" si="22"/>
        <v>0</v>
      </c>
      <c r="J209" s="256">
        <f t="shared" si="23"/>
        <v>0</v>
      </c>
      <c r="K209" s="256">
        <f t="shared" si="24"/>
        <v>0</v>
      </c>
      <c r="L209" s="255"/>
    </row>
    <row r="210" spans="1:12">
      <c r="A210" s="255">
        <v>147</v>
      </c>
      <c r="B210" s="256">
        <f t="shared" si="17"/>
        <v>0</v>
      </c>
      <c r="C210" s="256">
        <f t="shared" si="18"/>
        <v>0</v>
      </c>
      <c r="D210" s="256">
        <f t="shared" si="19"/>
        <v>0</v>
      </c>
      <c r="E210" s="256">
        <f t="shared" si="20"/>
        <v>0</v>
      </c>
      <c r="F210" s="255"/>
      <c r="G210" s="255">
        <v>147</v>
      </c>
      <c r="H210" s="256">
        <f t="shared" si="21"/>
        <v>0</v>
      </c>
      <c r="I210" s="256">
        <f t="shared" si="22"/>
        <v>0</v>
      </c>
      <c r="J210" s="256">
        <f t="shared" si="23"/>
        <v>0</v>
      </c>
      <c r="K210" s="256">
        <f t="shared" si="24"/>
        <v>0</v>
      </c>
      <c r="L210" s="255"/>
    </row>
    <row r="211" spans="1:12">
      <c r="A211" s="255">
        <v>148</v>
      </c>
      <c r="B211" s="256">
        <f t="shared" si="17"/>
        <v>0</v>
      </c>
      <c r="C211" s="256">
        <f t="shared" si="18"/>
        <v>0</v>
      </c>
      <c r="D211" s="256">
        <f t="shared" si="19"/>
        <v>0</v>
      </c>
      <c r="E211" s="256">
        <f t="shared" si="20"/>
        <v>0</v>
      </c>
      <c r="F211" s="255"/>
      <c r="G211" s="255">
        <v>148</v>
      </c>
      <c r="H211" s="256">
        <f t="shared" si="21"/>
        <v>0</v>
      </c>
      <c r="I211" s="256">
        <f t="shared" si="22"/>
        <v>0</v>
      </c>
      <c r="J211" s="256">
        <f t="shared" si="23"/>
        <v>0</v>
      </c>
      <c r="K211" s="256">
        <f t="shared" si="24"/>
        <v>0</v>
      </c>
      <c r="L211" s="255"/>
    </row>
    <row r="212" spans="1:12">
      <c r="A212" s="255">
        <v>149</v>
      </c>
      <c r="B212" s="256">
        <f t="shared" si="17"/>
        <v>0</v>
      </c>
      <c r="C212" s="256">
        <f t="shared" si="18"/>
        <v>0</v>
      </c>
      <c r="D212" s="256">
        <f t="shared" si="19"/>
        <v>0</v>
      </c>
      <c r="E212" s="256">
        <f t="shared" si="20"/>
        <v>0</v>
      </c>
      <c r="F212" s="255"/>
      <c r="G212" s="255">
        <v>149</v>
      </c>
      <c r="H212" s="256">
        <f t="shared" si="21"/>
        <v>0</v>
      </c>
      <c r="I212" s="256">
        <f t="shared" si="22"/>
        <v>0</v>
      </c>
      <c r="J212" s="256">
        <f t="shared" si="23"/>
        <v>0</v>
      </c>
      <c r="K212" s="256">
        <f t="shared" si="24"/>
        <v>0</v>
      </c>
      <c r="L212" s="255"/>
    </row>
    <row r="213" spans="1:12">
      <c r="A213" s="255">
        <v>150</v>
      </c>
      <c r="B213" s="256">
        <f t="shared" si="17"/>
        <v>0</v>
      </c>
      <c r="C213" s="256">
        <f t="shared" si="18"/>
        <v>0</v>
      </c>
      <c r="D213" s="256">
        <f t="shared" si="19"/>
        <v>0</v>
      </c>
      <c r="E213" s="256">
        <f t="shared" si="20"/>
        <v>0</v>
      </c>
      <c r="F213" s="255"/>
      <c r="G213" s="255">
        <v>150</v>
      </c>
      <c r="H213" s="256">
        <f t="shared" si="21"/>
        <v>0</v>
      </c>
      <c r="I213" s="256">
        <f t="shared" si="22"/>
        <v>0</v>
      </c>
      <c r="J213" s="256">
        <f t="shared" si="23"/>
        <v>0</v>
      </c>
      <c r="K213" s="256">
        <f t="shared" si="24"/>
        <v>0</v>
      </c>
      <c r="L213" s="255"/>
    </row>
    <row r="214" spans="1:12">
      <c r="A214" s="255">
        <v>151</v>
      </c>
      <c r="B214" s="256">
        <f t="shared" si="17"/>
        <v>0</v>
      </c>
      <c r="C214" s="256">
        <f t="shared" si="18"/>
        <v>0</v>
      </c>
      <c r="D214" s="256">
        <f t="shared" si="19"/>
        <v>0</v>
      </c>
      <c r="E214" s="256">
        <f t="shared" si="20"/>
        <v>0</v>
      </c>
      <c r="F214" s="255"/>
      <c r="G214" s="255">
        <v>151</v>
      </c>
      <c r="H214" s="256">
        <f t="shared" si="21"/>
        <v>0</v>
      </c>
      <c r="I214" s="256">
        <f t="shared" si="22"/>
        <v>0</v>
      </c>
      <c r="J214" s="256">
        <f t="shared" si="23"/>
        <v>0</v>
      </c>
      <c r="K214" s="256">
        <f t="shared" si="24"/>
        <v>0</v>
      </c>
      <c r="L214" s="255"/>
    </row>
    <row r="215" spans="1:12">
      <c r="A215" s="255">
        <v>152</v>
      </c>
      <c r="B215" s="256">
        <f t="shared" si="17"/>
        <v>0</v>
      </c>
      <c r="C215" s="256">
        <f t="shared" si="18"/>
        <v>0</v>
      </c>
      <c r="D215" s="256">
        <f t="shared" si="19"/>
        <v>0</v>
      </c>
      <c r="E215" s="256">
        <f t="shared" si="20"/>
        <v>0</v>
      </c>
      <c r="F215" s="255"/>
      <c r="G215" s="255">
        <v>152</v>
      </c>
      <c r="H215" s="256">
        <f t="shared" si="21"/>
        <v>0</v>
      </c>
      <c r="I215" s="256">
        <f t="shared" si="22"/>
        <v>0</v>
      </c>
      <c r="J215" s="256">
        <f t="shared" si="23"/>
        <v>0</v>
      </c>
      <c r="K215" s="256">
        <f t="shared" si="24"/>
        <v>0</v>
      </c>
      <c r="L215" s="255"/>
    </row>
    <row r="216" spans="1:12">
      <c r="A216" s="255">
        <v>153</v>
      </c>
      <c r="B216" s="256">
        <f t="shared" si="17"/>
        <v>0</v>
      </c>
      <c r="C216" s="256">
        <f t="shared" si="18"/>
        <v>0</v>
      </c>
      <c r="D216" s="256">
        <f t="shared" si="19"/>
        <v>0</v>
      </c>
      <c r="E216" s="256">
        <f t="shared" si="20"/>
        <v>0</v>
      </c>
      <c r="F216" s="255"/>
      <c r="G216" s="255">
        <v>153</v>
      </c>
      <c r="H216" s="256">
        <f t="shared" si="21"/>
        <v>0</v>
      </c>
      <c r="I216" s="256">
        <f t="shared" si="22"/>
        <v>0</v>
      </c>
      <c r="J216" s="256">
        <f t="shared" si="23"/>
        <v>0</v>
      </c>
      <c r="K216" s="256">
        <f t="shared" si="24"/>
        <v>0</v>
      </c>
      <c r="L216" s="255"/>
    </row>
    <row r="217" spans="1:12">
      <c r="A217" s="255">
        <v>154</v>
      </c>
      <c r="B217" s="256">
        <f t="shared" si="17"/>
        <v>0</v>
      </c>
      <c r="C217" s="256">
        <f t="shared" si="18"/>
        <v>0</v>
      </c>
      <c r="D217" s="256">
        <f t="shared" si="19"/>
        <v>0</v>
      </c>
      <c r="E217" s="256">
        <f t="shared" si="20"/>
        <v>0</v>
      </c>
      <c r="F217" s="255"/>
      <c r="G217" s="255">
        <v>154</v>
      </c>
      <c r="H217" s="256">
        <f t="shared" si="21"/>
        <v>0</v>
      </c>
      <c r="I217" s="256">
        <f t="shared" si="22"/>
        <v>0</v>
      </c>
      <c r="J217" s="256">
        <f t="shared" si="23"/>
        <v>0</v>
      </c>
      <c r="K217" s="256">
        <f t="shared" si="24"/>
        <v>0</v>
      </c>
      <c r="L217" s="255"/>
    </row>
    <row r="218" spans="1:12">
      <c r="A218" s="255">
        <v>155</v>
      </c>
      <c r="B218" s="256">
        <f t="shared" si="17"/>
        <v>0</v>
      </c>
      <c r="C218" s="256">
        <f t="shared" si="18"/>
        <v>0</v>
      </c>
      <c r="D218" s="256">
        <f t="shared" si="19"/>
        <v>0</v>
      </c>
      <c r="E218" s="256">
        <f t="shared" si="20"/>
        <v>0</v>
      </c>
      <c r="F218" s="255"/>
      <c r="G218" s="255">
        <v>155</v>
      </c>
      <c r="H218" s="256">
        <f t="shared" si="21"/>
        <v>0</v>
      </c>
      <c r="I218" s="256">
        <f t="shared" si="22"/>
        <v>0</v>
      </c>
      <c r="J218" s="256">
        <f t="shared" si="23"/>
        <v>0</v>
      </c>
      <c r="K218" s="256">
        <f t="shared" si="24"/>
        <v>0</v>
      </c>
      <c r="L218" s="255"/>
    </row>
    <row r="219" spans="1:12">
      <c r="A219" s="257">
        <v>156</v>
      </c>
      <c r="B219" s="256">
        <f t="shared" si="17"/>
        <v>0</v>
      </c>
      <c r="C219" s="256">
        <f t="shared" si="18"/>
        <v>0</v>
      </c>
      <c r="D219" s="256">
        <f t="shared" si="19"/>
        <v>0</v>
      </c>
      <c r="E219" s="256">
        <f t="shared" si="20"/>
        <v>0</v>
      </c>
      <c r="F219" s="257">
        <v>13</v>
      </c>
      <c r="G219" s="257">
        <v>156</v>
      </c>
      <c r="H219" s="256">
        <f t="shared" si="21"/>
        <v>0</v>
      </c>
      <c r="I219" s="256">
        <f t="shared" si="22"/>
        <v>0</v>
      </c>
      <c r="J219" s="256">
        <f t="shared" si="23"/>
        <v>0</v>
      </c>
      <c r="K219" s="256">
        <f t="shared" si="24"/>
        <v>0</v>
      </c>
      <c r="L219" s="257">
        <v>13</v>
      </c>
    </row>
    <row r="220" spans="1:12">
      <c r="A220" s="255">
        <v>157</v>
      </c>
      <c r="B220" s="256">
        <f t="shared" si="17"/>
        <v>0</v>
      </c>
      <c r="C220" s="256">
        <f t="shared" si="18"/>
        <v>0</v>
      </c>
      <c r="D220" s="256">
        <f t="shared" si="19"/>
        <v>0</v>
      </c>
      <c r="E220" s="256">
        <f t="shared" si="20"/>
        <v>0</v>
      </c>
      <c r="F220" s="255"/>
      <c r="G220" s="255">
        <v>157</v>
      </c>
      <c r="H220" s="256">
        <f t="shared" si="21"/>
        <v>0</v>
      </c>
      <c r="I220" s="256">
        <f t="shared" si="22"/>
        <v>0</v>
      </c>
      <c r="J220" s="256">
        <f t="shared" si="23"/>
        <v>0</v>
      </c>
      <c r="K220" s="256">
        <f t="shared" si="24"/>
        <v>0</v>
      </c>
      <c r="L220" s="255"/>
    </row>
    <row r="221" spans="1:12" s="235" customFormat="1">
      <c r="A221" s="255">
        <v>158</v>
      </c>
      <c r="B221" s="256">
        <f t="shared" si="17"/>
        <v>0</v>
      </c>
      <c r="C221" s="256">
        <f t="shared" si="18"/>
        <v>0</v>
      </c>
      <c r="D221" s="256">
        <f t="shared" si="19"/>
        <v>0</v>
      </c>
      <c r="E221" s="256">
        <f t="shared" si="20"/>
        <v>0</v>
      </c>
      <c r="F221" s="255"/>
      <c r="G221" s="255">
        <v>158</v>
      </c>
      <c r="H221" s="256">
        <f t="shared" si="21"/>
        <v>0</v>
      </c>
      <c r="I221" s="256">
        <f t="shared" si="22"/>
        <v>0</v>
      </c>
      <c r="J221" s="256">
        <f t="shared" si="23"/>
        <v>0</v>
      </c>
      <c r="K221" s="256">
        <f t="shared" si="24"/>
        <v>0</v>
      </c>
      <c r="L221" s="255"/>
    </row>
    <row r="222" spans="1:12">
      <c r="A222" s="255">
        <v>159</v>
      </c>
      <c r="B222" s="256">
        <f t="shared" si="17"/>
        <v>0</v>
      </c>
      <c r="C222" s="256">
        <f t="shared" si="18"/>
        <v>0</v>
      </c>
      <c r="D222" s="256">
        <f t="shared" si="19"/>
        <v>0</v>
      </c>
      <c r="E222" s="256">
        <f t="shared" si="20"/>
        <v>0</v>
      </c>
      <c r="F222" s="255"/>
      <c r="G222" s="255">
        <v>159</v>
      </c>
      <c r="H222" s="256">
        <f t="shared" si="21"/>
        <v>0</v>
      </c>
      <c r="I222" s="256">
        <f t="shared" si="22"/>
        <v>0</v>
      </c>
      <c r="J222" s="256">
        <f t="shared" si="23"/>
        <v>0</v>
      </c>
      <c r="K222" s="256">
        <f t="shared" si="24"/>
        <v>0</v>
      </c>
      <c r="L222" s="255"/>
    </row>
    <row r="223" spans="1:12">
      <c r="A223" s="255">
        <v>160</v>
      </c>
      <c r="B223" s="256">
        <f t="shared" si="17"/>
        <v>0</v>
      </c>
      <c r="C223" s="256">
        <f t="shared" si="18"/>
        <v>0</v>
      </c>
      <c r="D223" s="256">
        <f t="shared" si="19"/>
        <v>0</v>
      </c>
      <c r="E223" s="256">
        <f t="shared" si="20"/>
        <v>0</v>
      </c>
      <c r="F223" s="255"/>
      <c r="G223" s="255">
        <v>160</v>
      </c>
      <c r="H223" s="256">
        <f t="shared" si="21"/>
        <v>0</v>
      </c>
      <c r="I223" s="256">
        <f t="shared" si="22"/>
        <v>0</v>
      </c>
      <c r="J223" s="256">
        <f t="shared" si="23"/>
        <v>0</v>
      </c>
      <c r="K223" s="256">
        <f t="shared" si="24"/>
        <v>0</v>
      </c>
      <c r="L223" s="255"/>
    </row>
    <row r="224" spans="1:12">
      <c r="A224" s="255">
        <v>161</v>
      </c>
      <c r="B224" s="256">
        <f t="shared" si="17"/>
        <v>0</v>
      </c>
      <c r="C224" s="256">
        <f t="shared" si="18"/>
        <v>0</v>
      </c>
      <c r="D224" s="256">
        <f t="shared" si="19"/>
        <v>0</v>
      </c>
      <c r="E224" s="256">
        <f t="shared" si="20"/>
        <v>0</v>
      </c>
      <c r="F224" s="255"/>
      <c r="G224" s="255">
        <v>161</v>
      </c>
      <c r="H224" s="256">
        <f t="shared" si="21"/>
        <v>0</v>
      </c>
      <c r="I224" s="256">
        <f t="shared" si="22"/>
        <v>0</v>
      </c>
      <c r="J224" s="256">
        <f t="shared" si="23"/>
        <v>0</v>
      </c>
      <c r="K224" s="256">
        <f t="shared" si="24"/>
        <v>0</v>
      </c>
      <c r="L224" s="255"/>
    </row>
    <row r="225" spans="1:12">
      <c r="A225" s="255">
        <v>162</v>
      </c>
      <c r="B225" s="256">
        <f t="shared" si="17"/>
        <v>0</v>
      </c>
      <c r="C225" s="256">
        <f t="shared" si="18"/>
        <v>0</v>
      </c>
      <c r="D225" s="256">
        <f t="shared" si="19"/>
        <v>0</v>
      </c>
      <c r="E225" s="256">
        <f t="shared" si="20"/>
        <v>0</v>
      </c>
      <c r="F225" s="255"/>
      <c r="G225" s="255">
        <v>162</v>
      </c>
      <c r="H225" s="256">
        <f t="shared" si="21"/>
        <v>0</v>
      </c>
      <c r="I225" s="256">
        <f t="shared" si="22"/>
        <v>0</v>
      </c>
      <c r="J225" s="256">
        <f t="shared" si="23"/>
        <v>0</v>
      </c>
      <c r="K225" s="256">
        <f t="shared" si="24"/>
        <v>0</v>
      </c>
      <c r="L225" s="255"/>
    </row>
    <row r="226" spans="1:12">
      <c r="A226" s="255">
        <v>163</v>
      </c>
      <c r="B226" s="256">
        <f t="shared" si="17"/>
        <v>0</v>
      </c>
      <c r="C226" s="256">
        <f t="shared" si="18"/>
        <v>0</v>
      </c>
      <c r="D226" s="256">
        <f t="shared" si="19"/>
        <v>0</v>
      </c>
      <c r="E226" s="256">
        <f t="shared" si="20"/>
        <v>0</v>
      </c>
      <c r="F226" s="255"/>
      <c r="G226" s="255">
        <v>163</v>
      </c>
      <c r="H226" s="256">
        <f t="shared" si="21"/>
        <v>0</v>
      </c>
      <c r="I226" s="256">
        <f t="shared" si="22"/>
        <v>0</v>
      </c>
      <c r="J226" s="256">
        <f t="shared" si="23"/>
        <v>0</v>
      </c>
      <c r="K226" s="256">
        <f t="shared" si="24"/>
        <v>0</v>
      </c>
      <c r="L226" s="255"/>
    </row>
    <row r="227" spans="1:12">
      <c r="A227" s="255">
        <v>164</v>
      </c>
      <c r="B227" s="256">
        <f t="shared" si="17"/>
        <v>0</v>
      </c>
      <c r="C227" s="256">
        <f t="shared" si="18"/>
        <v>0</v>
      </c>
      <c r="D227" s="256">
        <f t="shared" si="19"/>
        <v>0</v>
      </c>
      <c r="E227" s="256">
        <f t="shared" si="20"/>
        <v>0</v>
      </c>
      <c r="F227" s="255"/>
      <c r="G227" s="255">
        <v>164</v>
      </c>
      <c r="H227" s="256">
        <f t="shared" si="21"/>
        <v>0</v>
      </c>
      <c r="I227" s="256">
        <f t="shared" si="22"/>
        <v>0</v>
      </c>
      <c r="J227" s="256">
        <f t="shared" si="23"/>
        <v>0</v>
      </c>
      <c r="K227" s="256">
        <f t="shared" si="24"/>
        <v>0</v>
      </c>
      <c r="L227" s="255"/>
    </row>
    <row r="228" spans="1:12">
      <c r="A228" s="255">
        <v>165</v>
      </c>
      <c r="B228" s="256">
        <f t="shared" si="17"/>
        <v>0</v>
      </c>
      <c r="C228" s="256">
        <f t="shared" si="18"/>
        <v>0</v>
      </c>
      <c r="D228" s="256">
        <f t="shared" si="19"/>
        <v>0</v>
      </c>
      <c r="E228" s="256">
        <f t="shared" si="20"/>
        <v>0</v>
      </c>
      <c r="F228" s="255"/>
      <c r="G228" s="255">
        <v>165</v>
      </c>
      <c r="H228" s="256">
        <f t="shared" si="21"/>
        <v>0</v>
      </c>
      <c r="I228" s="256">
        <f t="shared" si="22"/>
        <v>0</v>
      </c>
      <c r="J228" s="256">
        <f t="shared" si="23"/>
        <v>0</v>
      </c>
      <c r="K228" s="256">
        <f t="shared" si="24"/>
        <v>0</v>
      </c>
      <c r="L228" s="255"/>
    </row>
    <row r="229" spans="1:12">
      <c r="A229" s="255">
        <v>166</v>
      </c>
      <c r="B229" s="256">
        <f t="shared" si="17"/>
        <v>0</v>
      </c>
      <c r="C229" s="256">
        <f t="shared" si="18"/>
        <v>0</v>
      </c>
      <c r="D229" s="256">
        <f t="shared" si="19"/>
        <v>0</v>
      </c>
      <c r="E229" s="256">
        <f t="shared" si="20"/>
        <v>0</v>
      </c>
      <c r="F229" s="255"/>
      <c r="G229" s="255">
        <v>166</v>
      </c>
      <c r="H229" s="256">
        <f t="shared" si="21"/>
        <v>0</v>
      </c>
      <c r="I229" s="256">
        <f t="shared" si="22"/>
        <v>0</v>
      </c>
      <c r="J229" s="256">
        <f t="shared" si="23"/>
        <v>0</v>
      </c>
      <c r="K229" s="256">
        <f t="shared" si="24"/>
        <v>0</v>
      </c>
      <c r="L229" s="255"/>
    </row>
    <row r="230" spans="1:12">
      <c r="A230" s="255">
        <v>167</v>
      </c>
      <c r="B230" s="256">
        <f t="shared" si="17"/>
        <v>0</v>
      </c>
      <c r="C230" s="256">
        <f t="shared" si="18"/>
        <v>0</v>
      </c>
      <c r="D230" s="256">
        <f t="shared" si="19"/>
        <v>0</v>
      </c>
      <c r="E230" s="256">
        <f t="shared" si="20"/>
        <v>0</v>
      </c>
      <c r="F230" s="255"/>
      <c r="G230" s="255">
        <v>167</v>
      </c>
      <c r="H230" s="256">
        <f t="shared" si="21"/>
        <v>0</v>
      </c>
      <c r="I230" s="256">
        <f t="shared" si="22"/>
        <v>0</v>
      </c>
      <c r="J230" s="256">
        <f t="shared" si="23"/>
        <v>0</v>
      </c>
      <c r="K230" s="256">
        <f t="shared" si="24"/>
        <v>0</v>
      </c>
      <c r="L230" s="255"/>
    </row>
    <row r="231" spans="1:12">
      <c r="A231" s="257">
        <v>168</v>
      </c>
      <c r="B231" s="256">
        <f t="shared" si="17"/>
        <v>0</v>
      </c>
      <c r="C231" s="256">
        <f t="shared" si="18"/>
        <v>0</v>
      </c>
      <c r="D231" s="256">
        <f t="shared" si="19"/>
        <v>0</v>
      </c>
      <c r="E231" s="256">
        <f t="shared" si="20"/>
        <v>0</v>
      </c>
      <c r="F231" s="257">
        <v>14</v>
      </c>
      <c r="G231" s="257">
        <v>168</v>
      </c>
      <c r="H231" s="256">
        <f t="shared" si="21"/>
        <v>0</v>
      </c>
      <c r="I231" s="256">
        <f t="shared" si="22"/>
        <v>0</v>
      </c>
      <c r="J231" s="256">
        <f t="shared" si="23"/>
        <v>0</v>
      </c>
      <c r="K231" s="256">
        <f t="shared" si="24"/>
        <v>0</v>
      </c>
      <c r="L231" s="257">
        <v>14</v>
      </c>
    </row>
    <row r="232" spans="1:12">
      <c r="A232" s="255">
        <v>169</v>
      </c>
      <c r="B232" s="256">
        <f t="shared" si="17"/>
        <v>0</v>
      </c>
      <c r="C232" s="256">
        <f t="shared" si="18"/>
        <v>0</v>
      </c>
      <c r="D232" s="256">
        <f t="shared" si="19"/>
        <v>0</v>
      </c>
      <c r="E232" s="256">
        <f t="shared" si="20"/>
        <v>0</v>
      </c>
      <c r="F232" s="255"/>
      <c r="G232" s="255">
        <v>169</v>
      </c>
      <c r="H232" s="256">
        <f t="shared" si="21"/>
        <v>0</v>
      </c>
      <c r="I232" s="256">
        <f t="shared" si="22"/>
        <v>0</v>
      </c>
      <c r="J232" s="256">
        <f t="shared" si="23"/>
        <v>0</v>
      </c>
      <c r="K232" s="256">
        <f t="shared" si="24"/>
        <v>0</v>
      </c>
      <c r="L232" s="255"/>
    </row>
    <row r="233" spans="1:12" s="235" customFormat="1">
      <c r="A233" s="255">
        <v>170</v>
      </c>
      <c r="B233" s="256">
        <f t="shared" si="17"/>
        <v>0</v>
      </c>
      <c r="C233" s="256">
        <f t="shared" si="18"/>
        <v>0</v>
      </c>
      <c r="D233" s="256">
        <f t="shared" si="19"/>
        <v>0</v>
      </c>
      <c r="E233" s="256">
        <f t="shared" si="20"/>
        <v>0</v>
      </c>
      <c r="F233" s="255"/>
      <c r="G233" s="255">
        <v>170</v>
      </c>
      <c r="H233" s="256">
        <f t="shared" si="21"/>
        <v>0</v>
      </c>
      <c r="I233" s="256">
        <f t="shared" si="22"/>
        <v>0</v>
      </c>
      <c r="J233" s="256">
        <f t="shared" si="23"/>
        <v>0</v>
      </c>
      <c r="K233" s="256">
        <f t="shared" si="24"/>
        <v>0</v>
      </c>
      <c r="L233" s="255"/>
    </row>
    <row r="234" spans="1:12">
      <c r="A234" s="255">
        <v>171</v>
      </c>
      <c r="B234" s="256">
        <f t="shared" si="17"/>
        <v>0</v>
      </c>
      <c r="C234" s="256">
        <f t="shared" si="18"/>
        <v>0</v>
      </c>
      <c r="D234" s="256">
        <f t="shared" si="19"/>
        <v>0</v>
      </c>
      <c r="E234" s="256">
        <f t="shared" si="20"/>
        <v>0</v>
      </c>
      <c r="F234" s="255"/>
      <c r="G234" s="255">
        <v>171</v>
      </c>
      <c r="H234" s="256">
        <f t="shared" si="21"/>
        <v>0</v>
      </c>
      <c r="I234" s="256">
        <f t="shared" si="22"/>
        <v>0</v>
      </c>
      <c r="J234" s="256">
        <f t="shared" si="23"/>
        <v>0</v>
      </c>
      <c r="K234" s="256">
        <f t="shared" si="24"/>
        <v>0</v>
      </c>
      <c r="L234" s="255"/>
    </row>
    <row r="235" spans="1:12">
      <c r="A235" s="255">
        <v>172</v>
      </c>
      <c r="B235" s="256">
        <f t="shared" si="17"/>
        <v>0</v>
      </c>
      <c r="C235" s="256">
        <f t="shared" si="18"/>
        <v>0</v>
      </c>
      <c r="D235" s="256">
        <f t="shared" si="19"/>
        <v>0</v>
      </c>
      <c r="E235" s="256">
        <f t="shared" si="20"/>
        <v>0</v>
      </c>
      <c r="F235" s="255"/>
      <c r="G235" s="255">
        <v>172</v>
      </c>
      <c r="H235" s="256">
        <f t="shared" si="21"/>
        <v>0</v>
      </c>
      <c r="I235" s="256">
        <f t="shared" si="22"/>
        <v>0</v>
      </c>
      <c r="J235" s="256">
        <f t="shared" si="23"/>
        <v>0</v>
      </c>
      <c r="K235" s="256">
        <f t="shared" si="24"/>
        <v>0</v>
      </c>
      <c r="L235" s="255"/>
    </row>
    <row r="236" spans="1:12">
      <c r="A236" s="255">
        <v>173</v>
      </c>
      <c r="B236" s="256">
        <f t="shared" si="17"/>
        <v>0</v>
      </c>
      <c r="C236" s="256">
        <f t="shared" si="18"/>
        <v>0</v>
      </c>
      <c r="D236" s="256">
        <f t="shared" si="19"/>
        <v>0</v>
      </c>
      <c r="E236" s="256">
        <f t="shared" si="20"/>
        <v>0</v>
      </c>
      <c r="F236" s="255"/>
      <c r="G236" s="255">
        <v>173</v>
      </c>
      <c r="H236" s="256">
        <f t="shared" si="21"/>
        <v>0</v>
      </c>
      <c r="I236" s="256">
        <f t="shared" si="22"/>
        <v>0</v>
      </c>
      <c r="J236" s="256">
        <f t="shared" si="23"/>
        <v>0</v>
      </c>
      <c r="K236" s="256">
        <f t="shared" si="24"/>
        <v>0</v>
      </c>
      <c r="L236" s="255"/>
    </row>
    <row r="237" spans="1:12">
      <c r="A237" s="255">
        <v>174</v>
      </c>
      <c r="B237" s="256">
        <f t="shared" si="17"/>
        <v>0</v>
      </c>
      <c r="C237" s="256">
        <f t="shared" si="18"/>
        <v>0</v>
      </c>
      <c r="D237" s="256">
        <f t="shared" si="19"/>
        <v>0</v>
      </c>
      <c r="E237" s="256">
        <f t="shared" si="20"/>
        <v>0</v>
      </c>
      <c r="F237" s="255"/>
      <c r="G237" s="255">
        <v>174</v>
      </c>
      <c r="H237" s="256">
        <f t="shared" si="21"/>
        <v>0</v>
      </c>
      <c r="I237" s="256">
        <f t="shared" si="22"/>
        <v>0</v>
      </c>
      <c r="J237" s="256">
        <f t="shared" si="23"/>
        <v>0</v>
      </c>
      <c r="K237" s="256">
        <f t="shared" si="24"/>
        <v>0</v>
      </c>
      <c r="L237" s="255"/>
    </row>
    <row r="238" spans="1:12">
      <c r="A238" s="255">
        <v>175</v>
      </c>
      <c r="B238" s="256">
        <f t="shared" si="17"/>
        <v>0</v>
      </c>
      <c r="C238" s="256">
        <f t="shared" si="18"/>
        <v>0</v>
      </c>
      <c r="D238" s="256">
        <f t="shared" si="19"/>
        <v>0</v>
      </c>
      <c r="E238" s="256">
        <f t="shared" si="20"/>
        <v>0</v>
      </c>
      <c r="F238" s="255"/>
      <c r="G238" s="255">
        <v>175</v>
      </c>
      <c r="H238" s="256">
        <f t="shared" si="21"/>
        <v>0</v>
      </c>
      <c r="I238" s="256">
        <f t="shared" si="22"/>
        <v>0</v>
      </c>
      <c r="J238" s="256">
        <f t="shared" si="23"/>
        <v>0</v>
      </c>
      <c r="K238" s="256">
        <f t="shared" si="24"/>
        <v>0</v>
      </c>
      <c r="L238" s="255"/>
    </row>
    <row r="239" spans="1:12">
      <c r="A239" s="255">
        <v>176</v>
      </c>
      <c r="B239" s="256">
        <f t="shared" si="17"/>
        <v>0</v>
      </c>
      <c r="C239" s="256">
        <f t="shared" si="18"/>
        <v>0</v>
      </c>
      <c r="D239" s="256">
        <f t="shared" si="19"/>
        <v>0</v>
      </c>
      <c r="E239" s="256">
        <f t="shared" si="20"/>
        <v>0</v>
      </c>
      <c r="F239" s="255"/>
      <c r="G239" s="255">
        <v>176</v>
      </c>
      <c r="H239" s="256">
        <f t="shared" si="21"/>
        <v>0</v>
      </c>
      <c r="I239" s="256">
        <f t="shared" si="22"/>
        <v>0</v>
      </c>
      <c r="J239" s="256">
        <f t="shared" si="23"/>
        <v>0</v>
      </c>
      <c r="K239" s="256">
        <f t="shared" si="24"/>
        <v>0</v>
      </c>
      <c r="L239" s="255"/>
    </row>
    <row r="240" spans="1:12">
      <c r="A240" s="255">
        <v>177</v>
      </c>
      <c r="B240" s="256">
        <f t="shared" si="17"/>
        <v>0</v>
      </c>
      <c r="C240" s="256">
        <f t="shared" si="18"/>
        <v>0</v>
      </c>
      <c r="D240" s="256">
        <f t="shared" si="19"/>
        <v>0</v>
      </c>
      <c r="E240" s="256">
        <f t="shared" si="20"/>
        <v>0</v>
      </c>
      <c r="F240" s="255"/>
      <c r="G240" s="255">
        <v>177</v>
      </c>
      <c r="H240" s="256">
        <f t="shared" si="21"/>
        <v>0</v>
      </c>
      <c r="I240" s="256">
        <f t="shared" si="22"/>
        <v>0</v>
      </c>
      <c r="J240" s="256">
        <f t="shared" si="23"/>
        <v>0</v>
      </c>
      <c r="K240" s="256">
        <f t="shared" si="24"/>
        <v>0</v>
      </c>
      <c r="L240" s="255"/>
    </row>
    <row r="241" spans="1:12">
      <c r="A241" s="255">
        <v>178</v>
      </c>
      <c r="B241" s="256">
        <f t="shared" si="17"/>
        <v>0</v>
      </c>
      <c r="C241" s="256">
        <f t="shared" si="18"/>
        <v>0</v>
      </c>
      <c r="D241" s="256">
        <f t="shared" si="19"/>
        <v>0</v>
      </c>
      <c r="E241" s="256">
        <f t="shared" si="20"/>
        <v>0</v>
      </c>
      <c r="F241" s="255"/>
      <c r="G241" s="255">
        <v>178</v>
      </c>
      <c r="H241" s="256">
        <f t="shared" si="21"/>
        <v>0</v>
      </c>
      <c r="I241" s="256">
        <f t="shared" si="22"/>
        <v>0</v>
      </c>
      <c r="J241" s="256">
        <f t="shared" si="23"/>
        <v>0</v>
      </c>
      <c r="K241" s="256">
        <f t="shared" si="24"/>
        <v>0</v>
      </c>
      <c r="L241" s="255"/>
    </row>
    <row r="242" spans="1:12">
      <c r="A242" s="255">
        <v>179</v>
      </c>
      <c r="B242" s="256">
        <f t="shared" si="17"/>
        <v>0</v>
      </c>
      <c r="C242" s="256">
        <f t="shared" si="18"/>
        <v>0</v>
      </c>
      <c r="D242" s="256">
        <f t="shared" si="19"/>
        <v>0</v>
      </c>
      <c r="E242" s="256">
        <f t="shared" si="20"/>
        <v>0</v>
      </c>
      <c r="F242" s="255"/>
      <c r="G242" s="255">
        <v>179</v>
      </c>
      <c r="H242" s="256">
        <f t="shared" si="21"/>
        <v>0</v>
      </c>
      <c r="I242" s="256">
        <f t="shared" si="22"/>
        <v>0</v>
      </c>
      <c r="J242" s="256">
        <f t="shared" si="23"/>
        <v>0</v>
      </c>
      <c r="K242" s="256">
        <f t="shared" si="24"/>
        <v>0</v>
      </c>
      <c r="L242" s="255"/>
    </row>
    <row r="243" spans="1:12">
      <c r="A243" s="257">
        <v>180</v>
      </c>
      <c r="B243" s="256">
        <f t="shared" si="17"/>
        <v>0</v>
      </c>
      <c r="C243" s="256">
        <f t="shared" si="18"/>
        <v>0</v>
      </c>
      <c r="D243" s="256">
        <f t="shared" si="19"/>
        <v>0</v>
      </c>
      <c r="E243" s="256">
        <f t="shared" si="20"/>
        <v>0</v>
      </c>
      <c r="F243" s="257">
        <v>15</v>
      </c>
      <c r="G243" s="257">
        <v>180</v>
      </c>
      <c r="H243" s="256">
        <f t="shared" si="21"/>
        <v>0</v>
      </c>
      <c r="I243" s="256">
        <f t="shared" si="22"/>
        <v>0</v>
      </c>
      <c r="J243" s="256">
        <f t="shared" si="23"/>
        <v>0</v>
      </c>
      <c r="K243" s="256">
        <f t="shared" si="24"/>
        <v>0</v>
      </c>
      <c r="L243" s="257">
        <v>15</v>
      </c>
    </row>
    <row r="244" spans="1:12">
      <c r="A244" s="255">
        <v>181</v>
      </c>
      <c r="B244" s="256">
        <f t="shared" si="17"/>
        <v>0</v>
      </c>
      <c r="C244" s="256">
        <f t="shared" si="18"/>
        <v>0</v>
      </c>
      <c r="D244" s="256">
        <f t="shared" si="19"/>
        <v>0</v>
      </c>
      <c r="E244" s="256">
        <f t="shared" si="20"/>
        <v>0</v>
      </c>
      <c r="F244" s="255"/>
      <c r="G244" s="255">
        <v>181</v>
      </c>
      <c r="H244" s="256">
        <f t="shared" si="21"/>
        <v>0</v>
      </c>
      <c r="I244" s="256">
        <f t="shared" si="22"/>
        <v>0</v>
      </c>
      <c r="J244" s="256">
        <f t="shared" si="23"/>
        <v>0</v>
      </c>
      <c r="K244" s="256">
        <f t="shared" si="24"/>
        <v>0</v>
      </c>
      <c r="L244" s="255"/>
    </row>
    <row r="245" spans="1:12" s="235" customFormat="1">
      <c r="A245" s="257">
        <v>182</v>
      </c>
      <c r="B245" s="256">
        <f t="shared" si="17"/>
        <v>0</v>
      </c>
      <c r="C245" s="256">
        <f t="shared" si="18"/>
        <v>0</v>
      </c>
      <c r="D245" s="256">
        <f t="shared" si="19"/>
        <v>0</v>
      </c>
      <c r="E245" s="256">
        <f t="shared" si="20"/>
        <v>0</v>
      </c>
      <c r="F245" s="255"/>
      <c r="G245" s="257">
        <v>182</v>
      </c>
      <c r="H245" s="256">
        <f t="shared" si="21"/>
        <v>0</v>
      </c>
      <c r="I245" s="256">
        <f t="shared" si="22"/>
        <v>0</v>
      </c>
      <c r="J245" s="256">
        <f t="shared" si="23"/>
        <v>0</v>
      </c>
      <c r="K245" s="256">
        <f t="shared" si="24"/>
        <v>0</v>
      </c>
      <c r="L245" s="255"/>
    </row>
    <row r="246" spans="1:12">
      <c r="A246" s="257">
        <v>183</v>
      </c>
      <c r="B246" s="256">
        <f t="shared" si="17"/>
        <v>0</v>
      </c>
      <c r="C246" s="256">
        <f t="shared" si="18"/>
        <v>0</v>
      </c>
      <c r="D246" s="256">
        <f t="shared" si="19"/>
        <v>0</v>
      </c>
      <c r="E246" s="256">
        <f t="shared" si="20"/>
        <v>0</v>
      </c>
      <c r="F246" s="255"/>
      <c r="G246" s="257">
        <v>183</v>
      </c>
      <c r="H246" s="256">
        <f t="shared" si="21"/>
        <v>0</v>
      </c>
      <c r="I246" s="256">
        <f t="shared" si="22"/>
        <v>0</v>
      </c>
      <c r="J246" s="256">
        <f t="shared" si="23"/>
        <v>0</v>
      </c>
      <c r="K246" s="256">
        <f t="shared" si="24"/>
        <v>0</v>
      </c>
      <c r="L246" s="255"/>
    </row>
    <row r="247" spans="1:12">
      <c r="A247" s="257">
        <v>184</v>
      </c>
      <c r="B247" s="256">
        <f t="shared" si="17"/>
        <v>0</v>
      </c>
      <c r="C247" s="256">
        <f t="shared" si="18"/>
        <v>0</v>
      </c>
      <c r="D247" s="256">
        <f t="shared" si="19"/>
        <v>0</v>
      </c>
      <c r="E247" s="256">
        <f t="shared" si="20"/>
        <v>0</v>
      </c>
      <c r="F247" s="255"/>
      <c r="G247" s="257">
        <v>184</v>
      </c>
      <c r="H247" s="256">
        <f t="shared" si="21"/>
        <v>0</v>
      </c>
      <c r="I247" s="256">
        <f t="shared" si="22"/>
        <v>0</v>
      </c>
      <c r="J247" s="256">
        <f t="shared" si="23"/>
        <v>0</v>
      </c>
      <c r="K247" s="256">
        <f t="shared" si="24"/>
        <v>0</v>
      </c>
      <c r="L247" s="255"/>
    </row>
    <row r="248" spans="1:12">
      <c r="A248" s="257">
        <v>185</v>
      </c>
      <c r="B248" s="256">
        <f t="shared" si="17"/>
        <v>0</v>
      </c>
      <c r="C248" s="256">
        <f t="shared" si="18"/>
        <v>0</v>
      </c>
      <c r="D248" s="256">
        <f t="shared" si="19"/>
        <v>0</v>
      </c>
      <c r="E248" s="256">
        <f t="shared" si="20"/>
        <v>0</v>
      </c>
      <c r="F248" s="255"/>
      <c r="G248" s="257">
        <v>185</v>
      </c>
      <c r="H248" s="256">
        <f t="shared" si="21"/>
        <v>0</v>
      </c>
      <c r="I248" s="256">
        <f t="shared" si="22"/>
        <v>0</v>
      </c>
      <c r="J248" s="256">
        <f t="shared" si="23"/>
        <v>0</v>
      </c>
      <c r="K248" s="256">
        <f t="shared" si="24"/>
        <v>0</v>
      </c>
      <c r="L248" s="255"/>
    </row>
    <row r="249" spans="1:12">
      <c r="A249" s="257">
        <v>186</v>
      </c>
      <c r="B249" s="256">
        <f t="shared" si="17"/>
        <v>0</v>
      </c>
      <c r="C249" s="256">
        <f t="shared" si="18"/>
        <v>0</v>
      </c>
      <c r="D249" s="256">
        <f t="shared" si="19"/>
        <v>0</v>
      </c>
      <c r="E249" s="256">
        <f t="shared" si="20"/>
        <v>0</v>
      </c>
      <c r="F249" s="255"/>
      <c r="G249" s="257">
        <v>186</v>
      </c>
      <c r="H249" s="256">
        <f t="shared" si="21"/>
        <v>0</v>
      </c>
      <c r="I249" s="256">
        <f t="shared" si="22"/>
        <v>0</v>
      </c>
      <c r="J249" s="256">
        <f t="shared" si="23"/>
        <v>0</v>
      </c>
      <c r="K249" s="256">
        <f t="shared" si="24"/>
        <v>0</v>
      </c>
      <c r="L249" s="255"/>
    </row>
    <row r="250" spans="1:12">
      <c r="A250" s="257">
        <v>187</v>
      </c>
      <c r="B250" s="256">
        <f t="shared" si="17"/>
        <v>0</v>
      </c>
      <c r="C250" s="256">
        <f t="shared" si="18"/>
        <v>0</v>
      </c>
      <c r="D250" s="256">
        <f t="shared" si="19"/>
        <v>0</v>
      </c>
      <c r="E250" s="256">
        <f t="shared" si="20"/>
        <v>0</v>
      </c>
      <c r="F250" s="255"/>
      <c r="G250" s="257">
        <v>187</v>
      </c>
      <c r="H250" s="256">
        <f t="shared" si="21"/>
        <v>0</v>
      </c>
      <c r="I250" s="256">
        <f t="shared" si="22"/>
        <v>0</v>
      </c>
      <c r="J250" s="256">
        <f t="shared" si="23"/>
        <v>0</v>
      </c>
      <c r="K250" s="256">
        <f t="shared" si="24"/>
        <v>0</v>
      </c>
      <c r="L250" s="255"/>
    </row>
    <row r="251" spans="1:12">
      <c r="A251" s="257">
        <v>188</v>
      </c>
      <c r="B251" s="256">
        <f t="shared" si="17"/>
        <v>0</v>
      </c>
      <c r="C251" s="256">
        <f t="shared" si="18"/>
        <v>0</v>
      </c>
      <c r="D251" s="256">
        <f t="shared" si="19"/>
        <v>0</v>
      </c>
      <c r="E251" s="256">
        <f t="shared" si="20"/>
        <v>0</v>
      </c>
      <c r="F251" s="255"/>
      <c r="G251" s="257">
        <v>188</v>
      </c>
      <c r="H251" s="256">
        <f t="shared" si="21"/>
        <v>0</v>
      </c>
      <c r="I251" s="256">
        <f t="shared" si="22"/>
        <v>0</v>
      </c>
      <c r="J251" s="256">
        <f t="shared" si="23"/>
        <v>0</v>
      </c>
      <c r="K251" s="256">
        <f t="shared" si="24"/>
        <v>0</v>
      </c>
      <c r="L251" s="255"/>
    </row>
    <row r="252" spans="1:12">
      <c r="A252" s="257">
        <v>189</v>
      </c>
      <c r="B252" s="256">
        <f t="shared" si="17"/>
        <v>0</v>
      </c>
      <c r="C252" s="256">
        <f t="shared" si="18"/>
        <v>0</v>
      </c>
      <c r="D252" s="256">
        <f t="shared" si="19"/>
        <v>0</v>
      </c>
      <c r="E252" s="256">
        <f t="shared" si="20"/>
        <v>0</v>
      </c>
      <c r="F252" s="255"/>
      <c r="G252" s="257">
        <v>189</v>
      </c>
      <c r="H252" s="256">
        <f t="shared" si="21"/>
        <v>0</v>
      </c>
      <c r="I252" s="256">
        <f t="shared" si="22"/>
        <v>0</v>
      </c>
      <c r="J252" s="256">
        <f t="shared" si="23"/>
        <v>0</v>
      </c>
      <c r="K252" s="256">
        <f t="shared" si="24"/>
        <v>0</v>
      </c>
      <c r="L252" s="255"/>
    </row>
    <row r="253" spans="1:12">
      <c r="A253" s="257">
        <v>190</v>
      </c>
      <c r="B253" s="256">
        <f t="shared" si="17"/>
        <v>0</v>
      </c>
      <c r="C253" s="256">
        <f t="shared" si="18"/>
        <v>0</v>
      </c>
      <c r="D253" s="256">
        <f t="shared" si="19"/>
        <v>0</v>
      </c>
      <c r="E253" s="256">
        <f t="shared" si="20"/>
        <v>0</v>
      </c>
      <c r="F253" s="255"/>
      <c r="G253" s="257">
        <v>190</v>
      </c>
      <c r="H253" s="256">
        <f t="shared" si="21"/>
        <v>0</v>
      </c>
      <c r="I253" s="256">
        <f t="shared" si="22"/>
        <v>0</v>
      </c>
      <c r="J253" s="256">
        <f t="shared" si="23"/>
        <v>0</v>
      </c>
      <c r="K253" s="256">
        <f t="shared" si="24"/>
        <v>0</v>
      </c>
      <c r="L253" s="255"/>
    </row>
    <row r="254" spans="1:12">
      <c r="A254" s="257">
        <v>191</v>
      </c>
      <c r="B254" s="256">
        <f t="shared" si="17"/>
        <v>0</v>
      </c>
      <c r="C254" s="256">
        <f t="shared" si="18"/>
        <v>0</v>
      </c>
      <c r="D254" s="256">
        <f t="shared" si="19"/>
        <v>0</v>
      </c>
      <c r="E254" s="256">
        <f t="shared" si="20"/>
        <v>0</v>
      </c>
      <c r="F254" s="255"/>
      <c r="G254" s="257">
        <v>191</v>
      </c>
      <c r="H254" s="256">
        <f t="shared" si="21"/>
        <v>0</v>
      </c>
      <c r="I254" s="256">
        <f t="shared" si="22"/>
        <v>0</v>
      </c>
      <c r="J254" s="256">
        <f t="shared" si="23"/>
        <v>0</v>
      </c>
      <c r="K254" s="256">
        <f t="shared" si="24"/>
        <v>0</v>
      </c>
      <c r="L254" s="255"/>
    </row>
    <row r="255" spans="1:12">
      <c r="A255" s="257">
        <v>192</v>
      </c>
      <c r="B255" s="256">
        <f t="shared" si="17"/>
        <v>0</v>
      </c>
      <c r="C255" s="256">
        <f t="shared" si="18"/>
        <v>0</v>
      </c>
      <c r="D255" s="256">
        <f t="shared" si="19"/>
        <v>0</v>
      </c>
      <c r="E255" s="256">
        <f t="shared" si="20"/>
        <v>0</v>
      </c>
      <c r="F255" s="255">
        <v>16</v>
      </c>
      <c r="G255" s="257">
        <v>192</v>
      </c>
      <c r="H255" s="256">
        <f t="shared" si="21"/>
        <v>0</v>
      </c>
      <c r="I255" s="256">
        <f t="shared" si="22"/>
        <v>0</v>
      </c>
      <c r="J255" s="256">
        <f t="shared" si="23"/>
        <v>0</v>
      </c>
      <c r="K255" s="256">
        <f t="shared" si="24"/>
        <v>0</v>
      </c>
      <c r="L255" s="255">
        <v>16</v>
      </c>
    </row>
    <row r="256" spans="1:12">
      <c r="A256" s="257">
        <v>193</v>
      </c>
      <c r="B256" s="256">
        <f t="shared" ref="B256:B319" si="25">IF(A256&gt;12*$C$9,0,IF($C$5&gt;1500000,$D$12,$C$12))</f>
        <v>0</v>
      </c>
      <c r="C256" s="256">
        <f t="shared" ref="C256:C319" si="26">IF(A256&gt;12*$C$9,0,E255*$C$7/12)</f>
        <v>0</v>
      </c>
      <c r="D256" s="256">
        <f t="shared" ref="D256:D319" si="27">IF(A256&gt;12*$C$9,0,B256-C256)</f>
        <v>0</v>
      </c>
      <c r="E256" s="256">
        <f t="shared" ref="E256:E319" si="28">IF(A256&gt;12*$C$9,0,E255-D256)</f>
        <v>0</v>
      </c>
      <c r="F256" s="255"/>
      <c r="G256" s="257">
        <v>193</v>
      </c>
      <c r="H256" s="256">
        <f t="shared" ref="H256:H319" si="29">IF(G256&gt;12*$C$9,0,IF($C$5&gt;1500000,$E$12,0))</f>
        <v>0</v>
      </c>
      <c r="I256" s="256">
        <f t="shared" ref="I256:I319" si="30">IF(G256&gt;12*$C$9,0,K255*$C$7/12)</f>
        <v>0</v>
      </c>
      <c r="J256" s="256">
        <f t="shared" ref="J256:J319" si="31">IF(G256&gt;12*$C$9,0,H256-I256)</f>
        <v>0</v>
      </c>
      <c r="K256" s="256">
        <f t="shared" ref="K256:K319" si="32">IF(G256&gt;12*$C$9,0,K255-J256)</f>
        <v>0</v>
      </c>
      <c r="L256" s="255"/>
    </row>
    <row r="257" spans="1:12">
      <c r="A257" s="257">
        <v>194</v>
      </c>
      <c r="B257" s="256">
        <f t="shared" si="25"/>
        <v>0</v>
      </c>
      <c r="C257" s="256">
        <f t="shared" si="26"/>
        <v>0</v>
      </c>
      <c r="D257" s="256">
        <f t="shared" si="27"/>
        <v>0</v>
      </c>
      <c r="E257" s="256">
        <f t="shared" si="28"/>
        <v>0</v>
      </c>
      <c r="F257" s="255"/>
      <c r="G257" s="257">
        <v>194</v>
      </c>
      <c r="H257" s="256">
        <f t="shared" si="29"/>
        <v>0</v>
      </c>
      <c r="I257" s="256">
        <f t="shared" si="30"/>
        <v>0</v>
      </c>
      <c r="J257" s="256">
        <f t="shared" si="31"/>
        <v>0</v>
      </c>
      <c r="K257" s="256">
        <f t="shared" si="32"/>
        <v>0</v>
      </c>
      <c r="L257" s="255"/>
    </row>
    <row r="258" spans="1:12">
      <c r="A258" s="257">
        <v>195</v>
      </c>
      <c r="B258" s="256">
        <f t="shared" si="25"/>
        <v>0</v>
      </c>
      <c r="C258" s="256">
        <f t="shared" si="26"/>
        <v>0</v>
      </c>
      <c r="D258" s="256">
        <f t="shared" si="27"/>
        <v>0</v>
      </c>
      <c r="E258" s="256">
        <f t="shared" si="28"/>
        <v>0</v>
      </c>
      <c r="F258" s="255"/>
      <c r="G258" s="257">
        <v>195</v>
      </c>
      <c r="H258" s="256">
        <f t="shared" si="29"/>
        <v>0</v>
      </c>
      <c r="I258" s="256">
        <f t="shared" si="30"/>
        <v>0</v>
      </c>
      <c r="J258" s="256">
        <f t="shared" si="31"/>
        <v>0</v>
      </c>
      <c r="K258" s="256">
        <f t="shared" si="32"/>
        <v>0</v>
      </c>
      <c r="L258" s="255"/>
    </row>
    <row r="259" spans="1:12">
      <c r="A259" s="257">
        <v>196</v>
      </c>
      <c r="B259" s="256">
        <f t="shared" si="25"/>
        <v>0</v>
      </c>
      <c r="C259" s="256">
        <f t="shared" si="26"/>
        <v>0</v>
      </c>
      <c r="D259" s="256">
        <f t="shared" si="27"/>
        <v>0</v>
      </c>
      <c r="E259" s="256">
        <f t="shared" si="28"/>
        <v>0</v>
      </c>
      <c r="F259" s="255"/>
      <c r="G259" s="257">
        <v>196</v>
      </c>
      <c r="H259" s="256">
        <f t="shared" si="29"/>
        <v>0</v>
      </c>
      <c r="I259" s="256">
        <f t="shared" si="30"/>
        <v>0</v>
      </c>
      <c r="J259" s="256">
        <f t="shared" si="31"/>
        <v>0</v>
      </c>
      <c r="K259" s="256">
        <f t="shared" si="32"/>
        <v>0</v>
      </c>
      <c r="L259" s="255"/>
    </row>
    <row r="260" spans="1:12">
      <c r="A260" s="257">
        <v>197</v>
      </c>
      <c r="B260" s="256">
        <f t="shared" si="25"/>
        <v>0</v>
      </c>
      <c r="C260" s="256">
        <f t="shared" si="26"/>
        <v>0</v>
      </c>
      <c r="D260" s="256">
        <f t="shared" si="27"/>
        <v>0</v>
      </c>
      <c r="E260" s="256">
        <f t="shared" si="28"/>
        <v>0</v>
      </c>
      <c r="F260" s="255"/>
      <c r="G260" s="257">
        <v>197</v>
      </c>
      <c r="H260" s="256">
        <f t="shared" si="29"/>
        <v>0</v>
      </c>
      <c r="I260" s="256">
        <f t="shared" si="30"/>
        <v>0</v>
      </c>
      <c r="J260" s="256">
        <f t="shared" si="31"/>
        <v>0</v>
      </c>
      <c r="K260" s="256">
        <f t="shared" si="32"/>
        <v>0</v>
      </c>
      <c r="L260" s="255"/>
    </row>
    <row r="261" spans="1:12">
      <c r="A261" s="257">
        <v>198</v>
      </c>
      <c r="B261" s="256">
        <f t="shared" si="25"/>
        <v>0</v>
      </c>
      <c r="C261" s="256">
        <f t="shared" si="26"/>
        <v>0</v>
      </c>
      <c r="D261" s="256">
        <f t="shared" si="27"/>
        <v>0</v>
      </c>
      <c r="E261" s="256">
        <f t="shared" si="28"/>
        <v>0</v>
      </c>
      <c r="F261" s="255"/>
      <c r="G261" s="257">
        <v>198</v>
      </c>
      <c r="H261" s="256">
        <f t="shared" si="29"/>
        <v>0</v>
      </c>
      <c r="I261" s="256">
        <f t="shared" si="30"/>
        <v>0</v>
      </c>
      <c r="J261" s="256">
        <f t="shared" si="31"/>
        <v>0</v>
      </c>
      <c r="K261" s="256">
        <f t="shared" si="32"/>
        <v>0</v>
      </c>
      <c r="L261" s="255"/>
    </row>
    <row r="262" spans="1:12">
      <c r="A262" s="257">
        <v>199</v>
      </c>
      <c r="B262" s="256">
        <f t="shared" si="25"/>
        <v>0</v>
      </c>
      <c r="C262" s="256">
        <f t="shared" si="26"/>
        <v>0</v>
      </c>
      <c r="D262" s="256">
        <f t="shared" si="27"/>
        <v>0</v>
      </c>
      <c r="E262" s="256">
        <f t="shared" si="28"/>
        <v>0</v>
      </c>
      <c r="F262" s="255"/>
      <c r="G262" s="257">
        <v>199</v>
      </c>
      <c r="H262" s="256">
        <f t="shared" si="29"/>
        <v>0</v>
      </c>
      <c r="I262" s="256">
        <f t="shared" si="30"/>
        <v>0</v>
      </c>
      <c r="J262" s="256">
        <f t="shared" si="31"/>
        <v>0</v>
      </c>
      <c r="K262" s="256">
        <f t="shared" si="32"/>
        <v>0</v>
      </c>
      <c r="L262" s="255"/>
    </row>
    <row r="263" spans="1:12">
      <c r="A263" s="257">
        <v>200</v>
      </c>
      <c r="B263" s="256">
        <f t="shared" si="25"/>
        <v>0</v>
      </c>
      <c r="C263" s="256">
        <f t="shared" si="26"/>
        <v>0</v>
      </c>
      <c r="D263" s="256">
        <f t="shared" si="27"/>
        <v>0</v>
      </c>
      <c r="E263" s="256">
        <f t="shared" si="28"/>
        <v>0</v>
      </c>
      <c r="F263" s="255"/>
      <c r="G263" s="257">
        <v>200</v>
      </c>
      <c r="H263" s="256">
        <f t="shared" si="29"/>
        <v>0</v>
      </c>
      <c r="I263" s="256">
        <f t="shared" si="30"/>
        <v>0</v>
      </c>
      <c r="J263" s="256">
        <f t="shared" si="31"/>
        <v>0</v>
      </c>
      <c r="K263" s="256">
        <f t="shared" si="32"/>
        <v>0</v>
      </c>
      <c r="L263" s="255"/>
    </row>
    <row r="264" spans="1:12">
      <c r="A264" s="257">
        <v>201</v>
      </c>
      <c r="B264" s="256">
        <f t="shared" si="25"/>
        <v>0</v>
      </c>
      <c r="C264" s="256">
        <f t="shared" si="26"/>
        <v>0</v>
      </c>
      <c r="D264" s="256">
        <f t="shared" si="27"/>
        <v>0</v>
      </c>
      <c r="E264" s="256">
        <f t="shared" si="28"/>
        <v>0</v>
      </c>
      <c r="F264" s="255"/>
      <c r="G264" s="257">
        <v>201</v>
      </c>
      <c r="H264" s="256">
        <f t="shared" si="29"/>
        <v>0</v>
      </c>
      <c r="I264" s="256">
        <f t="shared" si="30"/>
        <v>0</v>
      </c>
      <c r="J264" s="256">
        <f t="shared" si="31"/>
        <v>0</v>
      </c>
      <c r="K264" s="256">
        <f t="shared" si="32"/>
        <v>0</v>
      </c>
      <c r="L264" s="255"/>
    </row>
    <row r="265" spans="1:12">
      <c r="A265" s="257">
        <v>202</v>
      </c>
      <c r="B265" s="256">
        <f t="shared" si="25"/>
        <v>0</v>
      </c>
      <c r="C265" s="256">
        <f t="shared" si="26"/>
        <v>0</v>
      </c>
      <c r="D265" s="256">
        <f t="shared" si="27"/>
        <v>0</v>
      </c>
      <c r="E265" s="256">
        <f t="shared" si="28"/>
        <v>0</v>
      </c>
      <c r="F265" s="255"/>
      <c r="G265" s="257">
        <v>202</v>
      </c>
      <c r="H265" s="256">
        <f t="shared" si="29"/>
        <v>0</v>
      </c>
      <c r="I265" s="256">
        <f t="shared" si="30"/>
        <v>0</v>
      </c>
      <c r="J265" s="256">
        <f t="shared" si="31"/>
        <v>0</v>
      </c>
      <c r="K265" s="256">
        <f t="shared" si="32"/>
        <v>0</v>
      </c>
      <c r="L265" s="255"/>
    </row>
    <row r="266" spans="1:12">
      <c r="A266" s="257">
        <v>203</v>
      </c>
      <c r="B266" s="256">
        <f t="shared" si="25"/>
        <v>0</v>
      </c>
      <c r="C266" s="256">
        <f t="shared" si="26"/>
        <v>0</v>
      </c>
      <c r="D266" s="256">
        <f t="shared" si="27"/>
        <v>0</v>
      </c>
      <c r="E266" s="256">
        <f t="shared" si="28"/>
        <v>0</v>
      </c>
      <c r="F266" s="255"/>
      <c r="G266" s="257">
        <v>203</v>
      </c>
      <c r="H266" s="256">
        <f t="shared" si="29"/>
        <v>0</v>
      </c>
      <c r="I266" s="256">
        <f t="shared" si="30"/>
        <v>0</v>
      </c>
      <c r="J266" s="256">
        <f t="shared" si="31"/>
        <v>0</v>
      </c>
      <c r="K266" s="256">
        <f t="shared" si="32"/>
        <v>0</v>
      </c>
      <c r="L266" s="255"/>
    </row>
    <row r="267" spans="1:12">
      <c r="A267" s="257">
        <v>204</v>
      </c>
      <c r="B267" s="256">
        <f t="shared" si="25"/>
        <v>0</v>
      </c>
      <c r="C267" s="256">
        <f t="shared" si="26"/>
        <v>0</v>
      </c>
      <c r="D267" s="256">
        <f t="shared" si="27"/>
        <v>0</v>
      </c>
      <c r="E267" s="256">
        <f t="shared" si="28"/>
        <v>0</v>
      </c>
      <c r="F267" s="255">
        <v>17</v>
      </c>
      <c r="G267" s="257">
        <v>204</v>
      </c>
      <c r="H267" s="256">
        <f t="shared" si="29"/>
        <v>0</v>
      </c>
      <c r="I267" s="256">
        <f t="shared" si="30"/>
        <v>0</v>
      </c>
      <c r="J267" s="256">
        <f t="shared" si="31"/>
        <v>0</v>
      </c>
      <c r="K267" s="256">
        <f t="shared" si="32"/>
        <v>0</v>
      </c>
      <c r="L267" s="255">
        <v>17</v>
      </c>
    </row>
    <row r="268" spans="1:12">
      <c r="A268" s="257">
        <v>205</v>
      </c>
      <c r="B268" s="256">
        <f t="shared" si="25"/>
        <v>0</v>
      </c>
      <c r="C268" s="256">
        <f t="shared" si="26"/>
        <v>0</v>
      </c>
      <c r="D268" s="256">
        <f t="shared" si="27"/>
        <v>0</v>
      </c>
      <c r="E268" s="256">
        <f t="shared" si="28"/>
        <v>0</v>
      </c>
      <c r="F268" s="255"/>
      <c r="G268" s="257">
        <v>205</v>
      </c>
      <c r="H268" s="256">
        <f t="shared" si="29"/>
        <v>0</v>
      </c>
      <c r="I268" s="256">
        <f t="shared" si="30"/>
        <v>0</v>
      </c>
      <c r="J268" s="256">
        <f t="shared" si="31"/>
        <v>0</v>
      </c>
      <c r="K268" s="256">
        <f t="shared" si="32"/>
        <v>0</v>
      </c>
      <c r="L268" s="255"/>
    </row>
    <row r="269" spans="1:12">
      <c r="A269" s="257">
        <v>206</v>
      </c>
      <c r="B269" s="256">
        <f t="shared" si="25"/>
        <v>0</v>
      </c>
      <c r="C269" s="256">
        <f t="shared" si="26"/>
        <v>0</v>
      </c>
      <c r="D269" s="256">
        <f t="shared" si="27"/>
        <v>0</v>
      </c>
      <c r="E269" s="256">
        <f t="shared" si="28"/>
        <v>0</v>
      </c>
      <c r="F269" s="255"/>
      <c r="G269" s="257">
        <v>206</v>
      </c>
      <c r="H269" s="256">
        <f t="shared" si="29"/>
        <v>0</v>
      </c>
      <c r="I269" s="256">
        <f t="shared" si="30"/>
        <v>0</v>
      </c>
      <c r="J269" s="256">
        <f t="shared" si="31"/>
        <v>0</v>
      </c>
      <c r="K269" s="256">
        <f t="shared" si="32"/>
        <v>0</v>
      </c>
      <c r="L269" s="255"/>
    </row>
    <row r="270" spans="1:12">
      <c r="A270" s="257">
        <v>207</v>
      </c>
      <c r="B270" s="256">
        <f t="shared" si="25"/>
        <v>0</v>
      </c>
      <c r="C270" s="256">
        <f t="shared" si="26"/>
        <v>0</v>
      </c>
      <c r="D270" s="256">
        <f t="shared" si="27"/>
        <v>0</v>
      </c>
      <c r="E270" s="256">
        <f t="shared" si="28"/>
        <v>0</v>
      </c>
      <c r="F270" s="255"/>
      <c r="G270" s="257">
        <v>207</v>
      </c>
      <c r="H270" s="256">
        <f t="shared" si="29"/>
        <v>0</v>
      </c>
      <c r="I270" s="256">
        <f t="shared" si="30"/>
        <v>0</v>
      </c>
      <c r="J270" s="256">
        <f t="shared" si="31"/>
        <v>0</v>
      </c>
      <c r="K270" s="256">
        <f t="shared" si="32"/>
        <v>0</v>
      </c>
      <c r="L270" s="255"/>
    </row>
    <row r="271" spans="1:12">
      <c r="A271" s="257">
        <v>208</v>
      </c>
      <c r="B271" s="256">
        <f t="shared" si="25"/>
        <v>0</v>
      </c>
      <c r="C271" s="256">
        <f t="shared" si="26"/>
        <v>0</v>
      </c>
      <c r="D271" s="256">
        <f t="shared" si="27"/>
        <v>0</v>
      </c>
      <c r="E271" s="256">
        <f t="shared" si="28"/>
        <v>0</v>
      </c>
      <c r="F271" s="255"/>
      <c r="G271" s="257">
        <v>208</v>
      </c>
      <c r="H271" s="256">
        <f t="shared" si="29"/>
        <v>0</v>
      </c>
      <c r="I271" s="256">
        <f t="shared" si="30"/>
        <v>0</v>
      </c>
      <c r="J271" s="256">
        <f t="shared" si="31"/>
        <v>0</v>
      </c>
      <c r="K271" s="256">
        <f t="shared" si="32"/>
        <v>0</v>
      </c>
      <c r="L271" s="255"/>
    </row>
    <row r="272" spans="1:12">
      <c r="A272" s="257">
        <v>209</v>
      </c>
      <c r="B272" s="256">
        <f t="shared" si="25"/>
        <v>0</v>
      </c>
      <c r="C272" s="256">
        <f t="shared" si="26"/>
        <v>0</v>
      </c>
      <c r="D272" s="256">
        <f t="shared" si="27"/>
        <v>0</v>
      </c>
      <c r="E272" s="256">
        <f t="shared" si="28"/>
        <v>0</v>
      </c>
      <c r="F272" s="255"/>
      <c r="G272" s="257">
        <v>209</v>
      </c>
      <c r="H272" s="256">
        <f t="shared" si="29"/>
        <v>0</v>
      </c>
      <c r="I272" s="256">
        <f t="shared" si="30"/>
        <v>0</v>
      </c>
      <c r="J272" s="256">
        <f t="shared" si="31"/>
        <v>0</v>
      </c>
      <c r="K272" s="256">
        <f t="shared" si="32"/>
        <v>0</v>
      </c>
      <c r="L272" s="255"/>
    </row>
    <row r="273" spans="1:12">
      <c r="A273" s="257">
        <v>210</v>
      </c>
      <c r="B273" s="256">
        <f t="shared" si="25"/>
        <v>0</v>
      </c>
      <c r="C273" s="256">
        <f t="shared" si="26"/>
        <v>0</v>
      </c>
      <c r="D273" s="256">
        <f t="shared" si="27"/>
        <v>0</v>
      </c>
      <c r="E273" s="256">
        <f t="shared" si="28"/>
        <v>0</v>
      </c>
      <c r="F273" s="255"/>
      <c r="G273" s="257">
        <v>210</v>
      </c>
      <c r="H273" s="256">
        <f t="shared" si="29"/>
        <v>0</v>
      </c>
      <c r="I273" s="256">
        <f t="shared" si="30"/>
        <v>0</v>
      </c>
      <c r="J273" s="256">
        <f t="shared" si="31"/>
        <v>0</v>
      </c>
      <c r="K273" s="256">
        <f t="shared" si="32"/>
        <v>0</v>
      </c>
      <c r="L273" s="255"/>
    </row>
    <row r="274" spans="1:12">
      <c r="A274" s="257">
        <v>211</v>
      </c>
      <c r="B274" s="256">
        <f t="shared" si="25"/>
        <v>0</v>
      </c>
      <c r="C274" s="256">
        <f t="shared" si="26"/>
        <v>0</v>
      </c>
      <c r="D274" s="256">
        <f t="shared" si="27"/>
        <v>0</v>
      </c>
      <c r="E274" s="256">
        <f t="shared" si="28"/>
        <v>0</v>
      </c>
      <c r="F274" s="255"/>
      <c r="G274" s="257">
        <v>211</v>
      </c>
      <c r="H274" s="256">
        <f t="shared" si="29"/>
        <v>0</v>
      </c>
      <c r="I274" s="256">
        <f t="shared" si="30"/>
        <v>0</v>
      </c>
      <c r="J274" s="256">
        <f t="shared" si="31"/>
        <v>0</v>
      </c>
      <c r="K274" s="256">
        <f t="shared" si="32"/>
        <v>0</v>
      </c>
      <c r="L274" s="255"/>
    </row>
    <row r="275" spans="1:12">
      <c r="A275" s="257">
        <v>212</v>
      </c>
      <c r="B275" s="256">
        <f t="shared" si="25"/>
        <v>0</v>
      </c>
      <c r="C275" s="256">
        <f t="shared" si="26"/>
        <v>0</v>
      </c>
      <c r="D275" s="256">
        <f t="shared" si="27"/>
        <v>0</v>
      </c>
      <c r="E275" s="256">
        <f t="shared" si="28"/>
        <v>0</v>
      </c>
      <c r="F275" s="255"/>
      <c r="G275" s="257">
        <v>212</v>
      </c>
      <c r="H275" s="256">
        <f t="shared" si="29"/>
        <v>0</v>
      </c>
      <c r="I275" s="256">
        <f t="shared" si="30"/>
        <v>0</v>
      </c>
      <c r="J275" s="256">
        <f t="shared" si="31"/>
        <v>0</v>
      </c>
      <c r="K275" s="256">
        <f t="shared" si="32"/>
        <v>0</v>
      </c>
      <c r="L275" s="255"/>
    </row>
    <row r="276" spans="1:12">
      <c r="A276" s="257">
        <v>213</v>
      </c>
      <c r="B276" s="256">
        <f t="shared" si="25"/>
        <v>0</v>
      </c>
      <c r="C276" s="256">
        <f t="shared" si="26"/>
        <v>0</v>
      </c>
      <c r="D276" s="256">
        <f t="shared" si="27"/>
        <v>0</v>
      </c>
      <c r="E276" s="256">
        <f t="shared" si="28"/>
        <v>0</v>
      </c>
      <c r="F276" s="255"/>
      <c r="G276" s="257">
        <v>213</v>
      </c>
      <c r="H276" s="256">
        <f t="shared" si="29"/>
        <v>0</v>
      </c>
      <c r="I276" s="256">
        <f t="shared" si="30"/>
        <v>0</v>
      </c>
      <c r="J276" s="256">
        <f t="shared" si="31"/>
        <v>0</v>
      </c>
      <c r="K276" s="256">
        <f t="shared" si="32"/>
        <v>0</v>
      </c>
      <c r="L276" s="255"/>
    </row>
    <row r="277" spans="1:12">
      <c r="A277" s="257">
        <v>214</v>
      </c>
      <c r="B277" s="256">
        <f t="shared" si="25"/>
        <v>0</v>
      </c>
      <c r="C277" s="256">
        <f t="shared" si="26"/>
        <v>0</v>
      </c>
      <c r="D277" s="256">
        <f t="shared" si="27"/>
        <v>0</v>
      </c>
      <c r="E277" s="256">
        <f t="shared" si="28"/>
        <v>0</v>
      </c>
      <c r="F277" s="255"/>
      <c r="G277" s="257">
        <v>214</v>
      </c>
      <c r="H277" s="256">
        <f t="shared" si="29"/>
        <v>0</v>
      </c>
      <c r="I277" s="256">
        <f t="shared" si="30"/>
        <v>0</v>
      </c>
      <c r="J277" s="256">
        <f t="shared" si="31"/>
        <v>0</v>
      </c>
      <c r="K277" s="256">
        <f t="shared" si="32"/>
        <v>0</v>
      </c>
      <c r="L277" s="255"/>
    </row>
    <row r="278" spans="1:12">
      <c r="A278" s="257">
        <v>215</v>
      </c>
      <c r="B278" s="256">
        <f t="shared" si="25"/>
        <v>0</v>
      </c>
      <c r="C278" s="256">
        <f t="shared" si="26"/>
        <v>0</v>
      </c>
      <c r="D278" s="256">
        <f t="shared" si="27"/>
        <v>0</v>
      </c>
      <c r="E278" s="256">
        <f t="shared" si="28"/>
        <v>0</v>
      </c>
      <c r="F278" s="255"/>
      <c r="G278" s="257">
        <v>215</v>
      </c>
      <c r="H278" s="256">
        <f t="shared" si="29"/>
        <v>0</v>
      </c>
      <c r="I278" s="256">
        <f t="shared" si="30"/>
        <v>0</v>
      </c>
      <c r="J278" s="256">
        <f t="shared" si="31"/>
        <v>0</v>
      </c>
      <c r="K278" s="256">
        <f t="shared" si="32"/>
        <v>0</v>
      </c>
      <c r="L278" s="255"/>
    </row>
    <row r="279" spans="1:12">
      <c r="A279" s="257">
        <v>216</v>
      </c>
      <c r="B279" s="256">
        <f t="shared" si="25"/>
        <v>0</v>
      </c>
      <c r="C279" s="256">
        <f t="shared" si="26"/>
        <v>0</v>
      </c>
      <c r="D279" s="256">
        <f t="shared" si="27"/>
        <v>0</v>
      </c>
      <c r="E279" s="256">
        <f t="shared" si="28"/>
        <v>0</v>
      </c>
      <c r="F279" s="255">
        <v>18</v>
      </c>
      <c r="G279" s="257">
        <v>216</v>
      </c>
      <c r="H279" s="256">
        <f t="shared" si="29"/>
        <v>0</v>
      </c>
      <c r="I279" s="256">
        <f t="shared" si="30"/>
        <v>0</v>
      </c>
      <c r="J279" s="256">
        <f t="shared" si="31"/>
        <v>0</v>
      </c>
      <c r="K279" s="256">
        <f t="shared" si="32"/>
        <v>0</v>
      </c>
      <c r="L279" s="255">
        <v>18</v>
      </c>
    </row>
    <row r="280" spans="1:12">
      <c r="A280" s="257">
        <v>217</v>
      </c>
      <c r="B280" s="256">
        <f t="shared" si="25"/>
        <v>0</v>
      </c>
      <c r="C280" s="256">
        <f t="shared" si="26"/>
        <v>0</v>
      </c>
      <c r="D280" s="256">
        <f t="shared" si="27"/>
        <v>0</v>
      </c>
      <c r="E280" s="256">
        <f t="shared" si="28"/>
        <v>0</v>
      </c>
      <c r="F280" s="255"/>
      <c r="G280" s="257">
        <v>217</v>
      </c>
      <c r="H280" s="256">
        <f t="shared" si="29"/>
        <v>0</v>
      </c>
      <c r="I280" s="256">
        <f t="shared" si="30"/>
        <v>0</v>
      </c>
      <c r="J280" s="256">
        <f t="shared" si="31"/>
        <v>0</v>
      </c>
      <c r="K280" s="256">
        <f t="shared" si="32"/>
        <v>0</v>
      </c>
      <c r="L280" s="255"/>
    </row>
    <row r="281" spans="1:12">
      <c r="A281" s="257">
        <v>218</v>
      </c>
      <c r="B281" s="256">
        <f t="shared" si="25"/>
        <v>0</v>
      </c>
      <c r="C281" s="256">
        <f t="shared" si="26"/>
        <v>0</v>
      </c>
      <c r="D281" s="256">
        <f t="shared" si="27"/>
        <v>0</v>
      </c>
      <c r="E281" s="256">
        <f t="shared" si="28"/>
        <v>0</v>
      </c>
      <c r="F281" s="255"/>
      <c r="G281" s="257">
        <v>218</v>
      </c>
      <c r="H281" s="256">
        <f t="shared" si="29"/>
        <v>0</v>
      </c>
      <c r="I281" s="256">
        <f t="shared" si="30"/>
        <v>0</v>
      </c>
      <c r="J281" s="256">
        <f t="shared" si="31"/>
        <v>0</v>
      </c>
      <c r="K281" s="256">
        <f t="shared" si="32"/>
        <v>0</v>
      </c>
      <c r="L281" s="255"/>
    </row>
    <row r="282" spans="1:12">
      <c r="A282" s="257">
        <v>219</v>
      </c>
      <c r="B282" s="256">
        <f t="shared" si="25"/>
        <v>0</v>
      </c>
      <c r="C282" s="256">
        <f t="shared" si="26"/>
        <v>0</v>
      </c>
      <c r="D282" s="256">
        <f t="shared" si="27"/>
        <v>0</v>
      </c>
      <c r="E282" s="256">
        <f t="shared" si="28"/>
        <v>0</v>
      </c>
      <c r="F282" s="255"/>
      <c r="G282" s="257">
        <v>219</v>
      </c>
      <c r="H282" s="256">
        <f t="shared" si="29"/>
        <v>0</v>
      </c>
      <c r="I282" s="256">
        <f t="shared" si="30"/>
        <v>0</v>
      </c>
      <c r="J282" s="256">
        <f t="shared" si="31"/>
        <v>0</v>
      </c>
      <c r="K282" s="256">
        <f t="shared" si="32"/>
        <v>0</v>
      </c>
      <c r="L282" s="255"/>
    </row>
    <row r="283" spans="1:12">
      <c r="A283" s="257">
        <v>220</v>
      </c>
      <c r="B283" s="256">
        <f t="shared" si="25"/>
        <v>0</v>
      </c>
      <c r="C283" s="256">
        <f t="shared" si="26"/>
        <v>0</v>
      </c>
      <c r="D283" s="256">
        <f t="shared" si="27"/>
        <v>0</v>
      </c>
      <c r="E283" s="256">
        <f t="shared" si="28"/>
        <v>0</v>
      </c>
      <c r="F283" s="255"/>
      <c r="G283" s="257">
        <v>220</v>
      </c>
      <c r="H283" s="256">
        <f t="shared" si="29"/>
        <v>0</v>
      </c>
      <c r="I283" s="256">
        <f t="shared" si="30"/>
        <v>0</v>
      </c>
      <c r="J283" s="256">
        <f t="shared" si="31"/>
        <v>0</v>
      </c>
      <c r="K283" s="256">
        <f t="shared" si="32"/>
        <v>0</v>
      </c>
      <c r="L283" s="255"/>
    </row>
    <row r="284" spans="1:12">
      <c r="A284" s="257">
        <v>221</v>
      </c>
      <c r="B284" s="256">
        <f t="shared" si="25"/>
        <v>0</v>
      </c>
      <c r="C284" s="256">
        <f t="shared" si="26"/>
        <v>0</v>
      </c>
      <c r="D284" s="256">
        <f t="shared" si="27"/>
        <v>0</v>
      </c>
      <c r="E284" s="256">
        <f t="shared" si="28"/>
        <v>0</v>
      </c>
      <c r="F284" s="255"/>
      <c r="G284" s="257">
        <v>221</v>
      </c>
      <c r="H284" s="256">
        <f t="shared" si="29"/>
        <v>0</v>
      </c>
      <c r="I284" s="256">
        <f t="shared" si="30"/>
        <v>0</v>
      </c>
      <c r="J284" s="256">
        <f t="shared" si="31"/>
        <v>0</v>
      </c>
      <c r="K284" s="256">
        <f t="shared" si="32"/>
        <v>0</v>
      </c>
      <c r="L284" s="255"/>
    </row>
    <row r="285" spans="1:12">
      <c r="A285" s="257">
        <v>222</v>
      </c>
      <c r="B285" s="256">
        <f t="shared" si="25"/>
        <v>0</v>
      </c>
      <c r="C285" s="256">
        <f t="shared" si="26"/>
        <v>0</v>
      </c>
      <c r="D285" s="256">
        <f t="shared" si="27"/>
        <v>0</v>
      </c>
      <c r="E285" s="256">
        <f t="shared" si="28"/>
        <v>0</v>
      </c>
      <c r="F285" s="255"/>
      <c r="G285" s="257">
        <v>222</v>
      </c>
      <c r="H285" s="256">
        <f t="shared" si="29"/>
        <v>0</v>
      </c>
      <c r="I285" s="256">
        <f t="shared" si="30"/>
        <v>0</v>
      </c>
      <c r="J285" s="256">
        <f t="shared" si="31"/>
        <v>0</v>
      </c>
      <c r="K285" s="256">
        <f t="shared" si="32"/>
        <v>0</v>
      </c>
      <c r="L285" s="255"/>
    </row>
    <row r="286" spans="1:12">
      <c r="A286" s="257">
        <v>223</v>
      </c>
      <c r="B286" s="256">
        <f t="shared" si="25"/>
        <v>0</v>
      </c>
      <c r="C286" s="256">
        <f t="shared" si="26"/>
        <v>0</v>
      </c>
      <c r="D286" s="256">
        <f t="shared" si="27"/>
        <v>0</v>
      </c>
      <c r="E286" s="256">
        <f t="shared" si="28"/>
        <v>0</v>
      </c>
      <c r="F286" s="255"/>
      <c r="G286" s="257">
        <v>223</v>
      </c>
      <c r="H286" s="256">
        <f t="shared" si="29"/>
        <v>0</v>
      </c>
      <c r="I286" s="256">
        <f t="shared" si="30"/>
        <v>0</v>
      </c>
      <c r="J286" s="256">
        <f t="shared" si="31"/>
        <v>0</v>
      </c>
      <c r="K286" s="256">
        <f t="shared" si="32"/>
        <v>0</v>
      </c>
      <c r="L286" s="255"/>
    </row>
    <row r="287" spans="1:12">
      <c r="A287" s="257">
        <v>224</v>
      </c>
      <c r="B287" s="256">
        <f t="shared" si="25"/>
        <v>0</v>
      </c>
      <c r="C287" s="256">
        <f t="shared" si="26"/>
        <v>0</v>
      </c>
      <c r="D287" s="256">
        <f t="shared" si="27"/>
        <v>0</v>
      </c>
      <c r="E287" s="256">
        <f t="shared" si="28"/>
        <v>0</v>
      </c>
      <c r="F287" s="255"/>
      <c r="G287" s="257">
        <v>224</v>
      </c>
      <c r="H287" s="256">
        <f t="shared" si="29"/>
        <v>0</v>
      </c>
      <c r="I287" s="256">
        <f t="shared" si="30"/>
        <v>0</v>
      </c>
      <c r="J287" s="256">
        <f t="shared" si="31"/>
        <v>0</v>
      </c>
      <c r="K287" s="256">
        <f t="shared" si="32"/>
        <v>0</v>
      </c>
      <c r="L287" s="255"/>
    </row>
    <row r="288" spans="1:12">
      <c r="A288" s="257">
        <v>225</v>
      </c>
      <c r="B288" s="256">
        <f t="shared" si="25"/>
        <v>0</v>
      </c>
      <c r="C288" s="256">
        <f t="shared" si="26"/>
        <v>0</v>
      </c>
      <c r="D288" s="256">
        <f t="shared" si="27"/>
        <v>0</v>
      </c>
      <c r="E288" s="256">
        <f t="shared" si="28"/>
        <v>0</v>
      </c>
      <c r="F288" s="255"/>
      <c r="G288" s="257">
        <v>225</v>
      </c>
      <c r="H288" s="256">
        <f t="shared" si="29"/>
        <v>0</v>
      </c>
      <c r="I288" s="256">
        <f t="shared" si="30"/>
        <v>0</v>
      </c>
      <c r="J288" s="256">
        <f t="shared" si="31"/>
        <v>0</v>
      </c>
      <c r="K288" s="256">
        <f t="shared" si="32"/>
        <v>0</v>
      </c>
      <c r="L288" s="255"/>
    </row>
    <row r="289" spans="1:12">
      <c r="A289" s="257">
        <v>226</v>
      </c>
      <c r="B289" s="256">
        <f t="shared" si="25"/>
        <v>0</v>
      </c>
      <c r="C289" s="256">
        <f t="shared" si="26"/>
        <v>0</v>
      </c>
      <c r="D289" s="256">
        <f t="shared" si="27"/>
        <v>0</v>
      </c>
      <c r="E289" s="256">
        <f t="shared" si="28"/>
        <v>0</v>
      </c>
      <c r="F289" s="255"/>
      <c r="G289" s="257">
        <v>226</v>
      </c>
      <c r="H289" s="256">
        <f t="shared" si="29"/>
        <v>0</v>
      </c>
      <c r="I289" s="256">
        <f t="shared" si="30"/>
        <v>0</v>
      </c>
      <c r="J289" s="256">
        <f t="shared" si="31"/>
        <v>0</v>
      </c>
      <c r="K289" s="256">
        <f t="shared" si="32"/>
        <v>0</v>
      </c>
      <c r="L289" s="255"/>
    </row>
    <row r="290" spans="1:12">
      <c r="A290" s="257">
        <v>227</v>
      </c>
      <c r="B290" s="256">
        <f t="shared" si="25"/>
        <v>0</v>
      </c>
      <c r="C290" s="256">
        <f t="shared" si="26"/>
        <v>0</v>
      </c>
      <c r="D290" s="256">
        <f t="shared" si="27"/>
        <v>0</v>
      </c>
      <c r="E290" s="256">
        <f t="shared" si="28"/>
        <v>0</v>
      </c>
      <c r="F290" s="255"/>
      <c r="G290" s="257">
        <v>227</v>
      </c>
      <c r="H290" s="256">
        <f t="shared" si="29"/>
        <v>0</v>
      </c>
      <c r="I290" s="256">
        <f t="shared" si="30"/>
        <v>0</v>
      </c>
      <c r="J290" s="256">
        <f t="shared" si="31"/>
        <v>0</v>
      </c>
      <c r="K290" s="256">
        <f t="shared" si="32"/>
        <v>0</v>
      </c>
      <c r="L290" s="255"/>
    </row>
    <row r="291" spans="1:12">
      <c r="A291" s="257">
        <v>228</v>
      </c>
      <c r="B291" s="256">
        <f t="shared" si="25"/>
        <v>0</v>
      </c>
      <c r="C291" s="256">
        <f t="shared" si="26"/>
        <v>0</v>
      </c>
      <c r="D291" s="256">
        <f t="shared" si="27"/>
        <v>0</v>
      </c>
      <c r="E291" s="256">
        <f t="shared" si="28"/>
        <v>0</v>
      </c>
      <c r="F291" s="255">
        <v>19</v>
      </c>
      <c r="G291" s="257">
        <v>228</v>
      </c>
      <c r="H291" s="256">
        <f t="shared" si="29"/>
        <v>0</v>
      </c>
      <c r="I291" s="256">
        <f t="shared" si="30"/>
        <v>0</v>
      </c>
      <c r="J291" s="256">
        <f t="shared" si="31"/>
        <v>0</v>
      </c>
      <c r="K291" s="256">
        <f t="shared" si="32"/>
        <v>0</v>
      </c>
      <c r="L291" s="255">
        <v>19</v>
      </c>
    </row>
    <row r="292" spans="1:12">
      <c r="A292" s="257">
        <v>229</v>
      </c>
      <c r="B292" s="256">
        <f t="shared" si="25"/>
        <v>0</v>
      </c>
      <c r="C292" s="256">
        <f t="shared" si="26"/>
        <v>0</v>
      </c>
      <c r="D292" s="256">
        <f t="shared" si="27"/>
        <v>0</v>
      </c>
      <c r="E292" s="256">
        <f t="shared" si="28"/>
        <v>0</v>
      </c>
      <c r="F292" s="255"/>
      <c r="G292" s="257">
        <v>229</v>
      </c>
      <c r="H292" s="256">
        <f t="shared" si="29"/>
        <v>0</v>
      </c>
      <c r="I292" s="256">
        <f t="shared" si="30"/>
        <v>0</v>
      </c>
      <c r="J292" s="256">
        <f t="shared" si="31"/>
        <v>0</v>
      </c>
      <c r="K292" s="256">
        <f t="shared" si="32"/>
        <v>0</v>
      </c>
      <c r="L292" s="255"/>
    </row>
    <row r="293" spans="1:12">
      <c r="A293" s="257">
        <v>230</v>
      </c>
      <c r="B293" s="256">
        <f t="shared" si="25"/>
        <v>0</v>
      </c>
      <c r="C293" s="256">
        <f t="shared" si="26"/>
        <v>0</v>
      </c>
      <c r="D293" s="256">
        <f t="shared" si="27"/>
        <v>0</v>
      </c>
      <c r="E293" s="256">
        <f t="shared" si="28"/>
        <v>0</v>
      </c>
      <c r="F293" s="255"/>
      <c r="G293" s="257">
        <v>230</v>
      </c>
      <c r="H293" s="256">
        <f t="shared" si="29"/>
        <v>0</v>
      </c>
      <c r="I293" s="256">
        <f t="shared" si="30"/>
        <v>0</v>
      </c>
      <c r="J293" s="256">
        <f t="shared" si="31"/>
        <v>0</v>
      </c>
      <c r="K293" s="256">
        <f t="shared" si="32"/>
        <v>0</v>
      </c>
      <c r="L293" s="255"/>
    </row>
    <row r="294" spans="1:12">
      <c r="A294" s="257">
        <v>231</v>
      </c>
      <c r="B294" s="256">
        <f t="shared" si="25"/>
        <v>0</v>
      </c>
      <c r="C294" s="256">
        <f t="shared" si="26"/>
        <v>0</v>
      </c>
      <c r="D294" s="256">
        <f t="shared" si="27"/>
        <v>0</v>
      </c>
      <c r="E294" s="256">
        <f t="shared" si="28"/>
        <v>0</v>
      </c>
      <c r="F294" s="255"/>
      <c r="G294" s="257">
        <v>231</v>
      </c>
      <c r="H294" s="256">
        <f t="shared" si="29"/>
        <v>0</v>
      </c>
      <c r="I294" s="256">
        <f t="shared" si="30"/>
        <v>0</v>
      </c>
      <c r="J294" s="256">
        <f t="shared" si="31"/>
        <v>0</v>
      </c>
      <c r="K294" s="256">
        <f t="shared" si="32"/>
        <v>0</v>
      </c>
      <c r="L294" s="255"/>
    </row>
    <row r="295" spans="1:12">
      <c r="A295" s="257">
        <v>232</v>
      </c>
      <c r="B295" s="256">
        <f t="shared" si="25"/>
        <v>0</v>
      </c>
      <c r="C295" s="256">
        <f t="shared" si="26"/>
        <v>0</v>
      </c>
      <c r="D295" s="256">
        <f t="shared" si="27"/>
        <v>0</v>
      </c>
      <c r="E295" s="256">
        <f t="shared" si="28"/>
        <v>0</v>
      </c>
      <c r="F295" s="255"/>
      <c r="G295" s="257">
        <v>232</v>
      </c>
      <c r="H295" s="256">
        <f t="shared" si="29"/>
        <v>0</v>
      </c>
      <c r="I295" s="256">
        <f t="shared" si="30"/>
        <v>0</v>
      </c>
      <c r="J295" s="256">
        <f t="shared" si="31"/>
        <v>0</v>
      </c>
      <c r="K295" s="256">
        <f t="shared" si="32"/>
        <v>0</v>
      </c>
      <c r="L295" s="255"/>
    </row>
    <row r="296" spans="1:12">
      <c r="A296" s="257">
        <v>233</v>
      </c>
      <c r="B296" s="256">
        <f t="shared" si="25"/>
        <v>0</v>
      </c>
      <c r="C296" s="256">
        <f t="shared" si="26"/>
        <v>0</v>
      </c>
      <c r="D296" s="256">
        <f t="shared" si="27"/>
        <v>0</v>
      </c>
      <c r="E296" s="256">
        <f t="shared" si="28"/>
        <v>0</v>
      </c>
      <c r="F296" s="255"/>
      <c r="G296" s="257">
        <v>233</v>
      </c>
      <c r="H296" s="256">
        <f t="shared" si="29"/>
        <v>0</v>
      </c>
      <c r="I296" s="256">
        <f t="shared" si="30"/>
        <v>0</v>
      </c>
      <c r="J296" s="256">
        <f t="shared" si="31"/>
        <v>0</v>
      </c>
      <c r="K296" s="256">
        <f t="shared" si="32"/>
        <v>0</v>
      </c>
      <c r="L296" s="255"/>
    </row>
    <row r="297" spans="1:12">
      <c r="A297" s="257">
        <v>234</v>
      </c>
      <c r="B297" s="256">
        <f t="shared" si="25"/>
        <v>0</v>
      </c>
      <c r="C297" s="256">
        <f t="shared" si="26"/>
        <v>0</v>
      </c>
      <c r="D297" s="256">
        <f t="shared" si="27"/>
        <v>0</v>
      </c>
      <c r="E297" s="256">
        <f t="shared" si="28"/>
        <v>0</v>
      </c>
      <c r="F297" s="255"/>
      <c r="G297" s="257">
        <v>234</v>
      </c>
      <c r="H297" s="256">
        <f t="shared" si="29"/>
        <v>0</v>
      </c>
      <c r="I297" s="256">
        <f t="shared" si="30"/>
        <v>0</v>
      </c>
      <c r="J297" s="256">
        <f t="shared" si="31"/>
        <v>0</v>
      </c>
      <c r="K297" s="256">
        <f t="shared" si="32"/>
        <v>0</v>
      </c>
      <c r="L297" s="255"/>
    </row>
    <row r="298" spans="1:12">
      <c r="A298" s="257">
        <v>235</v>
      </c>
      <c r="B298" s="256">
        <f t="shared" si="25"/>
        <v>0</v>
      </c>
      <c r="C298" s="256">
        <f t="shared" si="26"/>
        <v>0</v>
      </c>
      <c r="D298" s="256">
        <f t="shared" si="27"/>
        <v>0</v>
      </c>
      <c r="E298" s="256">
        <f t="shared" si="28"/>
        <v>0</v>
      </c>
      <c r="F298" s="255"/>
      <c r="G298" s="257">
        <v>235</v>
      </c>
      <c r="H298" s="256">
        <f t="shared" si="29"/>
        <v>0</v>
      </c>
      <c r="I298" s="256">
        <f t="shared" si="30"/>
        <v>0</v>
      </c>
      <c r="J298" s="256">
        <f t="shared" si="31"/>
        <v>0</v>
      </c>
      <c r="K298" s="256">
        <f t="shared" si="32"/>
        <v>0</v>
      </c>
      <c r="L298" s="255"/>
    </row>
    <row r="299" spans="1:12">
      <c r="A299" s="257">
        <v>236</v>
      </c>
      <c r="B299" s="256">
        <f t="shared" si="25"/>
        <v>0</v>
      </c>
      <c r="C299" s="256">
        <f t="shared" si="26"/>
        <v>0</v>
      </c>
      <c r="D299" s="256">
        <f t="shared" si="27"/>
        <v>0</v>
      </c>
      <c r="E299" s="256">
        <f t="shared" si="28"/>
        <v>0</v>
      </c>
      <c r="F299" s="255"/>
      <c r="G299" s="257">
        <v>236</v>
      </c>
      <c r="H299" s="256">
        <f t="shared" si="29"/>
        <v>0</v>
      </c>
      <c r="I299" s="256">
        <f t="shared" si="30"/>
        <v>0</v>
      </c>
      <c r="J299" s="256">
        <f t="shared" si="31"/>
        <v>0</v>
      </c>
      <c r="K299" s="256">
        <f t="shared" si="32"/>
        <v>0</v>
      </c>
      <c r="L299" s="255"/>
    </row>
    <row r="300" spans="1:12">
      <c r="A300" s="257">
        <v>237</v>
      </c>
      <c r="B300" s="256">
        <f t="shared" si="25"/>
        <v>0</v>
      </c>
      <c r="C300" s="256">
        <f t="shared" si="26"/>
        <v>0</v>
      </c>
      <c r="D300" s="256">
        <f t="shared" si="27"/>
        <v>0</v>
      </c>
      <c r="E300" s="256">
        <f t="shared" si="28"/>
        <v>0</v>
      </c>
      <c r="F300" s="255"/>
      <c r="G300" s="257">
        <v>237</v>
      </c>
      <c r="H300" s="256">
        <f t="shared" si="29"/>
        <v>0</v>
      </c>
      <c r="I300" s="256">
        <f t="shared" si="30"/>
        <v>0</v>
      </c>
      <c r="J300" s="256">
        <f t="shared" si="31"/>
        <v>0</v>
      </c>
      <c r="K300" s="256">
        <f t="shared" si="32"/>
        <v>0</v>
      </c>
      <c r="L300" s="255"/>
    </row>
    <row r="301" spans="1:12">
      <c r="A301" s="257">
        <v>238</v>
      </c>
      <c r="B301" s="256">
        <f t="shared" si="25"/>
        <v>0</v>
      </c>
      <c r="C301" s="256">
        <f t="shared" si="26"/>
        <v>0</v>
      </c>
      <c r="D301" s="256">
        <f t="shared" si="27"/>
        <v>0</v>
      </c>
      <c r="E301" s="256">
        <f t="shared" si="28"/>
        <v>0</v>
      </c>
      <c r="F301" s="255"/>
      <c r="G301" s="257">
        <v>238</v>
      </c>
      <c r="H301" s="256">
        <f t="shared" si="29"/>
        <v>0</v>
      </c>
      <c r="I301" s="256">
        <f t="shared" si="30"/>
        <v>0</v>
      </c>
      <c r="J301" s="256">
        <f t="shared" si="31"/>
        <v>0</v>
      </c>
      <c r="K301" s="256">
        <f t="shared" si="32"/>
        <v>0</v>
      </c>
      <c r="L301" s="255"/>
    </row>
    <row r="302" spans="1:12">
      <c r="A302" s="257">
        <v>239</v>
      </c>
      <c r="B302" s="256">
        <f t="shared" si="25"/>
        <v>0</v>
      </c>
      <c r="C302" s="256">
        <f t="shared" si="26"/>
        <v>0</v>
      </c>
      <c r="D302" s="256">
        <f t="shared" si="27"/>
        <v>0</v>
      </c>
      <c r="E302" s="256">
        <f t="shared" si="28"/>
        <v>0</v>
      </c>
      <c r="F302" s="255"/>
      <c r="G302" s="257">
        <v>239</v>
      </c>
      <c r="H302" s="256">
        <f t="shared" si="29"/>
        <v>0</v>
      </c>
      <c r="I302" s="256">
        <f t="shared" si="30"/>
        <v>0</v>
      </c>
      <c r="J302" s="256">
        <f t="shared" si="31"/>
        <v>0</v>
      </c>
      <c r="K302" s="256">
        <f t="shared" si="32"/>
        <v>0</v>
      </c>
      <c r="L302" s="255"/>
    </row>
    <row r="303" spans="1:12">
      <c r="A303" s="257">
        <v>240</v>
      </c>
      <c r="B303" s="256">
        <f t="shared" si="25"/>
        <v>0</v>
      </c>
      <c r="C303" s="256">
        <f t="shared" si="26"/>
        <v>0</v>
      </c>
      <c r="D303" s="256">
        <f t="shared" si="27"/>
        <v>0</v>
      </c>
      <c r="E303" s="256">
        <f t="shared" si="28"/>
        <v>0</v>
      </c>
      <c r="F303" s="255">
        <v>20</v>
      </c>
      <c r="G303" s="257">
        <v>240</v>
      </c>
      <c r="H303" s="256">
        <f t="shared" si="29"/>
        <v>0</v>
      </c>
      <c r="I303" s="256">
        <f t="shared" si="30"/>
        <v>0</v>
      </c>
      <c r="J303" s="256">
        <f t="shared" si="31"/>
        <v>0</v>
      </c>
      <c r="K303" s="256">
        <f t="shared" si="32"/>
        <v>0</v>
      </c>
      <c r="L303" s="255">
        <v>20</v>
      </c>
    </row>
    <row r="304" spans="1:12">
      <c r="A304" s="257">
        <v>241</v>
      </c>
      <c r="B304" s="256">
        <f t="shared" si="25"/>
        <v>0</v>
      </c>
      <c r="C304" s="256">
        <f t="shared" si="26"/>
        <v>0</v>
      </c>
      <c r="D304" s="256">
        <f t="shared" si="27"/>
        <v>0</v>
      </c>
      <c r="E304" s="256">
        <f t="shared" si="28"/>
        <v>0</v>
      </c>
      <c r="F304" s="255"/>
      <c r="G304" s="257">
        <v>241</v>
      </c>
      <c r="H304" s="256">
        <f t="shared" si="29"/>
        <v>0</v>
      </c>
      <c r="I304" s="256">
        <f t="shared" si="30"/>
        <v>0</v>
      </c>
      <c r="J304" s="256">
        <f t="shared" si="31"/>
        <v>0</v>
      </c>
      <c r="K304" s="256">
        <f t="shared" si="32"/>
        <v>0</v>
      </c>
      <c r="L304" s="255"/>
    </row>
    <row r="305" spans="1:12">
      <c r="A305" s="257">
        <v>242</v>
      </c>
      <c r="B305" s="256">
        <f t="shared" si="25"/>
        <v>0</v>
      </c>
      <c r="C305" s="256">
        <f t="shared" si="26"/>
        <v>0</v>
      </c>
      <c r="D305" s="256">
        <f t="shared" si="27"/>
        <v>0</v>
      </c>
      <c r="E305" s="256">
        <f t="shared" si="28"/>
        <v>0</v>
      </c>
      <c r="F305" s="255"/>
      <c r="G305" s="257">
        <v>242</v>
      </c>
      <c r="H305" s="256">
        <f t="shared" si="29"/>
        <v>0</v>
      </c>
      <c r="I305" s="256">
        <f t="shared" si="30"/>
        <v>0</v>
      </c>
      <c r="J305" s="256">
        <f t="shared" si="31"/>
        <v>0</v>
      </c>
      <c r="K305" s="256">
        <f t="shared" si="32"/>
        <v>0</v>
      </c>
      <c r="L305" s="255"/>
    </row>
    <row r="306" spans="1:12">
      <c r="A306" s="257">
        <v>243</v>
      </c>
      <c r="B306" s="256">
        <f t="shared" si="25"/>
        <v>0</v>
      </c>
      <c r="C306" s="256">
        <f t="shared" si="26"/>
        <v>0</v>
      </c>
      <c r="D306" s="256">
        <f t="shared" si="27"/>
        <v>0</v>
      </c>
      <c r="E306" s="256">
        <f t="shared" si="28"/>
        <v>0</v>
      </c>
      <c r="F306" s="255"/>
      <c r="G306" s="257">
        <v>243</v>
      </c>
      <c r="H306" s="256">
        <f t="shared" si="29"/>
        <v>0</v>
      </c>
      <c r="I306" s="256">
        <f t="shared" si="30"/>
        <v>0</v>
      </c>
      <c r="J306" s="256">
        <f t="shared" si="31"/>
        <v>0</v>
      </c>
      <c r="K306" s="256">
        <f t="shared" si="32"/>
        <v>0</v>
      </c>
      <c r="L306" s="255"/>
    </row>
    <row r="307" spans="1:12">
      <c r="A307" s="257">
        <v>244</v>
      </c>
      <c r="B307" s="256">
        <f t="shared" si="25"/>
        <v>0</v>
      </c>
      <c r="C307" s="256">
        <f t="shared" si="26"/>
        <v>0</v>
      </c>
      <c r="D307" s="256">
        <f t="shared" si="27"/>
        <v>0</v>
      </c>
      <c r="E307" s="256">
        <f t="shared" si="28"/>
        <v>0</v>
      </c>
      <c r="F307" s="255"/>
      <c r="G307" s="257">
        <v>244</v>
      </c>
      <c r="H307" s="256">
        <f t="shared" si="29"/>
        <v>0</v>
      </c>
      <c r="I307" s="256">
        <f t="shared" si="30"/>
        <v>0</v>
      </c>
      <c r="J307" s="256">
        <f t="shared" si="31"/>
        <v>0</v>
      </c>
      <c r="K307" s="256">
        <f t="shared" si="32"/>
        <v>0</v>
      </c>
      <c r="L307" s="255"/>
    </row>
    <row r="308" spans="1:12">
      <c r="A308" s="257">
        <v>245</v>
      </c>
      <c r="B308" s="256">
        <f t="shared" si="25"/>
        <v>0</v>
      </c>
      <c r="C308" s="256">
        <f t="shared" si="26"/>
        <v>0</v>
      </c>
      <c r="D308" s="256">
        <f t="shared" si="27"/>
        <v>0</v>
      </c>
      <c r="E308" s="256">
        <f t="shared" si="28"/>
        <v>0</v>
      </c>
      <c r="F308" s="255"/>
      <c r="G308" s="257">
        <v>245</v>
      </c>
      <c r="H308" s="256">
        <f t="shared" si="29"/>
        <v>0</v>
      </c>
      <c r="I308" s="256">
        <f t="shared" si="30"/>
        <v>0</v>
      </c>
      <c r="J308" s="256">
        <f t="shared" si="31"/>
        <v>0</v>
      </c>
      <c r="K308" s="256">
        <f t="shared" si="32"/>
        <v>0</v>
      </c>
      <c r="L308" s="255"/>
    </row>
    <row r="309" spans="1:12">
      <c r="A309" s="257">
        <v>246</v>
      </c>
      <c r="B309" s="256">
        <f t="shared" si="25"/>
        <v>0</v>
      </c>
      <c r="C309" s="256">
        <f t="shared" si="26"/>
        <v>0</v>
      </c>
      <c r="D309" s="256">
        <f t="shared" si="27"/>
        <v>0</v>
      </c>
      <c r="E309" s="256">
        <f t="shared" si="28"/>
        <v>0</v>
      </c>
      <c r="F309" s="255"/>
      <c r="G309" s="257">
        <v>246</v>
      </c>
      <c r="H309" s="256">
        <f t="shared" si="29"/>
        <v>0</v>
      </c>
      <c r="I309" s="256">
        <f t="shared" si="30"/>
        <v>0</v>
      </c>
      <c r="J309" s="256">
        <f t="shared" si="31"/>
        <v>0</v>
      </c>
      <c r="K309" s="256">
        <f t="shared" si="32"/>
        <v>0</v>
      </c>
      <c r="L309" s="255"/>
    </row>
    <row r="310" spans="1:12">
      <c r="A310" s="257">
        <v>247</v>
      </c>
      <c r="B310" s="256">
        <f t="shared" si="25"/>
        <v>0</v>
      </c>
      <c r="C310" s="256">
        <f t="shared" si="26"/>
        <v>0</v>
      </c>
      <c r="D310" s="256">
        <f t="shared" si="27"/>
        <v>0</v>
      </c>
      <c r="E310" s="256">
        <f t="shared" si="28"/>
        <v>0</v>
      </c>
      <c r="F310" s="255"/>
      <c r="G310" s="257">
        <v>247</v>
      </c>
      <c r="H310" s="256">
        <f t="shared" si="29"/>
        <v>0</v>
      </c>
      <c r="I310" s="256">
        <f t="shared" si="30"/>
        <v>0</v>
      </c>
      <c r="J310" s="256">
        <f t="shared" si="31"/>
        <v>0</v>
      </c>
      <c r="K310" s="256">
        <f t="shared" si="32"/>
        <v>0</v>
      </c>
      <c r="L310" s="255"/>
    </row>
    <row r="311" spans="1:12">
      <c r="A311" s="257">
        <v>248</v>
      </c>
      <c r="B311" s="256">
        <f t="shared" si="25"/>
        <v>0</v>
      </c>
      <c r="C311" s="256">
        <f t="shared" si="26"/>
        <v>0</v>
      </c>
      <c r="D311" s="256">
        <f t="shared" si="27"/>
        <v>0</v>
      </c>
      <c r="E311" s="256">
        <f t="shared" si="28"/>
        <v>0</v>
      </c>
      <c r="F311" s="255"/>
      <c r="G311" s="257">
        <v>248</v>
      </c>
      <c r="H311" s="256">
        <f t="shared" si="29"/>
        <v>0</v>
      </c>
      <c r="I311" s="256">
        <f t="shared" si="30"/>
        <v>0</v>
      </c>
      <c r="J311" s="256">
        <f t="shared" si="31"/>
        <v>0</v>
      </c>
      <c r="K311" s="256">
        <f t="shared" si="32"/>
        <v>0</v>
      </c>
      <c r="L311" s="255"/>
    </row>
    <row r="312" spans="1:12">
      <c r="A312" s="257">
        <v>249</v>
      </c>
      <c r="B312" s="256">
        <f t="shared" si="25"/>
        <v>0</v>
      </c>
      <c r="C312" s="256">
        <f t="shared" si="26"/>
        <v>0</v>
      </c>
      <c r="D312" s="256">
        <f t="shared" si="27"/>
        <v>0</v>
      </c>
      <c r="E312" s="256">
        <f t="shared" si="28"/>
        <v>0</v>
      </c>
      <c r="F312" s="255"/>
      <c r="G312" s="257">
        <v>249</v>
      </c>
      <c r="H312" s="256">
        <f t="shared" si="29"/>
        <v>0</v>
      </c>
      <c r="I312" s="256">
        <f t="shared" si="30"/>
        <v>0</v>
      </c>
      <c r="J312" s="256">
        <f t="shared" si="31"/>
        <v>0</v>
      </c>
      <c r="K312" s="256">
        <f t="shared" si="32"/>
        <v>0</v>
      </c>
      <c r="L312" s="255"/>
    </row>
    <row r="313" spans="1:12">
      <c r="A313" s="257">
        <v>250</v>
      </c>
      <c r="B313" s="256">
        <f t="shared" si="25"/>
        <v>0</v>
      </c>
      <c r="C313" s="256">
        <f t="shared" si="26"/>
        <v>0</v>
      </c>
      <c r="D313" s="256">
        <f t="shared" si="27"/>
        <v>0</v>
      </c>
      <c r="E313" s="256">
        <f t="shared" si="28"/>
        <v>0</v>
      </c>
      <c r="F313" s="255"/>
      <c r="G313" s="257">
        <v>250</v>
      </c>
      <c r="H313" s="256">
        <f t="shared" si="29"/>
        <v>0</v>
      </c>
      <c r="I313" s="256">
        <f t="shared" si="30"/>
        <v>0</v>
      </c>
      <c r="J313" s="256">
        <f t="shared" si="31"/>
        <v>0</v>
      </c>
      <c r="K313" s="256">
        <f t="shared" si="32"/>
        <v>0</v>
      </c>
      <c r="L313" s="255"/>
    </row>
    <row r="314" spans="1:12">
      <c r="A314" s="257">
        <v>251</v>
      </c>
      <c r="B314" s="256">
        <f t="shared" si="25"/>
        <v>0</v>
      </c>
      <c r="C314" s="256">
        <f t="shared" si="26"/>
        <v>0</v>
      </c>
      <c r="D314" s="256">
        <f t="shared" si="27"/>
        <v>0</v>
      </c>
      <c r="E314" s="256">
        <f t="shared" si="28"/>
        <v>0</v>
      </c>
      <c r="F314" s="255"/>
      <c r="G314" s="257">
        <v>251</v>
      </c>
      <c r="H314" s="256">
        <f t="shared" si="29"/>
        <v>0</v>
      </c>
      <c r="I314" s="256">
        <f t="shared" si="30"/>
        <v>0</v>
      </c>
      <c r="J314" s="256">
        <f t="shared" si="31"/>
        <v>0</v>
      </c>
      <c r="K314" s="256">
        <f t="shared" si="32"/>
        <v>0</v>
      </c>
      <c r="L314" s="255"/>
    </row>
    <row r="315" spans="1:12">
      <c r="A315" s="257">
        <v>252</v>
      </c>
      <c r="B315" s="256">
        <f t="shared" si="25"/>
        <v>0</v>
      </c>
      <c r="C315" s="256">
        <f t="shared" si="26"/>
        <v>0</v>
      </c>
      <c r="D315" s="256">
        <f t="shared" si="27"/>
        <v>0</v>
      </c>
      <c r="E315" s="256">
        <f t="shared" si="28"/>
        <v>0</v>
      </c>
      <c r="F315" s="255">
        <v>21</v>
      </c>
      <c r="G315" s="257">
        <v>252</v>
      </c>
      <c r="H315" s="256">
        <f t="shared" si="29"/>
        <v>0</v>
      </c>
      <c r="I315" s="256">
        <f t="shared" si="30"/>
        <v>0</v>
      </c>
      <c r="J315" s="256">
        <f t="shared" si="31"/>
        <v>0</v>
      </c>
      <c r="K315" s="256">
        <f t="shared" si="32"/>
        <v>0</v>
      </c>
      <c r="L315" s="255">
        <v>21</v>
      </c>
    </row>
    <row r="316" spans="1:12">
      <c r="A316" s="257">
        <v>253</v>
      </c>
      <c r="B316" s="256">
        <f t="shared" si="25"/>
        <v>0</v>
      </c>
      <c r="C316" s="256">
        <f t="shared" si="26"/>
        <v>0</v>
      </c>
      <c r="D316" s="256">
        <f t="shared" si="27"/>
        <v>0</v>
      </c>
      <c r="E316" s="256">
        <f t="shared" si="28"/>
        <v>0</v>
      </c>
      <c r="F316" s="255"/>
      <c r="G316" s="257">
        <v>253</v>
      </c>
      <c r="H316" s="256">
        <f t="shared" si="29"/>
        <v>0</v>
      </c>
      <c r="I316" s="256">
        <f t="shared" si="30"/>
        <v>0</v>
      </c>
      <c r="J316" s="256">
        <f t="shared" si="31"/>
        <v>0</v>
      </c>
      <c r="K316" s="256">
        <f t="shared" si="32"/>
        <v>0</v>
      </c>
      <c r="L316" s="255"/>
    </row>
    <row r="317" spans="1:12">
      <c r="A317" s="257">
        <v>254</v>
      </c>
      <c r="B317" s="256">
        <f t="shared" si="25"/>
        <v>0</v>
      </c>
      <c r="C317" s="256">
        <f t="shared" si="26"/>
        <v>0</v>
      </c>
      <c r="D317" s="256">
        <f t="shared" si="27"/>
        <v>0</v>
      </c>
      <c r="E317" s="256">
        <f t="shared" si="28"/>
        <v>0</v>
      </c>
      <c r="F317" s="255"/>
      <c r="G317" s="257">
        <v>254</v>
      </c>
      <c r="H317" s="256">
        <f t="shared" si="29"/>
        <v>0</v>
      </c>
      <c r="I317" s="256">
        <f t="shared" si="30"/>
        <v>0</v>
      </c>
      <c r="J317" s="256">
        <f t="shared" si="31"/>
        <v>0</v>
      </c>
      <c r="K317" s="256">
        <f t="shared" si="32"/>
        <v>0</v>
      </c>
      <c r="L317" s="255"/>
    </row>
    <row r="318" spans="1:12">
      <c r="A318" s="257">
        <v>255</v>
      </c>
      <c r="B318" s="256">
        <f t="shared" si="25"/>
        <v>0</v>
      </c>
      <c r="C318" s="256">
        <f t="shared" si="26"/>
        <v>0</v>
      </c>
      <c r="D318" s="256">
        <f t="shared" si="27"/>
        <v>0</v>
      </c>
      <c r="E318" s="256">
        <f t="shared" si="28"/>
        <v>0</v>
      </c>
      <c r="F318" s="255"/>
      <c r="G318" s="257">
        <v>255</v>
      </c>
      <c r="H318" s="256">
        <f t="shared" si="29"/>
        <v>0</v>
      </c>
      <c r="I318" s="256">
        <f t="shared" si="30"/>
        <v>0</v>
      </c>
      <c r="J318" s="256">
        <f t="shared" si="31"/>
        <v>0</v>
      </c>
      <c r="K318" s="256">
        <f t="shared" si="32"/>
        <v>0</v>
      </c>
      <c r="L318" s="255"/>
    </row>
    <row r="319" spans="1:12">
      <c r="A319" s="257">
        <v>256</v>
      </c>
      <c r="B319" s="256">
        <f t="shared" si="25"/>
        <v>0</v>
      </c>
      <c r="C319" s="256">
        <f t="shared" si="26"/>
        <v>0</v>
      </c>
      <c r="D319" s="256">
        <f t="shared" si="27"/>
        <v>0</v>
      </c>
      <c r="E319" s="256">
        <f t="shared" si="28"/>
        <v>0</v>
      </c>
      <c r="F319" s="255"/>
      <c r="G319" s="257">
        <v>256</v>
      </c>
      <c r="H319" s="256">
        <f t="shared" si="29"/>
        <v>0</v>
      </c>
      <c r="I319" s="256">
        <f t="shared" si="30"/>
        <v>0</v>
      </c>
      <c r="J319" s="256">
        <f t="shared" si="31"/>
        <v>0</v>
      </c>
      <c r="K319" s="256">
        <f t="shared" si="32"/>
        <v>0</v>
      </c>
      <c r="L319" s="255"/>
    </row>
    <row r="320" spans="1:12">
      <c r="A320" s="257">
        <v>257</v>
      </c>
      <c r="B320" s="256">
        <f t="shared" ref="B320:B383" si="33">IF(A320&gt;12*$C$9,0,IF($C$5&gt;1500000,$D$12,$C$12))</f>
        <v>0</v>
      </c>
      <c r="C320" s="256">
        <f t="shared" ref="C320:C383" si="34">IF(A320&gt;12*$C$9,0,E319*$C$7/12)</f>
        <v>0</v>
      </c>
      <c r="D320" s="256">
        <f t="shared" ref="D320:D383" si="35">IF(A320&gt;12*$C$9,0,B320-C320)</f>
        <v>0</v>
      </c>
      <c r="E320" s="256">
        <f t="shared" ref="E320:E383" si="36">IF(A320&gt;12*$C$9,0,E319-D320)</f>
        <v>0</v>
      </c>
      <c r="F320" s="255"/>
      <c r="G320" s="257">
        <v>257</v>
      </c>
      <c r="H320" s="256">
        <f t="shared" ref="H320:H383" si="37">IF(G320&gt;12*$C$9,0,IF($C$5&gt;1500000,$E$12,0))</f>
        <v>0</v>
      </c>
      <c r="I320" s="256">
        <f t="shared" ref="I320:I383" si="38">IF(G320&gt;12*$C$9,0,K319*$C$7/12)</f>
        <v>0</v>
      </c>
      <c r="J320" s="256">
        <f t="shared" ref="J320:J383" si="39">IF(G320&gt;12*$C$9,0,H320-I320)</f>
        <v>0</v>
      </c>
      <c r="K320" s="256">
        <f t="shared" ref="K320:K383" si="40">IF(G320&gt;12*$C$9,0,K319-J320)</f>
        <v>0</v>
      </c>
      <c r="L320" s="255"/>
    </row>
    <row r="321" spans="1:12">
      <c r="A321" s="257">
        <v>258</v>
      </c>
      <c r="B321" s="256">
        <f t="shared" si="33"/>
        <v>0</v>
      </c>
      <c r="C321" s="256">
        <f t="shared" si="34"/>
        <v>0</v>
      </c>
      <c r="D321" s="256">
        <f t="shared" si="35"/>
        <v>0</v>
      </c>
      <c r="E321" s="256">
        <f t="shared" si="36"/>
        <v>0</v>
      </c>
      <c r="F321" s="255"/>
      <c r="G321" s="257">
        <v>258</v>
      </c>
      <c r="H321" s="256">
        <f t="shared" si="37"/>
        <v>0</v>
      </c>
      <c r="I321" s="256">
        <f t="shared" si="38"/>
        <v>0</v>
      </c>
      <c r="J321" s="256">
        <f t="shared" si="39"/>
        <v>0</v>
      </c>
      <c r="K321" s="256">
        <f t="shared" si="40"/>
        <v>0</v>
      </c>
      <c r="L321" s="255"/>
    </row>
    <row r="322" spans="1:12">
      <c r="A322" s="257">
        <v>259</v>
      </c>
      <c r="B322" s="256">
        <f t="shared" si="33"/>
        <v>0</v>
      </c>
      <c r="C322" s="256">
        <f t="shared" si="34"/>
        <v>0</v>
      </c>
      <c r="D322" s="256">
        <f t="shared" si="35"/>
        <v>0</v>
      </c>
      <c r="E322" s="256">
        <f t="shared" si="36"/>
        <v>0</v>
      </c>
      <c r="F322" s="255"/>
      <c r="G322" s="257">
        <v>259</v>
      </c>
      <c r="H322" s="256">
        <f t="shared" si="37"/>
        <v>0</v>
      </c>
      <c r="I322" s="256">
        <f t="shared" si="38"/>
        <v>0</v>
      </c>
      <c r="J322" s="256">
        <f t="shared" si="39"/>
        <v>0</v>
      </c>
      <c r="K322" s="256">
        <f t="shared" si="40"/>
        <v>0</v>
      </c>
      <c r="L322" s="255"/>
    </row>
    <row r="323" spans="1:12">
      <c r="A323" s="257">
        <v>260</v>
      </c>
      <c r="B323" s="256">
        <f t="shared" si="33"/>
        <v>0</v>
      </c>
      <c r="C323" s="256">
        <f t="shared" si="34"/>
        <v>0</v>
      </c>
      <c r="D323" s="256">
        <f t="shared" si="35"/>
        <v>0</v>
      </c>
      <c r="E323" s="256">
        <f t="shared" si="36"/>
        <v>0</v>
      </c>
      <c r="F323" s="255"/>
      <c r="G323" s="257">
        <v>260</v>
      </c>
      <c r="H323" s="256">
        <f t="shared" si="37"/>
        <v>0</v>
      </c>
      <c r="I323" s="256">
        <f t="shared" si="38"/>
        <v>0</v>
      </c>
      <c r="J323" s="256">
        <f t="shared" si="39"/>
        <v>0</v>
      </c>
      <c r="K323" s="256">
        <f t="shared" si="40"/>
        <v>0</v>
      </c>
      <c r="L323" s="255"/>
    </row>
    <row r="324" spans="1:12">
      <c r="A324" s="257">
        <v>261</v>
      </c>
      <c r="B324" s="256">
        <f t="shared" si="33"/>
        <v>0</v>
      </c>
      <c r="C324" s="256">
        <f t="shared" si="34"/>
        <v>0</v>
      </c>
      <c r="D324" s="256">
        <f t="shared" si="35"/>
        <v>0</v>
      </c>
      <c r="E324" s="256">
        <f t="shared" si="36"/>
        <v>0</v>
      </c>
      <c r="F324" s="255"/>
      <c r="G324" s="257">
        <v>261</v>
      </c>
      <c r="H324" s="256">
        <f t="shared" si="37"/>
        <v>0</v>
      </c>
      <c r="I324" s="256">
        <f t="shared" si="38"/>
        <v>0</v>
      </c>
      <c r="J324" s="256">
        <f t="shared" si="39"/>
        <v>0</v>
      </c>
      <c r="K324" s="256">
        <f t="shared" si="40"/>
        <v>0</v>
      </c>
      <c r="L324" s="255"/>
    </row>
    <row r="325" spans="1:12">
      <c r="A325" s="257">
        <v>262</v>
      </c>
      <c r="B325" s="256">
        <f t="shared" si="33"/>
        <v>0</v>
      </c>
      <c r="C325" s="256">
        <f t="shared" si="34"/>
        <v>0</v>
      </c>
      <c r="D325" s="256">
        <f t="shared" si="35"/>
        <v>0</v>
      </c>
      <c r="E325" s="256">
        <f t="shared" si="36"/>
        <v>0</v>
      </c>
      <c r="F325" s="255"/>
      <c r="G325" s="257">
        <v>262</v>
      </c>
      <c r="H325" s="256">
        <f t="shared" si="37"/>
        <v>0</v>
      </c>
      <c r="I325" s="256">
        <f t="shared" si="38"/>
        <v>0</v>
      </c>
      <c r="J325" s="256">
        <f t="shared" si="39"/>
        <v>0</v>
      </c>
      <c r="K325" s="256">
        <f t="shared" si="40"/>
        <v>0</v>
      </c>
      <c r="L325" s="255"/>
    </row>
    <row r="326" spans="1:12">
      <c r="A326" s="257">
        <v>263</v>
      </c>
      <c r="B326" s="256">
        <f t="shared" si="33"/>
        <v>0</v>
      </c>
      <c r="C326" s="256">
        <f t="shared" si="34"/>
        <v>0</v>
      </c>
      <c r="D326" s="256">
        <f t="shared" si="35"/>
        <v>0</v>
      </c>
      <c r="E326" s="256">
        <f t="shared" si="36"/>
        <v>0</v>
      </c>
      <c r="F326" s="255"/>
      <c r="G326" s="257">
        <v>263</v>
      </c>
      <c r="H326" s="256">
        <f t="shared" si="37"/>
        <v>0</v>
      </c>
      <c r="I326" s="256">
        <f t="shared" si="38"/>
        <v>0</v>
      </c>
      <c r="J326" s="256">
        <f t="shared" si="39"/>
        <v>0</v>
      </c>
      <c r="K326" s="256">
        <f t="shared" si="40"/>
        <v>0</v>
      </c>
      <c r="L326" s="255"/>
    </row>
    <row r="327" spans="1:12">
      <c r="A327" s="257">
        <v>264</v>
      </c>
      <c r="B327" s="256">
        <f t="shared" si="33"/>
        <v>0</v>
      </c>
      <c r="C327" s="256">
        <f t="shared" si="34"/>
        <v>0</v>
      </c>
      <c r="D327" s="256">
        <f t="shared" si="35"/>
        <v>0</v>
      </c>
      <c r="E327" s="256">
        <f t="shared" si="36"/>
        <v>0</v>
      </c>
      <c r="F327" s="255">
        <v>22</v>
      </c>
      <c r="G327" s="257">
        <v>264</v>
      </c>
      <c r="H327" s="256">
        <f t="shared" si="37"/>
        <v>0</v>
      </c>
      <c r="I327" s="256">
        <f t="shared" si="38"/>
        <v>0</v>
      </c>
      <c r="J327" s="256">
        <f t="shared" si="39"/>
        <v>0</v>
      </c>
      <c r="K327" s="256">
        <f t="shared" si="40"/>
        <v>0</v>
      </c>
      <c r="L327" s="255">
        <v>22</v>
      </c>
    </row>
    <row r="328" spans="1:12">
      <c r="A328" s="257">
        <v>265</v>
      </c>
      <c r="B328" s="256">
        <f t="shared" si="33"/>
        <v>0</v>
      </c>
      <c r="C328" s="256">
        <f t="shared" si="34"/>
        <v>0</v>
      </c>
      <c r="D328" s="256">
        <f t="shared" si="35"/>
        <v>0</v>
      </c>
      <c r="E328" s="256">
        <f t="shared" si="36"/>
        <v>0</v>
      </c>
      <c r="F328" s="255"/>
      <c r="G328" s="257">
        <v>265</v>
      </c>
      <c r="H328" s="256">
        <f t="shared" si="37"/>
        <v>0</v>
      </c>
      <c r="I328" s="256">
        <f t="shared" si="38"/>
        <v>0</v>
      </c>
      <c r="J328" s="256">
        <f t="shared" si="39"/>
        <v>0</v>
      </c>
      <c r="K328" s="256">
        <f t="shared" si="40"/>
        <v>0</v>
      </c>
      <c r="L328" s="255"/>
    </row>
    <row r="329" spans="1:12">
      <c r="A329" s="257">
        <v>266</v>
      </c>
      <c r="B329" s="256">
        <f t="shared" si="33"/>
        <v>0</v>
      </c>
      <c r="C329" s="256">
        <f t="shared" si="34"/>
        <v>0</v>
      </c>
      <c r="D329" s="256">
        <f t="shared" si="35"/>
        <v>0</v>
      </c>
      <c r="E329" s="256">
        <f t="shared" si="36"/>
        <v>0</v>
      </c>
      <c r="F329" s="255"/>
      <c r="G329" s="257">
        <v>266</v>
      </c>
      <c r="H329" s="256">
        <f t="shared" si="37"/>
        <v>0</v>
      </c>
      <c r="I329" s="256">
        <f t="shared" si="38"/>
        <v>0</v>
      </c>
      <c r="J329" s="256">
        <f t="shared" si="39"/>
        <v>0</v>
      </c>
      <c r="K329" s="256">
        <f t="shared" si="40"/>
        <v>0</v>
      </c>
      <c r="L329" s="255"/>
    </row>
    <row r="330" spans="1:12">
      <c r="A330" s="257">
        <v>267</v>
      </c>
      <c r="B330" s="256">
        <f t="shared" si="33"/>
        <v>0</v>
      </c>
      <c r="C330" s="256">
        <f t="shared" si="34"/>
        <v>0</v>
      </c>
      <c r="D330" s="256">
        <f t="shared" si="35"/>
        <v>0</v>
      </c>
      <c r="E330" s="256">
        <f t="shared" si="36"/>
        <v>0</v>
      </c>
      <c r="F330" s="255"/>
      <c r="G330" s="257">
        <v>267</v>
      </c>
      <c r="H330" s="256">
        <f t="shared" si="37"/>
        <v>0</v>
      </c>
      <c r="I330" s="256">
        <f t="shared" si="38"/>
        <v>0</v>
      </c>
      <c r="J330" s="256">
        <f t="shared" si="39"/>
        <v>0</v>
      </c>
      <c r="K330" s="256">
        <f t="shared" si="40"/>
        <v>0</v>
      </c>
      <c r="L330" s="255"/>
    </row>
    <row r="331" spans="1:12">
      <c r="A331" s="257">
        <v>268</v>
      </c>
      <c r="B331" s="256">
        <f t="shared" si="33"/>
        <v>0</v>
      </c>
      <c r="C331" s="256">
        <f t="shared" si="34"/>
        <v>0</v>
      </c>
      <c r="D331" s="256">
        <f t="shared" si="35"/>
        <v>0</v>
      </c>
      <c r="E331" s="256">
        <f t="shared" si="36"/>
        <v>0</v>
      </c>
      <c r="F331" s="255"/>
      <c r="G331" s="257">
        <v>268</v>
      </c>
      <c r="H331" s="256">
        <f t="shared" si="37"/>
        <v>0</v>
      </c>
      <c r="I331" s="256">
        <f t="shared" si="38"/>
        <v>0</v>
      </c>
      <c r="J331" s="256">
        <f t="shared" si="39"/>
        <v>0</v>
      </c>
      <c r="K331" s="256">
        <f t="shared" si="40"/>
        <v>0</v>
      </c>
      <c r="L331" s="255"/>
    </row>
    <row r="332" spans="1:12">
      <c r="A332" s="257">
        <v>269</v>
      </c>
      <c r="B332" s="256">
        <f t="shared" si="33"/>
        <v>0</v>
      </c>
      <c r="C332" s="256">
        <f t="shared" si="34"/>
        <v>0</v>
      </c>
      <c r="D332" s="256">
        <f t="shared" si="35"/>
        <v>0</v>
      </c>
      <c r="E332" s="256">
        <f t="shared" si="36"/>
        <v>0</v>
      </c>
      <c r="F332" s="255"/>
      <c r="G332" s="257">
        <v>269</v>
      </c>
      <c r="H332" s="256">
        <f t="shared" si="37"/>
        <v>0</v>
      </c>
      <c r="I332" s="256">
        <f t="shared" si="38"/>
        <v>0</v>
      </c>
      <c r="J332" s="256">
        <f t="shared" si="39"/>
        <v>0</v>
      </c>
      <c r="K332" s="256">
        <f t="shared" si="40"/>
        <v>0</v>
      </c>
      <c r="L332" s="255"/>
    </row>
    <row r="333" spans="1:12">
      <c r="A333" s="257">
        <v>270</v>
      </c>
      <c r="B333" s="256">
        <f t="shared" si="33"/>
        <v>0</v>
      </c>
      <c r="C333" s="256">
        <f t="shared" si="34"/>
        <v>0</v>
      </c>
      <c r="D333" s="256">
        <f t="shared" si="35"/>
        <v>0</v>
      </c>
      <c r="E333" s="256">
        <f t="shared" si="36"/>
        <v>0</v>
      </c>
      <c r="F333" s="255"/>
      <c r="G333" s="257">
        <v>270</v>
      </c>
      <c r="H333" s="256">
        <f t="shared" si="37"/>
        <v>0</v>
      </c>
      <c r="I333" s="256">
        <f t="shared" si="38"/>
        <v>0</v>
      </c>
      <c r="J333" s="256">
        <f t="shared" si="39"/>
        <v>0</v>
      </c>
      <c r="K333" s="256">
        <f t="shared" si="40"/>
        <v>0</v>
      </c>
      <c r="L333" s="255"/>
    </row>
    <row r="334" spans="1:12">
      <c r="A334" s="257">
        <v>271</v>
      </c>
      <c r="B334" s="256">
        <f t="shared" si="33"/>
        <v>0</v>
      </c>
      <c r="C334" s="256">
        <f t="shared" si="34"/>
        <v>0</v>
      </c>
      <c r="D334" s="256">
        <f t="shared" si="35"/>
        <v>0</v>
      </c>
      <c r="E334" s="256">
        <f t="shared" si="36"/>
        <v>0</v>
      </c>
      <c r="F334" s="255"/>
      <c r="G334" s="257">
        <v>271</v>
      </c>
      <c r="H334" s="256">
        <f t="shared" si="37"/>
        <v>0</v>
      </c>
      <c r="I334" s="256">
        <f t="shared" si="38"/>
        <v>0</v>
      </c>
      <c r="J334" s="256">
        <f t="shared" si="39"/>
        <v>0</v>
      </c>
      <c r="K334" s="256">
        <f t="shared" si="40"/>
        <v>0</v>
      </c>
      <c r="L334" s="255"/>
    </row>
    <row r="335" spans="1:12">
      <c r="A335" s="257">
        <v>272</v>
      </c>
      <c r="B335" s="256">
        <f t="shared" si="33"/>
        <v>0</v>
      </c>
      <c r="C335" s="256">
        <f t="shared" si="34"/>
        <v>0</v>
      </c>
      <c r="D335" s="256">
        <f t="shared" si="35"/>
        <v>0</v>
      </c>
      <c r="E335" s="256">
        <f t="shared" si="36"/>
        <v>0</v>
      </c>
      <c r="F335" s="255"/>
      <c r="G335" s="257">
        <v>272</v>
      </c>
      <c r="H335" s="256">
        <f t="shared" si="37"/>
        <v>0</v>
      </c>
      <c r="I335" s="256">
        <f t="shared" si="38"/>
        <v>0</v>
      </c>
      <c r="J335" s="256">
        <f t="shared" si="39"/>
        <v>0</v>
      </c>
      <c r="K335" s="256">
        <f t="shared" si="40"/>
        <v>0</v>
      </c>
      <c r="L335" s="255"/>
    </row>
    <row r="336" spans="1:12">
      <c r="A336" s="257">
        <v>273</v>
      </c>
      <c r="B336" s="256">
        <f t="shared" si="33"/>
        <v>0</v>
      </c>
      <c r="C336" s="256">
        <f t="shared" si="34"/>
        <v>0</v>
      </c>
      <c r="D336" s="256">
        <f t="shared" si="35"/>
        <v>0</v>
      </c>
      <c r="E336" s="256">
        <f t="shared" si="36"/>
        <v>0</v>
      </c>
      <c r="F336" s="255"/>
      <c r="G336" s="257">
        <v>273</v>
      </c>
      <c r="H336" s="256">
        <f t="shared" si="37"/>
        <v>0</v>
      </c>
      <c r="I336" s="256">
        <f t="shared" si="38"/>
        <v>0</v>
      </c>
      <c r="J336" s="256">
        <f t="shared" si="39"/>
        <v>0</v>
      </c>
      <c r="K336" s="256">
        <f t="shared" si="40"/>
        <v>0</v>
      </c>
      <c r="L336" s="255"/>
    </row>
    <row r="337" spans="1:12">
      <c r="A337" s="257">
        <v>274</v>
      </c>
      <c r="B337" s="256">
        <f t="shared" si="33"/>
        <v>0</v>
      </c>
      <c r="C337" s="256">
        <f t="shared" si="34"/>
        <v>0</v>
      </c>
      <c r="D337" s="256">
        <f t="shared" si="35"/>
        <v>0</v>
      </c>
      <c r="E337" s="256">
        <f t="shared" si="36"/>
        <v>0</v>
      </c>
      <c r="F337" s="255"/>
      <c r="G337" s="257">
        <v>274</v>
      </c>
      <c r="H337" s="256">
        <f t="shared" si="37"/>
        <v>0</v>
      </c>
      <c r="I337" s="256">
        <f t="shared" si="38"/>
        <v>0</v>
      </c>
      <c r="J337" s="256">
        <f t="shared" si="39"/>
        <v>0</v>
      </c>
      <c r="K337" s="256">
        <f t="shared" si="40"/>
        <v>0</v>
      </c>
      <c r="L337" s="255"/>
    </row>
    <row r="338" spans="1:12">
      <c r="A338" s="257">
        <v>275</v>
      </c>
      <c r="B338" s="256">
        <f t="shared" si="33"/>
        <v>0</v>
      </c>
      <c r="C338" s="256">
        <f t="shared" si="34"/>
        <v>0</v>
      </c>
      <c r="D338" s="256">
        <f t="shared" si="35"/>
        <v>0</v>
      </c>
      <c r="E338" s="256">
        <f t="shared" si="36"/>
        <v>0</v>
      </c>
      <c r="F338" s="255"/>
      <c r="G338" s="257">
        <v>275</v>
      </c>
      <c r="H338" s="256">
        <f t="shared" si="37"/>
        <v>0</v>
      </c>
      <c r="I338" s="256">
        <f t="shared" si="38"/>
        <v>0</v>
      </c>
      <c r="J338" s="256">
        <f t="shared" si="39"/>
        <v>0</v>
      </c>
      <c r="K338" s="256">
        <f t="shared" si="40"/>
        <v>0</v>
      </c>
      <c r="L338" s="255"/>
    </row>
    <row r="339" spans="1:12">
      <c r="A339" s="257">
        <v>276</v>
      </c>
      <c r="B339" s="256">
        <f t="shared" si="33"/>
        <v>0</v>
      </c>
      <c r="C339" s="256">
        <f t="shared" si="34"/>
        <v>0</v>
      </c>
      <c r="D339" s="256">
        <f t="shared" si="35"/>
        <v>0</v>
      </c>
      <c r="E339" s="256">
        <f t="shared" si="36"/>
        <v>0</v>
      </c>
      <c r="F339" s="255">
        <v>23</v>
      </c>
      <c r="G339" s="257">
        <v>276</v>
      </c>
      <c r="H339" s="256">
        <f t="shared" si="37"/>
        <v>0</v>
      </c>
      <c r="I339" s="256">
        <f t="shared" si="38"/>
        <v>0</v>
      </c>
      <c r="J339" s="256">
        <f t="shared" si="39"/>
        <v>0</v>
      </c>
      <c r="K339" s="256">
        <f t="shared" si="40"/>
        <v>0</v>
      </c>
      <c r="L339" s="255">
        <v>23</v>
      </c>
    </row>
    <row r="340" spans="1:12">
      <c r="A340" s="257">
        <v>277</v>
      </c>
      <c r="B340" s="256">
        <f t="shared" si="33"/>
        <v>0</v>
      </c>
      <c r="C340" s="256">
        <f t="shared" si="34"/>
        <v>0</v>
      </c>
      <c r="D340" s="256">
        <f t="shared" si="35"/>
        <v>0</v>
      </c>
      <c r="E340" s="256">
        <f t="shared" si="36"/>
        <v>0</v>
      </c>
      <c r="F340" s="255"/>
      <c r="G340" s="257">
        <v>277</v>
      </c>
      <c r="H340" s="256">
        <f t="shared" si="37"/>
        <v>0</v>
      </c>
      <c r="I340" s="256">
        <f t="shared" si="38"/>
        <v>0</v>
      </c>
      <c r="J340" s="256">
        <f t="shared" si="39"/>
        <v>0</v>
      </c>
      <c r="K340" s="256">
        <f t="shared" si="40"/>
        <v>0</v>
      </c>
      <c r="L340" s="255"/>
    </row>
    <row r="341" spans="1:12">
      <c r="A341" s="257">
        <v>278</v>
      </c>
      <c r="B341" s="256">
        <f t="shared" si="33"/>
        <v>0</v>
      </c>
      <c r="C341" s="256">
        <f t="shared" si="34"/>
        <v>0</v>
      </c>
      <c r="D341" s="256">
        <f t="shared" si="35"/>
        <v>0</v>
      </c>
      <c r="E341" s="256">
        <f t="shared" si="36"/>
        <v>0</v>
      </c>
      <c r="F341" s="255"/>
      <c r="G341" s="257">
        <v>278</v>
      </c>
      <c r="H341" s="256">
        <f t="shared" si="37"/>
        <v>0</v>
      </c>
      <c r="I341" s="256">
        <f t="shared" si="38"/>
        <v>0</v>
      </c>
      <c r="J341" s="256">
        <f t="shared" si="39"/>
        <v>0</v>
      </c>
      <c r="K341" s="256">
        <f t="shared" si="40"/>
        <v>0</v>
      </c>
      <c r="L341" s="255"/>
    </row>
    <row r="342" spans="1:12">
      <c r="A342" s="257">
        <v>279</v>
      </c>
      <c r="B342" s="256">
        <f t="shared" si="33"/>
        <v>0</v>
      </c>
      <c r="C342" s="256">
        <f t="shared" si="34"/>
        <v>0</v>
      </c>
      <c r="D342" s="256">
        <f t="shared" si="35"/>
        <v>0</v>
      </c>
      <c r="E342" s="256">
        <f t="shared" si="36"/>
        <v>0</v>
      </c>
      <c r="F342" s="255"/>
      <c r="G342" s="257">
        <v>279</v>
      </c>
      <c r="H342" s="256">
        <f t="shared" si="37"/>
        <v>0</v>
      </c>
      <c r="I342" s="256">
        <f t="shared" si="38"/>
        <v>0</v>
      </c>
      <c r="J342" s="256">
        <f t="shared" si="39"/>
        <v>0</v>
      </c>
      <c r="K342" s="256">
        <f t="shared" si="40"/>
        <v>0</v>
      </c>
      <c r="L342" s="255"/>
    </row>
    <row r="343" spans="1:12">
      <c r="A343" s="257">
        <v>280</v>
      </c>
      <c r="B343" s="256">
        <f t="shared" si="33"/>
        <v>0</v>
      </c>
      <c r="C343" s="256">
        <f t="shared" si="34"/>
        <v>0</v>
      </c>
      <c r="D343" s="256">
        <f t="shared" si="35"/>
        <v>0</v>
      </c>
      <c r="E343" s="256">
        <f t="shared" si="36"/>
        <v>0</v>
      </c>
      <c r="F343" s="255"/>
      <c r="G343" s="257">
        <v>280</v>
      </c>
      <c r="H343" s="256">
        <f t="shared" si="37"/>
        <v>0</v>
      </c>
      <c r="I343" s="256">
        <f t="shared" si="38"/>
        <v>0</v>
      </c>
      <c r="J343" s="256">
        <f t="shared" si="39"/>
        <v>0</v>
      </c>
      <c r="K343" s="256">
        <f t="shared" si="40"/>
        <v>0</v>
      </c>
      <c r="L343" s="255"/>
    </row>
    <row r="344" spans="1:12">
      <c r="A344" s="257">
        <v>281</v>
      </c>
      <c r="B344" s="256">
        <f t="shared" si="33"/>
        <v>0</v>
      </c>
      <c r="C344" s="256">
        <f t="shared" si="34"/>
        <v>0</v>
      </c>
      <c r="D344" s="256">
        <f t="shared" si="35"/>
        <v>0</v>
      </c>
      <c r="E344" s="256">
        <f t="shared" si="36"/>
        <v>0</v>
      </c>
      <c r="F344" s="255"/>
      <c r="G344" s="257">
        <v>281</v>
      </c>
      <c r="H344" s="256">
        <f t="shared" si="37"/>
        <v>0</v>
      </c>
      <c r="I344" s="256">
        <f t="shared" si="38"/>
        <v>0</v>
      </c>
      <c r="J344" s="256">
        <f t="shared" si="39"/>
        <v>0</v>
      </c>
      <c r="K344" s="256">
        <f t="shared" si="40"/>
        <v>0</v>
      </c>
      <c r="L344" s="255"/>
    </row>
    <row r="345" spans="1:12">
      <c r="A345" s="257">
        <v>282</v>
      </c>
      <c r="B345" s="256">
        <f t="shared" si="33"/>
        <v>0</v>
      </c>
      <c r="C345" s="256">
        <f t="shared" si="34"/>
        <v>0</v>
      </c>
      <c r="D345" s="256">
        <f t="shared" si="35"/>
        <v>0</v>
      </c>
      <c r="E345" s="256">
        <f t="shared" si="36"/>
        <v>0</v>
      </c>
      <c r="F345" s="255"/>
      <c r="G345" s="257">
        <v>282</v>
      </c>
      <c r="H345" s="256">
        <f t="shared" si="37"/>
        <v>0</v>
      </c>
      <c r="I345" s="256">
        <f t="shared" si="38"/>
        <v>0</v>
      </c>
      <c r="J345" s="256">
        <f t="shared" si="39"/>
        <v>0</v>
      </c>
      <c r="K345" s="256">
        <f t="shared" si="40"/>
        <v>0</v>
      </c>
      <c r="L345" s="255"/>
    </row>
    <row r="346" spans="1:12">
      <c r="A346" s="257">
        <v>283</v>
      </c>
      <c r="B346" s="256">
        <f t="shared" si="33"/>
        <v>0</v>
      </c>
      <c r="C346" s="256">
        <f t="shared" si="34"/>
        <v>0</v>
      </c>
      <c r="D346" s="256">
        <f t="shared" si="35"/>
        <v>0</v>
      </c>
      <c r="E346" s="256">
        <f t="shared" si="36"/>
        <v>0</v>
      </c>
      <c r="F346" s="255"/>
      <c r="G346" s="257">
        <v>283</v>
      </c>
      <c r="H346" s="256">
        <f t="shared" si="37"/>
        <v>0</v>
      </c>
      <c r="I346" s="256">
        <f t="shared" si="38"/>
        <v>0</v>
      </c>
      <c r="J346" s="256">
        <f t="shared" si="39"/>
        <v>0</v>
      </c>
      <c r="K346" s="256">
        <f t="shared" si="40"/>
        <v>0</v>
      </c>
      <c r="L346" s="255"/>
    </row>
    <row r="347" spans="1:12">
      <c r="A347" s="257">
        <v>284</v>
      </c>
      <c r="B347" s="256">
        <f t="shared" si="33"/>
        <v>0</v>
      </c>
      <c r="C347" s="256">
        <f t="shared" si="34"/>
        <v>0</v>
      </c>
      <c r="D347" s="256">
        <f t="shared" si="35"/>
        <v>0</v>
      </c>
      <c r="E347" s="256">
        <f t="shared" si="36"/>
        <v>0</v>
      </c>
      <c r="F347" s="255"/>
      <c r="G347" s="257">
        <v>284</v>
      </c>
      <c r="H347" s="256">
        <f t="shared" si="37"/>
        <v>0</v>
      </c>
      <c r="I347" s="256">
        <f t="shared" si="38"/>
        <v>0</v>
      </c>
      <c r="J347" s="256">
        <f t="shared" si="39"/>
        <v>0</v>
      </c>
      <c r="K347" s="256">
        <f t="shared" si="40"/>
        <v>0</v>
      </c>
      <c r="L347" s="255"/>
    </row>
    <row r="348" spans="1:12">
      <c r="A348" s="257">
        <v>285</v>
      </c>
      <c r="B348" s="256">
        <f t="shared" si="33"/>
        <v>0</v>
      </c>
      <c r="C348" s="256">
        <f t="shared" si="34"/>
        <v>0</v>
      </c>
      <c r="D348" s="256">
        <f t="shared" si="35"/>
        <v>0</v>
      </c>
      <c r="E348" s="256">
        <f t="shared" si="36"/>
        <v>0</v>
      </c>
      <c r="F348" s="255"/>
      <c r="G348" s="257">
        <v>285</v>
      </c>
      <c r="H348" s="256">
        <f t="shared" si="37"/>
        <v>0</v>
      </c>
      <c r="I348" s="256">
        <f t="shared" si="38"/>
        <v>0</v>
      </c>
      <c r="J348" s="256">
        <f t="shared" si="39"/>
        <v>0</v>
      </c>
      <c r="K348" s="256">
        <f t="shared" si="40"/>
        <v>0</v>
      </c>
      <c r="L348" s="255"/>
    </row>
    <row r="349" spans="1:12">
      <c r="A349" s="257">
        <v>286</v>
      </c>
      <c r="B349" s="256">
        <f t="shared" si="33"/>
        <v>0</v>
      </c>
      <c r="C349" s="256">
        <f t="shared" si="34"/>
        <v>0</v>
      </c>
      <c r="D349" s="256">
        <f t="shared" si="35"/>
        <v>0</v>
      </c>
      <c r="E349" s="256">
        <f t="shared" si="36"/>
        <v>0</v>
      </c>
      <c r="F349" s="255"/>
      <c r="G349" s="257">
        <v>286</v>
      </c>
      <c r="H349" s="256">
        <f t="shared" si="37"/>
        <v>0</v>
      </c>
      <c r="I349" s="256">
        <f t="shared" si="38"/>
        <v>0</v>
      </c>
      <c r="J349" s="256">
        <f t="shared" si="39"/>
        <v>0</v>
      </c>
      <c r="K349" s="256">
        <f t="shared" si="40"/>
        <v>0</v>
      </c>
      <c r="L349" s="255"/>
    </row>
    <row r="350" spans="1:12">
      <c r="A350" s="257">
        <v>287</v>
      </c>
      <c r="B350" s="256">
        <f t="shared" si="33"/>
        <v>0</v>
      </c>
      <c r="C350" s="256">
        <f t="shared" si="34"/>
        <v>0</v>
      </c>
      <c r="D350" s="256">
        <f t="shared" si="35"/>
        <v>0</v>
      </c>
      <c r="E350" s="256">
        <f t="shared" si="36"/>
        <v>0</v>
      </c>
      <c r="F350" s="255"/>
      <c r="G350" s="257">
        <v>287</v>
      </c>
      <c r="H350" s="256">
        <f t="shared" si="37"/>
        <v>0</v>
      </c>
      <c r="I350" s="256">
        <f t="shared" si="38"/>
        <v>0</v>
      </c>
      <c r="J350" s="256">
        <f t="shared" si="39"/>
        <v>0</v>
      </c>
      <c r="K350" s="256">
        <f t="shared" si="40"/>
        <v>0</v>
      </c>
      <c r="L350" s="255"/>
    </row>
    <row r="351" spans="1:12">
      <c r="A351" s="257">
        <v>288</v>
      </c>
      <c r="B351" s="256">
        <f t="shared" si="33"/>
        <v>0</v>
      </c>
      <c r="C351" s="256">
        <f t="shared" si="34"/>
        <v>0</v>
      </c>
      <c r="D351" s="256">
        <f t="shared" si="35"/>
        <v>0</v>
      </c>
      <c r="E351" s="256">
        <f t="shared" si="36"/>
        <v>0</v>
      </c>
      <c r="F351" s="255">
        <v>24</v>
      </c>
      <c r="G351" s="257">
        <v>288</v>
      </c>
      <c r="H351" s="256">
        <f t="shared" si="37"/>
        <v>0</v>
      </c>
      <c r="I351" s="256">
        <f t="shared" si="38"/>
        <v>0</v>
      </c>
      <c r="J351" s="256">
        <f t="shared" si="39"/>
        <v>0</v>
      </c>
      <c r="K351" s="256">
        <f t="shared" si="40"/>
        <v>0</v>
      </c>
      <c r="L351" s="255">
        <v>24</v>
      </c>
    </row>
    <row r="352" spans="1:12">
      <c r="A352" s="257">
        <v>289</v>
      </c>
      <c r="B352" s="256">
        <f t="shared" si="33"/>
        <v>0</v>
      </c>
      <c r="C352" s="256">
        <f t="shared" si="34"/>
        <v>0</v>
      </c>
      <c r="D352" s="256">
        <f t="shared" si="35"/>
        <v>0</v>
      </c>
      <c r="E352" s="256">
        <f t="shared" si="36"/>
        <v>0</v>
      </c>
      <c r="F352" s="255"/>
      <c r="G352" s="257">
        <v>289</v>
      </c>
      <c r="H352" s="256">
        <f t="shared" si="37"/>
        <v>0</v>
      </c>
      <c r="I352" s="256">
        <f t="shared" si="38"/>
        <v>0</v>
      </c>
      <c r="J352" s="256">
        <f t="shared" si="39"/>
        <v>0</v>
      </c>
      <c r="K352" s="256">
        <f t="shared" si="40"/>
        <v>0</v>
      </c>
      <c r="L352" s="255"/>
    </row>
    <row r="353" spans="1:12">
      <c r="A353" s="257">
        <v>290</v>
      </c>
      <c r="B353" s="256">
        <f t="shared" si="33"/>
        <v>0</v>
      </c>
      <c r="C353" s="256">
        <f t="shared" si="34"/>
        <v>0</v>
      </c>
      <c r="D353" s="256">
        <f t="shared" si="35"/>
        <v>0</v>
      </c>
      <c r="E353" s="256">
        <f t="shared" si="36"/>
        <v>0</v>
      </c>
      <c r="F353" s="255"/>
      <c r="G353" s="257">
        <v>290</v>
      </c>
      <c r="H353" s="256">
        <f t="shared" si="37"/>
        <v>0</v>
      </c>
      <c r="I353" s="256">
        <f t="shared" si="38"/>
        <v>0</v>
      </c>
      <c r="J353" s="256">
        <f t="shared" si="39"/>
        <v>0</v>
      </c>
      <c r="K353" s="256">
        <f t="shared" si="40"/>
        <v>0</v>
      </c>
      <c r="L353" s="255"/>
    </row>
    <row r="354" spans="1:12">
      <c r="A354" s="257">
        <v>291</v>
      </c>
      <c r="B354" s="256">
        <f t="shared" si="33"/>
        <v>0</v>
      </c>
      <c r="C354" s="256">
        <f t="shared" si="34"/>
        <v>0</v>
      </c>
      <c r="D354" s="256">
        <f t="shared" si="35"/>
        <v>0</v>
      </c>
      <c r="E354" s="256">
        <f t="shared" si="36"/>
        <v>0</v>
      </c>
      <c r="F354" s="255"/>
      <c r="G354" s="257">
        <v>291</v>
      </c>
      <c r="H354" s="256">
        <f t="shared" si="37"/>
        <v>0</v>
      </c>
      <c r="I354" s="256">
        <f t="shared" si="38"/>
        <v>0</v>
      </c>
      <c r="J354" s="256">
        <f t="shared" si="39"/>
        <v>0</v>
      </c>
      <c r="K354" s="256">
        <f t="shared" si="40"/>
        <v>0</v>
      </c>
      <c r="L354" s="255"/>
    </row>
    <row r="355" spans="1:12">
      <c r="A355" s="257">
        <v>292</v>
      </c>
      <c r="B355" s="256">
        <f t="shared" si="33"/>
        <v>0</v>
      </c>
      <c r="C355" s="256">
        <f t="shared" si="34"/>
        <v>0</v>
      </c>
      <c r="D355" s="256">
        <f t="shared" si="35"/>
        <v>0</v>
      </c>
      <c r="E355" s="256">
        <f t="shared" si="36"/>
        <v>0</v>
      </c>
      <c r="F355" s="255"/>
      <c r="G355" s="257">
        <v>292</v>
      </c>
      <c r="H355" s="256">
        <f t="shared" si="37"/>
        <v>0</v>
      </c>
      <c r="I355" s="256">
        <f t="shared" si="38"/>
        <v>0</v>
      </c>
      <c r="J355" s="256">
        <f t="shared" si="39"/>
        <v>0</v>
      </c>
      <c r="K355" s="256">
        <f t="shared" si="40"/>
        <v>0</v>
      </c>
      <c r="L355" s="255"/>
    </row>
    <row r="356" spans="1:12">
      <c r="A356" s="257">
        <v>293</v>
      </c>
      <c r="B356" s="256">
        <f t="shared" si="33"/>
        <v>0</v>
      </c>
      <c r="C356" s="256">
        <f t="shared" si="34"/>
        <v>0</v>
      </c>
      <c r="D356" s="256">
        <f t="shared" si="35"/>
        <v>0</v>
      </c>
      <c r="E356" s="256">
        <f t="shared" si="36"/>
        <v>0</v>
      </c>
      <c r="F356" s="255"/>
      <c r="G356" s="257">
        <v>293</v>
      </c>
      <c r="H356" s="256">
        <f t="shared" si="37"/>
        <v>0</v>
      </c>
      <c r="I356" s="256">
        <f t="shared" si="38"/>
        <v>0</v>
      </c>
      <c r="J356" s="256">
        <f t="shared" si="39"/>
        <v>0</v>
      </c>
      <c r="K356" s="256">
        <f t="shared" si="40"/>
        <v>0</v>
      </c>
      <c r="L356" s="255"/>
    </row>
    <row r="357" spans="1:12">
      <c r="A357" s="257">
        <v>294</v>
      </c>
      <c r="B357" s="256">
        <f t="shared" si="33"/>
        <v>0</v>
      </c>
      <c r="C357" s="256">
        <f t="shared" si="34"/>
        <v>0</v>
      </c>
      <c r="D357" s="256">
        <f t="shared" si="35"/>
        <v>0</v>
      </c>
      <c r="E357" s="256">
        <f t="shared" si="36"/>
        <v>0</v>
      </c>
      <c r="F357" s="255"/>
      <c r="G357" s="257">
        <v>294</v>
      </c>
      <c r="H357" s="256">
        <f t="shared" si="37"/>
        <v>0</v>
      </c>
      <c r="I357" s="256">
        <f t="shared" si="38"/>
        <v>0</v>
      </c>
      <c r="J357" s="256">
        <f t="shared" si="39"/>
        <v>0</v>
      </c>
      <c r="K357" s="256">
        <f t="shared" si="40"/>
        <v>0</v>
      </c>
      <c r="L357" s="255"/>
    </row>
    <row r="358" spans="1:12">
      <c r="A358" s="257">
        <v>295</v>
      </c>
      <c r="B358" s="256">
        <f t="shared" si="33"/>
        <v>0</v>
      </c>
      <c r="C358" s="256">
        <f t="shared" si="34"/>
        <v>0</v>
      </c>
      <c r="D358" s="256">
        <f t="shared" si="35"/>
        <v>0</v>
      </c>
      <c r="E358" s="256">
        <f t="shared" si="36"/>
        <v>0</v>
      </c>
      <c r="F358" s="255"/>
      <c r="G358" s="257">
        <v>295</v>
      </c>
      <c r="H358" s="256">
        <f t="shared" si="37"/>
        <v>0</v>
      </c>
      <c r="I358" s="256">
        <f t="shared" si="38"/>
        <v>0</v>
      </c>
      <c r="J358" s="256">
        <f t="shared" si="39"/>
        <v>0</v>
      </c>
      <c r="K358" s="256">
        <f t="shared" si="40"/>
        <v>0</v>
      </c>
      <c r="L358" s="255"/>
    </row>
    <row r="359" spans="1:12">
      <c r="A359" s="257">
        <v>296</v>
      </c>
      <c r="B359" s="256">
        <f t="shared" si="33"/>
        <v>0</v>
      </c>
      <c r="C359" s="256">
        <f t="shared" si="34"/>
        <v>0</v>
      </c>
      <c r="D359" s="256">
        <f t="shared" si="35"/>
        <v>0</v>
      </c>
      <c r="E359" s="256">
        <f t="shared" si="36"/>
        <v>0</v>
      </c>
      <c r="F359" s="255"/>
      <c r="G359" s="257">
        <v>296</v>
      </c>
      <c r="H359" s="256">
        <f t="shared" si="37"/>
        <v>0</v>
      </c>
      <c r="I359" s="256">
        <f t="shared" si="38"/>
        <v>0</v>
      </c>
      <c r="J359" s="256">
        <f t="shared" si="39"/>
        <v>0</v>
      </c>
      <c r="K359" s="256">
        <f t="shared" si="40"/>
        <v>0</v>
      </c>
      <c r="L359" s="255"/>
    </row>
    <row r="360" spans="1:12">
      <c r="A360" s="257">
        <v>297</v>
      </c>
      <c r="B360" s="256">
        <f t="shared" si="33"/>
        <v>0</v>
      </c>
      <c r="C360" s="256">
        <f t="shared" si="34"/>
        <v>0</v>
      </c>
      <c r="D360" s="256">
        <f t="shared" si="35"/>
        <v>0</v>
      </c>
      <c r="E360" s="256">
        <f t="shared" si="36"/>
        <v>0</v>
      </c>
      <c r="F360" s="255"/>
      <c r="G360" s="257">
        <v>297</v>
      </c>
      <c r="H360" s="256">
        <f t="shared" si="37"/>
        <v>0</v>
      </c>
      <c r="I360" s="256">
        <f t="shared" si="38"/>
        <v>0</v>
      </c>
      <c r="J360" s="256">
        <f t="shared" si="39"/>
        <v>0</v>
      </c>
      <c r="K360" s="256">
        <f t="shared" si="40"/>
        <v>0</v>
      </c>
      <c r="L360" s="255"/>
    </row>
    <row r="361" spans="1:12">
      <c r="A361" s="257">
        <v>298</v>
      </c>
      <c r="B361" s="256">
        <f t="shared" si="33"/>
        <v>0</v>
      </c>
      <c r="C361" s="256">
        <f t="shared" si="34"/>
        <v>0</v>
      </c>
      <c r="D361" s="256">
        <f t="shared" si="35"/>
        <v>0</v>
      </c>
      <c r="E361" s="256">
        <f t="shared" si="36"/>
        <v>0</v>
      </c>
      <c r="F361" s="255"/>
      <c r="G361" s="257">
        <v>298</v>
      </c>
      <c r="H361" s="256">
        <f t="shared" si="37"/>
        <v>0</v>
      </c>
      <c r="I361" s="256">
        <f t="shared" si="38"/>
        <v>0</v>
      </c>
      <c r="J361" s="256">
        <f t="shared" si="39"/>
        <v>0</v>
      </c>
      <c r="K361" s="256">
        <f t="shared" si="40"/>
        <v>0</v>
      </c>
      <c r="L361" s="255"/>
    </row>
    <row r="362" spans="1:12">
      <c r="A362" s="257">
        <v>299</v>
      </c>
      <c r="B362" s="256">
        <f t="shared" si="33"/>
        <v>0</v>
      </c>
      <c r="C362" s="256">
        <f t="shared" si="34"/>
        <v>0</v>
      </c>
      <c r="D362" s="256">
        <f t="shared" si="35"/>
        <v>0</v>
      </c>
      <c r="E362" s="256">
        <f t="shared" si="36"/>
        <v>0</v>
      </c>
      <c r="F362" s="255"/>
      <c r="G362" s="257">
        <v>299</v>
      </c>
      <c r="H362" s="256">
        <f t="shared" si="37"/>
        <v>0</v>
      </c>
      <c r="I362" s="256">
        <f t="shared" si="38"/>
        <v>0</v>
      </c>
      <c r="J362" s="256">
        <f t="shared" si="39"/>
        <v>0</v>
      </c>
      <c r="K362" s="256">
        <f t="shared" si="40"/>
        <v>0</v>
      </c>
      <c r="L362" s="255"/>
    </row>
    <row r="363" spans="1:12">
      <c r="A363" s="257">
        <v>300</v>
      </c>
      <c r="B363" s="256">
        <f t="shared" si="33"/>
        <v>0</v>
      </c>
      <c r="C363" s="256">
        <f t="shared" si="34"/>
        <v>0</v>
      </c>
      <c r="D363" s="256">
        <f t="shared" si="35"/>
        <v>0</v>
      </c>
      <c r="E363" s="256">
        <f t="shared" si="36"/>
        <v>0</v>
      </c>
      <c r="F363" s="255">
        <v>25</v>
      </c>
      <c r="G363" s="257">
        <v>300</v>
      </c>
      <c r="H363" s="256">
        <f t="shared" si="37"/>
        <v>0</v>
      </c>
      <c r="I363" s="256">
        <f t="shared" si="38"/>
        <v>0</v>
      </c>
      <c r="J363" s="256">
        <f t="shared" si="39"/>
        <v>0</v>
      </c>
      <c r="K363" s="256">
        <f t="shared" si="40"/>
        <v>0</v>
      </c>
      <c r="L363" s="255">
        <v>25</v>
      </c>
    </row>
    <row r="364" spans="1:12">
      <c r="A364" s="257">
        <v>301</v>
      </c>
      <c r="B364" s="256">
        <f t="shared" si="33"/>
        <v>0</v>
      </c>
      <c r="C364" s="256">
        <f t="shared" si="34"/>
        <v>0</v>
      </c>
      <c r="D364" s="256">
        <f t="shared" si="35"/>
        <v>0</v>
      </c>
      <c r="E364" s="256">
        <f t="shared" si="36"/>
        <v>0</v>
      </c>
      <c r="F364" s="255"/>
      <c r="G364" s="257">
        <v>301</v>
      </c>
      <c r="H364" s="256">
        <f t="shared" si="37"/>
        <v>0</v>
      </c>
      <c r="I364" s="256">
        <f t="shared" si="38"/>
        <v>0</v>
      </c>
      <c r="J364" s="256">
        <f t="shared" si="39"/>
        <v>0</v>
      </c>
      <c r="K364" s="256">
        <f t="shared" si="40"/>
        <v>0</v>
      </c>
      <c r="L364" s="255"/>
    </row>
    <row r="365" spans="1:12">
      <c r="A365" s="257">
        <v>302</v>
      </c>
      <c r="B365" s="256">
        <f t="shared" si="33"/>
        <v>0</v>
      </c>
      <c r="C365" s="256">
        <f t="shared" si="34"/>
        <v>0</v>
      </c>
      <c r="D365" s="256">
        <f t="shared" si="35"/>
        <v>0</v>
      </c>
      <c r="E365" s="256">
        <f t="shared" si="36"/>
        <v>0</v>
      </c>
      <c r="F365" s="255"/>
      <c r="G365" s="257">
        <v>302</v>
      </c>
      <c r="H365" s="256">
        <f t="shared" si="37"/>
        <v>0</v>
      </c>
      <c r="I365" s="256">
        <f t="shared" si="38"/>
        <v>0</v>
      </c>
      <c r="J365" s="256">
        <f t="shared" si="39"/>
        <v>0</v>
      </c>
      <c r="K365" s="256">
        <f t="shared" si="40"/>
        <v>0</v>
      </c>
      <c r="L365" s="255"/>
    </row>
    <row r="366" spans="1:12">
      <c r="A366" s="257">
        <v>303</v>
      </c>
      <c r="B366" s="256">
        <f t="shared" si="33"/>
        <v>0</v>
      </c>
      <c r="C366" s="256">
        <f t="shared" si="34"/>
        <v>0</v>
      </c>
      <c r="D366" s="256">
        <f t="shared" si="35"/>
        <v>0</v>
      </c>
      <c r="E366" s="256">
        <f t="shared" si="36"/>
        <v>0</v>
      </c>
      <c r="F366" s="255"/>
      <c r="G366" s="257">
        <v>303</v>
      </c>
      <c r="H366" s="256">
        <f t="shared" si="37"/>
        <v>0</v>
      </c>
      <c r="I366" s="256">
        <f t="shared" si="38"/>
        <v>0</v>
      </c>
      <c r="J366" s="256">
        <f t="shared" si="39"/>
        <v>0</v>
      </c>
      <c r="K366" s="256">
        <f t="shared" si="40"/>
        <v>0</v>
      </c>
      <c r="L366" s="255"/>
    </row>
    <row r="367" spans="1:12">
      <c r="A367" s="257">
        <v>304</v>
      </c>
      <c r="B367" s="256">
        <f t="shared" si="33"/>
        <v>0</v>
      </c>
      <c r="C367" s="256">
        <f t="shared" si="34"/>
        <v>0</v>
      </c>
      <c r="D367" s="256">
        <f t="shared" si="35"/>
        <v>0</v>
      </c>
      <c r="E367" s="256">
        <f t="shared" si="36"/>
        <v>0</v>
      </c>
      <c r="F367" s="255"/>
      <c r="G367" s="257">
        <v>304</v>
      </c>
      <c r="H367" s="256">
        <f t="shared" si="37"/>
        <v>0</v>
      </c>
      <c r="I367" s="256">
        <f t="shared" si="38"/>
        <v>0</v>
      </c>
      <c r="J367" s="256">
        <f t="shared" si="39"/>
        <v>0</v>
      </c>
      <c r="K367" s="256">
        <f t="shared" si="40"/>
        <v>0</v>
      </c>
      <c r="L367" s="255"/>
    </row>
    <row r="368" spans="1:12">
      <c r="A368" s="257">
        <v>305</v>
      </c>
      <c r="B368" s="256">
        <f t="shared" si="33"/>
        <v>0</v>
      </c>
      <c r="C368" s="256">
        <f t="shared" si="34"/>
        <v>0</v>
      </c>
      <c r="D368" s="256">
        <f t="shared" si="35"/>
        <v>0</v>
      </c>
      <c r="E368" s="256">
        <f t="shared" si="36"/>
        <v>0</v>
      </c>
      <c r="F368" s="255"/>
      <c r="G368" s="257">
        <v>305</v>
      </c>
      <c r="H368" s="256">
        <f t="shared" si="37"/>
        <v>0</v>
      </c>
      <c r="I368" s="256">
        <f t="shared" si="38"/>
        <v>0</v>
      </c>
      <c r="J368" s="256">
        <f t="shared" si="39"/>
        <v>0</v>
      </c>
      <c r="K368" s="256">
        <f t="shared" si="40"/>
        <v>0</v>
      </c>
      <c r="L368" s="255"/>
    </row>
    <row r="369" spans="1:12">
      <c r="A369" s="257">
        <v>306</v>
      </c>
      <c r="B369" s="256">
        <f t="shared" si="33"/>
        <v>0</v>
      </c>
      <c r="C369" s="256">
        <f t="shared" si="34"/>
        <v>0</v>
      </c>
      <c r="D369" s="256">
        <f t="shared" si="35"/>
        <v>0</v>
      </c>
      <c r="E369" s="256">
        <f t="shared" si="36"/>
        <v>0</v>
      </c>
      <c r="F369" s="255"/>
      <c r="G369" s="257">
        <v>306</v>
      </c>
      <c r="H369" s="256">
        <f t="shared" si="37"/>
        <v>0</v>
      </c>
      <c r="I369" s="256">
        <f t="shared" si="38"/>
        <v>0</v>
      </c>
      <c r="J369" s="256">
        <f t="shared" si="39"/>
        <v>0</v>
      </c>
      <c r="K369" s="256">
        <f t="shared" si="40"/>
        <v>0</v>
      </c>
      <c r="L369" s="255"/>
    </row>
    <row r="370" spans="1:12">
      <c r="A370" s="257">
        <v>307</v>
      </c>
      <c r="B370" s="256">
        <f t="shared" si="33"/>
        <v>0</v>
      </c>
      <c r="C370" s="256">
        <f t="shared" si="34"/>
        <v>0</v>
      </c>
      <c r="D370" s="256">
        <f t="shared" si="35"/>
        <v>0</v>
      </c>
      <c r="E370" s="256">
        <f t="shared" si="36"/>
        <v>0</v>
      </c>
      <c r="F370" s="255"/>
      <c r="G370" s="257">
        <v>307</v>
      </c>
      <c r="H370" s="256">
        <f t="shared" si="37"/>
        <v>0</v>
      </c>
      <c r="I370" s="256">
        <f t="shared" si="38"/>
        <v>0</v>
      </c>
      <c r="J370" s="256">
        <f t="shared" si="39"/>
        <v>0</v>
      </c>
      <c r="K370" s="256">
        <f t="shared" si="40"/>
        <v>0</v>
      </c>
      <c r="L370" s="255"/>
    </row>
    <row r="371" spans="1:12">
      <c r="A371" s="257">
        <v>308</v>
      </c>
      <c r="B371" s="256">
        <f t="shared" si="33"/>
        <v>0</v>
      </c>
      <c r="C371" s="256">
        <f t="shared" si="34"/>
        <v>0</v>
      </c>
      <c r="D371" s="256">
        <f t="shared" si="35"/>
        <v>0</v>
      </c>
      <c r="E371" s="256">
        <f t="shared" si="36"/>
        <v>0</v>
      </c>
      <c r="F371" s="255"/>
      <c r="G371" s="257">
        <v>308</v>
      </c>
      <c r="H371" s="256">
        <f t="shared" si="37"/>
        <v>0</v>
      </c>
      <c r="I371" s="256">
        <f t="shared" si="38"/>
        <v>0</v>
      </c>
      <c r="J371" s="256">
        <f t="shared" si="39"/>
        <v>0</v>
      </c>
      <c r="K371" s="256">
        <f t="shared" si="40"/>
        <v>0</v>
      </c>
      <c r="L371" s="255"/>
    </row>
    <row r="372" spans="1:12">
      <c r="A372" s="257">
        <v>309</v>
      </c>
      <c r="B372" s="256">
        <f t="shared" si="33"/>
        <v>0</v>
      </c>
      <c r="C372" s="256">
        <f t="shared" si="34"/>
        <v>0</v>
      </c>
      <c r="D372" s="256">
        <f t="shared" si="35"/>
        <v>0</v>
      </c>
      <c r="E372" s="256">
        <f t="shared" si="36"/>
        <v>0</v>
      </c>
      <c r="F372" s="255"/>
      <c r="G372" s="257">
        <v>309</v>
      </c>
      <c r="H372" s="256">
        <f t="shared" si="37"/>
        <v>0</v>
      </c>
      <c r="I372" s="256">
        <f t="shared" si="38"/>
        <v>0</v>
      </c>
      <c r="J372" s="256">
        <f t="shared" si="39"/>
        <v>0</v>
      </c>
      <c r="K372" s="256">
        <f t="shared" si="40"/>
        <v>0</v>
      </c>
      <c r="L372" s="255"/>
    </row>
    <row r="373" spans="1:12">
      <c r="A373" s="257">
        <v>310</v>
      </c>
      <c r="B373" s="256">
        <f t="shared" si="33"/>
        <v>0</v>
      </c>
      <c r="C373" s="256">
        <f t="shared" si="34"/>
        <v>0</v>
      </c>
      <c r="D373" s="256">
        <f t="shared" si="35"/>
        <v>0</v>
      </c>
      <c r="E373" s="256">
        <f t="shared" si="36"/>
        <v>0</v>
      </c>
      <c r="F373" s="255"/>
      <c r="G373" s="257">
        <v>310</v>
      </c>
      <c r="H373" s="256">
        <f t="shared" si="37"/>
        <v>0</v>
      </c>
      <c r="I373" s="256">
        <f t="shared" si="38"/>
        <v>0</v>
      </c>
      <c r="J373" s="256">
        <f t="shared" si="39"/>
        <v>0</v>
      </c>
      <c r="K373" s="256">
        <f t="shared" si="40"/>
        <v>0</v>
      </c>
      <c r="L373" s="255"/>
    </row>
    <row r="374" spans="1:12">
      <c r="A374" s="257">
        <v>311</v>
      </c>
      <c r="B374" s="256">
        <f t="shared" si="33"/>
        <v>0</v>
      </c>
      <c r="C374" s="256">
        <f t="shared" si="34"/>
        <v>0</v>
      </c>
      <c r="D374" s="256">
        <f t="shared" si="35"/>
        <v>0</v>
      </c>
      <c r="E374" s="256">
        <f t="shared" si="36"/>
        <v>0</v>
      </c>
      <c r="F374" s="255"/>
      <c r="G374" s="257">
        <v>311</v>
      </c>
      <c r="H374" s="256">
        <f t="shared" si="37"/>
        <v>0</v>
      </c>
      <c r="I374" s="256">
        <f t="shared" si="38"/>
        <v>0</v>
      </c>
      <c r="J374" s="256">
        <f t="shared" si="39"/>
        <v>0</v>
      </c>
      <c r="K374" s="256">
        <f t="shared" si="40"/>
        <v>0</v>
      </c>
      <c r="L374" s="255"/>
    </row>
    <row r="375" spans="1:12">
      <c r="A375" s="257">
        <v>312</v>
      </c>
      <c r="B375" s="256">
        <f t="shared" si="33"/>
        <v>0</v>
      </c>
      <c r="C375" s="256">
        <f t="shared" si="34"/>
        <v>0</v>
      </c>
      <c r="D375" s="256">
        <f t="shared" si="35"/>
        <v>0</v>
      </c>
      <c r="E375" s="256">
        <f t="shared" si="36"/>
        <v>0</v>
      </c>
      <c r="F375" s="255">
        <v>26</v>
      </c>
      <c r="G375" s="257">
        <v>312</v>
      </c>
      <c r="H375" s="256">
        <f t="shared" si="37"/>
        <v>0</v>
      </c>
      <c r="I375" s="256">
        <f t="shared" si="38"/>
        <v>0</v>
      </c>
      <c r="J375" s="256">
        <f t="shared" si="39"/>
        <v>0</v>
      </c>
      <c r="K375" s="256">
        <f t="shared" si="40"/>
        <v>0</v>
      </c>
      <c r="L375" s="255">
        <v>26</v>
      </c>
    </row>
    <row r="376" spans="1:12">
      <c r="A376" s="257">
        <v>313</v>
      </c>
      <c r="B376" s="256">
        <f t="shared" si="33"/>
        <v>0</v>
      </c>
      <c r="C376" s="256">
        <f t="shared" si="34"/>
        <v>0</v>
      </c>
      <c r="D376" s="256">
        <f t="shared" si="35"/>
        <v>0</v>
      </c>
      <c r="E376" s="256">
        <f t="shared" si="36"/>
        <v>0</v>
      </c>
      <c r="F376" s="255"/>
      <c r="G376" s="257">
        <v>313</v>
      </c>
      <c r="H376" s="256">
        <f t="shared" si="37"/>
        <v>0</v>
      </c>
      <c r="I376" s="256">
        <f t="shared" si="38"/>
        <v>0</v>
      </c>
      <c r="J376" s="256">
        <f t="shared" si="39"/>
        <v>0</v>
      </c>
      <c r="K376" s="256">
        <f t="shared" si="40"/>
        <v>0</v>
      </c>
      <c r="L376" s="255"/>
    </row>
    <row r="377" spans="1:12">
      <c r="A377" s="257">
        <v>314</v>
      </c>
      <c r="B377" s="256">
        <f t="shared" si="33"/>
        <v>0</v>
      </c>
      <c r="C377" s="256">
        <f t="shared" si="34"/>
        <v>0</v>
      </c>
      <c r="D377" s="256">
        <f t="shared" si="35"/>
        <v>0</v>
      </c>
      <c r="E377" s="256">
        <f t="shared" si="36"/>
        <v>0</v>
      </c>
      <c r="F377" s="255"/>
      <c r="G377" s="257">
        <v>314</v>
      </c>
      <c r="H377" s="256">
        <f t="shared" si="37"/>
        <v>0</v>
      </c>
      <c r="I377" s="256">
        <f t="shared" si="38"/>
        <v>0</v>
      </c>
      <c r="J377" s="256">
        <f t="shared" si="39"/>
        <v>0</v>
      </c>
      <c r="K377" s="256">
        <f t="shared" si="40"/>
        <v>0</v>
      </c>
      <c r="L377" s="255"/>
    </row>
    <row r="378" spans="1:12">
      <c r="A378" s="257">
        <v>315</v>
      </c>
      <c r="B378" s="256">
        <f t="shared" si="33"/>
        <v>0</v>
      </c>
      <c r="C378" s="256">
        <f t="shared" si="34"/>
        <v>0</v>
      </c>
      <c r="D378" s="256">
        <f t="shared" si="35"/>
        <v>0</v>
      </c>
      <c r="E378" s="256">
        <f t="shared" si="36"/>
        <v>0</v>
      </c>
      <c r="F378" s="255"/>
      <c r="G378" s="257">
        <v>315</v>
      </c>
      <c r="H378" s="256">
        <f t="shared" si="37"/>
        <v>0</v>
      </c>
      <c r="I378" s="256">
        <f t="shared" si="38"/>
        <v>0</v>
      </c>
      <c r="J378" s="256">
        <f t="shared" si="39"/>
        <v>0</v>
      </c>
      <c r="K378" s="256">
        <f t="shared" si="40"/>
        <v>0</v>
      </c>
      <c r="L378" s="255"/>
    </row>
    <row r="379" spans="1:12">
      <c r="A379" s="257">
        <v>316</v>
      </c>
      <c r="B379" s="256">
        <f t="shared" si="33"/>
        <v>0</v>
      </c>
      <c r="C379" s="256">
        <f t="shared" si="34"/>
        <v>0</v>
      </c>
      <c r="D379" s="256">
        <f t="shared" si="35"/>
        <v>0</v>
      </c>
      <c r="E379" s="256">
        <f t="shared" si="36"/>
        <v>0</v>
      </c>
      <c r="F379" s="255"/>
      <c r="G379" s="257">
        <v>316</v>
      </c>
      <c r="H379" s="256">
        <f t="shared" si="37"/>
        <v>0</v>
      </c>
      <c r="I379" s="256">
        <f t="shared" si="38"/>
        <v>0</v>
      </c>
      <c r="J379" s="256">
        <f t="shared" si="39"/>
        <v>0</v>
      </c>
      <c r="K379" s="256">
        <f t="shared" si="40"/>
        <v>0</v>
      </c>
      <c r="L379" s="255"/>
    </row>
    <row r="380" spans="1:12">
      <c r="A380" s="257">
        <v>317</v>
      </c>
      <c r="B380" s="256">
        <f t="shared" si="33"/>
        <v>0</v>
      </c>
      <c r="C380" s="256">
        <f t="shared" si="34"/>
        <v>0</v>
      </c>
      <c r="D380" s="256">
        <f t="shared" si="35"/>
        <v>0</v>
      </c>
      <c r="E380" s="256">
        <f t="shared" si="36"/>
        <v>0</v>
      </c>
      <c r="F380" s="255"/>
      <c r="G380" s="257">
        <v>317</v>
      </c>
      <c r="H380" s="256">
        <f t="shared" si="37"/>
        <v>0</v>
      </c>
      <c r="I380" s="256">
        <f t="shared" si="38"/>
        <v>0</v>
      </c>
      <c r="J380" s="256">
        <f t="shared" si="39"/>
        <v>0</v>
      </c>
      <c r="K380" s="256">
        <f t="shared" si="40"/>
        <v>0</v>
      </c>
      <c r="L380" s="255"/>
    </row>
    <row r="381" spans="1:12">
      <c r="A381" s="257">
        <v>318</v>
      </c>
      <c r="B381" s="256">
        <f t="shared" si="33"/>
        <v>0</v>
      </c>
      <c r="C381" s="256">
        <f t="shared" si="34"/>
        <v>0</v>
      </c>
      <c r="D381" s="256">
        <f t="shared" si="35"/>
        <v>0</v>
      </c>
      <c r="E381" s="256">
        <f t="shared" si="36"/>
        <v>0</v>
      </c>
      <c r="F381" s="255"/>
      <c r="G381" s="257">
        <v>318</v>
      </c>
      <c r="H381" s="256">
        <f t="shared" si="37"/>
        <v>0</v>
      </c>
      <c r="I381" s="256">
        <f t="shared" si="38"/>
        <v>0</v>
      </c>
      <c r="J381" s="256">
        <f t="shared" si="39"/>
        <v>0</v>
      </c>
      <c r="K381" s="256">
        <f t="shared" si="40"/>
        <v>0</v>
      </c>
      <c r="L381" s="255"/>
    </row>
    <row r="382" spans="1:12">
      <c r="A382" s="257">
        <v>319</v>
      </c>
      <c r="B382" s="256">
        <f t="shared" si="33"/>
        <v>0</v>
      </c>
      <c r="C382" s="256">
        <f t="shared" si="34"/>
        <v>0</v>
      </c>
      <c r="D382" s="256">
        <f t="shared" si="35"/>
        <v>0</v>
      </c>
      <c r="E382" s="256">
        <f t="shared" si="36"/>
        <v>0</v>
      </c>
      <c r="F382" s="255"/>
      <c r="G382" s="257">
        <v>319</v>
      </c>
      <c r="H382" s="256">
        <f t="shared" si="37"/>
        <v>0</v>
      </c>
      <c r="I382" s="256">
        <f t="shared" si="38"/>
        <v>0</v>
      </c>
      <c r="J382" s="256">
        <f t="shared" si="39"/>
        <v>0</v>
      </c>
      <c r="K382" s="256">
        <f t="shared" si="40"/>
        <v>0</v>
      </c>
      <c r="L382" s="255"/>
    </row>
    <row r="383" spans="1:12">
      <c r="A383" s="257">
        <v>320</v>
      </c>
      <c r="B383" s="256">
        <f t="shared" si="33"/>
        <v>0</v>
      </c>
      <c r="C383" s="256">
        <f t="shared" si="34"/>
        <v>0</v>
      </c>
      <c r="D383" s="256">
        <f t="shared" si="35"/>
        <v>0</v>
      </c>
      <c r="E383" s="256">
        <f t="shared" si="36"/>
        <v>0</v>
      </c>
      <c r="F383" s="255"/>
      <c r="G383" s="257">
        <v>320</v>
      </c>
      <c r="H383" s="256">
        <f t="shared" si="37"/>
        <v>0</v>
      </c>
      <c r="I383" s="256">
        <f t="shared" si="38"/>
        <v>0</v>
      </c>
      <c r="J383" s="256">
        <f t="shared" si="39"/>
        <v>0</v>
      </c>
      <c r="K383" s="256">
        <f t="shared" si="40"/>
        <v>0</v>
      </c>
      <c r="L383" s="255"/>
    </row>
    <row r="384" spans="1:12">
      <c r="A384" s="257">
        <v>321</v>
      </c>
      <c r="B384" s="256">
        <f t="shared" ref="B384:B447" si="41">IF(A384&gt;12*$C$9,0,IF($C$5&gt;1500000,$D$12,$C$12))</f>
        <v>0</v>
      </c>
      <c r="C384" s="256">
        <f t="shared" ref="C384:C447" si="42">IF(A384&gt;12*$C$9,0,E383*$C$7/12)</f>
        <v>0</v>
      </c>
      <c r="D384" s="256">
        <f t="shared" ref="D384:D447" si="43">IF(A384&gt;12*$C$9,0,B384-C384)</f>
        <v>0</v>
      </c>
      <c r="E384" s="256">
        <f t="shared" ref="E384:E447" si="44">IF(A384&gt;12*$C$9,0,E383-D384)</f>
        <v>0</v>
      </c>
      <c r="F384" s="255"/>
      <c r="G384" s="257">
        <v>321</v>
      </c>
      <c r="H384" s="256">
        <f t="shared" ref="H384:H447" si="45">IF(G384&gt;12*$C$9,0,IF($C$5&gt;1500000,$E$12,0))</f>
        <v>0</v>
      </c>
      <c r="I384" s="256">
        <f t="shared" ref="I384:I447" si="46">IF(G384&gt;12*$C$9,0,K383*$C$7/12)</f>
        <v>0</v>
      </c>
      <c r="J384" s="256">
        <f t="shared" ref="J384:J447" si="47">IF(G384&gt;12*$C$9,0,H384-I384)</f>
        <v>0</v>
      </c>
      <c r="K384" s="256">
        <f t="shared" ref="K384:K447" si="48">IF(G384&gt;12*$C$9,0,K383-J384)</f>
        <v>0</v>
      </c>
      <c r="L384" s="255"/>
    </row>
    <row r="385" spans="1:12">
      <c r="A385" s="257">
        <v>322</v>
      </c>
      <c r="B385" s="256">
        <f t="shared" si="41"/>
        <v>0</v>
      </c>
      <c r="C385" s="256">
        <f t="shared" si="42"/>
        <v>0</v>
      </c>
      <c r="D385" s="256">
        <f t="shared" si="43"/>
        <v>0</v>
      </c>
      <c r="E385" s="256">
        <f t="shared" si="44"/>
        <v>0</v>
      </c>
      <c r="F385" s="255"/>
      <c r="G385" s="257">
        <v>322</v>
      </c>
      <c r="H385" s="256">
        <f t="shared" si="45"/>
        <v>0</v>
      </c>
      <c r="I385" s="256">
        <f t="shared" si="46"/>
        <v>0</v>
      </c>
      <c r="J385" s="256">
        <f t="shared" si="47"/>
        <v>0</v>
      </c>
      <c r="K385" s="256">
        <f t="shared" si="48"/>
        <v>0</v>
      </c>
      <c r="L385" s="255"/>
    </row>
    <row r="386" spans="1:12">
      <c r="A386" s="257">
        <v>323</v>
      </c>
      <c r="B386" s="256">
        <f t="shared" si="41"/>
        <v>0</v>
      </c>
      <c r="C386" s="256">
        <f t="shared" si="42"/>
        <v>0</v>
      </c>
      <c r="D386" s="256">
        <f t="shared" si="43"/>
        <v>0</v>
      </c>
      <c r="E386" s="256">
        <f t="shared" si="44"/>
        <v>0</v>
      </c>
      <c r="F386" s="255"/>
      <c r="G386" s="257">
        <v>323</v>
      </c>
      <c r="H386" s="256">
        <f t="shared" si="45"/>
        <v>0</v>
      </c>
      <c r="I386" s="256">
        <f t="shared" si="46"/>
        <v>0</v>
      </c>
      <c r="J386" s="256">
        <f t="shared" si="47"/>
        <v>0</v>
      </c>
      <c r="K386" s="256">
        <f t="shared" si="48"/>
        <v>0</v>
      </c>
      <c r="L386" s="255"/>
    </row>
    <row r="387" spans="1:12">
      <c r="A387" s="257">
        <v>324</v>
      </c>
      <c r="B387" s="256">
        <f t="shared" si="41"/>
        <v>0</v>
      </c>
      <c r="C387" s="256">
        <f t="shared" si="42"/>
        <v>0</v>
      </c>
      <c r="D387" s="256">
        <f t="shared" si="43"/>
        <v>0</v>
      </c>
      <c r="E387" s="256">
        <f t="shared" si="44"/>
        <v>0</v>
      </c>
      <c r="F387" s="255">
        <v>27</v>
      </c>
      <c r="G387" s="257">
        <v>324</v>
      </c>
      <c r="H387" s="256">
        <f t="shared" si="45"/>
        <v>0</v>
      </c>
      <c r="I387" s="256">
        <f t="shared" si="46"/>
        <v>0</v>
      </c>
      <c r="J387" s="256">
        <f t="shared" si="47"/>
        <v>0</v>
      </c>
      <c r="K387" s="256">
        <f t="shared" si="48"/>
        <v>0</v>
      </c>
      <c r="L387" s="255">
        <v>27</v>
      </c>
    </row>
    <row r="388" spans="1:12">
      <c r="A388" s="257">
        <v>325</v>
      </c>
      <c r="B388" s="256">
        <f t="shared" si="41"/>
        <v>0</v>
      </c>
      <c r="C388" s="256">
        <f t="shared" si="42"/>
        <v>0</v>
      </c>
      <c r="D388" s="256">
        <f t="shared" si="43"/>
        <v>0</v>
      </c>
      <c r="E388" s="256">
        <f t="shared" si="44"/>
        <v>0</v>
      </c>
      <c r="F388" s="255"/>
      <c r="G388" s="257">
        <v>325</v>
      </c>
      <c r="H388" s="256">
        <f t="shared" si="45"/>
        <v>0</v>
      </c>
      <c r="I388" s="256">
        <f t="shared" si="46"/>
        <v>0</v>
      </c>
      <c r="J388" s="256">
        <f t="shared" si="47"/>
        <v>0</v>
      </c>
      <c r="K388" s="256">
        <f t="shared" si="48"/>
        <v>0</v>
      </c>
      <c r="L388" s="255"/>
    </row>
    <row r="389" spans="1:12">
      <c r="A389" s="257">
        <v>326</v>
      </c>
      <c r="B389" s="256">
        <f t="shared" si="41"/>
        <v>0</v>
      </c>
      <c r="C389" s="256">
        <f t="shared" si="42"/>
        <v>0</v>
      </c>
      <c r="D389" s="256">
        <f t="shared" si="43"/>
        <v>0</v>
      </c>
      <c r="E389" s="256">
        <f t="shared" si="44"/>
        <v>0</v>
      </c>
      <c r="F389" s="255"/>
      <c r="G389" s="257">
        <v>326</v>
      </c>
      <c r="H389" s="256">
        <f t="shared" si="45"/>
        <v>0</v>
      </c>
      <c r="I389" s="256">
        <f t="shared" si="46"/>
        <v>0</v>
      </c>
      <c r="J389" s="256">
        <f t="shared" si="47"/>
        <v>0</v>
      </c>
      <c r="K389" s="256">
        <f t="shared" si="48"/>
        <v>0</v>
      </c>
      <c r="L389" s="255"/>
    </row>
    <row r="390" spans="1:12">
      <c r="A390" s="257">
        <v>327</v>
      </c>
      <c r="B390" s="256">
        <f t="shared" si="41"/>
        <v>0</v>
      </c>
      <c r="C390" s="256">
        <f t="shared" si="42"/>
        <v>0</v>
      </c>
      <c r="D390" s="256">
        <f t="shared" si="43"/>
        <v>0</v>
      </c>
      <c r="E390" s="256">
        <f t="shared" si="44"/>
        <v>0</v>
      </c>
      <c r="F390" s="255"/>
      <c r="G390" s="257">
        <v>327</v>
      </c>
      <c r="H390" s="256">
        <f t="shared" si="45"/>
        <v>0</v>
      </c>
      <c r="I390" s="256">
        <f t="shared" si="46"/>
        <v>0</v>
      </c>
      <c r="J390" s="256">
        <f t="shared" si="47"/>
        <v>0</v>
      </c>
      <c r="K390" s="256">
        <f t="shared" si="48"/>
        <v>0</v>
      </c>
      <c r="L390" s="255"/>
    </row>
    <row r="391" spans="1:12">
      <c r="A391" s="257">
        <v>328</v>
      </c>
      <c r="B391" s="256">
        <f t="shared" si="41"/>
        <v>0</v>
      </c>
      <c r="C391" s="256">
        <f t="shared" si="42"/>
        <v>0</v>
      </c>
      <c r="D391" s="256">
        <f t="shared" si="43"/>
        <v>0</v>
      </c>
      <c r="E391" s="256">
        <f t="shared" si="44"/>
        <v>0</v>
      </c>
      <c r="F391" s="255"/>
      <c r="G391" s="257">
        <v>328</v>
      </c>
      <c r="H391" s="256">
        <f t="shared" si="45"/>
        <v>0</v>
      </c>
      <c r="I391" s="256">
        <f t="shared" si="46"/>
        <v>0</v>
      </c>
      <c r="J391" s="256">
        <f t="shared" si="47"/>
        <v>0</v>
      </c>
      <c r="K391" s="256">
        <f t="shared" si="48"/>
        <v>0</v>
      </c>
      <c r="L391" s="255"/>
    </row>
    <row r="392" spans="1:12">
      <c r="A392" s="257">
        <v>329</v>
      </c>
      <c r="B392" s="256">
        <f t="shared" si="41"/>
        <v>0</v>
      </c>
      <c r="C392" s="256">
        <f t="shared" si="42"/>
        <v>0</v>
      </c>
      <c r="D392" s="256">
        <f t="shared" si="43"/>
        <v>0</v>
      </c>
      <c r="E392" s="256">
        <f t="shared" si="44"/>
        <v>0</v>
      </c>
      <c r="F392" s="255"/>
      <c r="G392" s="257">
        <v>329</v>
      </c>
      <c r="H392" s="256">
        <f t="shared" si="45"/>
        <v>0</v>
      </c>
      <c r="I392" s="256">
        <f t="shared" si="46"/>
        <v>0</v>
      </c>
      <c r="J392" s="256">
        <f t="shared" si="47"/>
        <v>0</v>
      </c>
      <c r="K392" s="256">
        <f t="shared" si="48"/>
        <v>0</v>
      </c>
      <c r="L392" s="255"/>
    </row>
    <row r="393" spans="1:12">
      <c r="A393" s="257">
        <v>330</v>
      </c>
      <c r="B393" s="256">
        <f t="shared" si="41"/>
        <v>0</v>
      </c>
      <c r="C393" s="256">
        <f t="shared" si="42"/>
        <v>0</v>
      </c>
      <c r="D393" s="256">
        <f t="shared" si="43"/>
        <v>0</v>
      </c>
      <c r="E393" s="256">
        <f t="shared" si="44"/>
        <v>0</v>
      </c>
      <c r="F393" s="255"/>
      <c r="G393" s="257">
        <v>330</v>
      </c>
      <c r="H393" s="256">
        <f t="shared" si="45"/>
        <v>0</v>
      </c>
      <c r="I393" s="256">
        <f t="shared" si="46"/>
        <v>0</v>
      </c>
      <c r="J393" s="256">
        <f t="shared" si="47"/>
        <v>0</v>
      </c>
      <c r="K393" s="256">
        <f t="shared" si="48"/>
        <v>0</v>
      </c>
      <c r="L393" s="255"/>
    </row>
    <row r="394" spans="1:12">
      <c r="A394" s="257">
        <v>331</v>
      </c>
      <c r="B394" s="256">
        <f t="shared" si="41"/>
        <v>0</v>
      </c>
      <c r="C394" s="256">
        <f t="shared" si="42"/>
        <v>0</v>
      </c>
      <c r="D394" s="256">
        <f t="shared" si="43"/>
        <v>0</v>
      </c>
      <c r="E394" s="256">
        <f t="shared" si="44"/>
        <v>0</v>
      </c>
      <c r="F394" s="255"/>
      <c r="G394" s="257">
        <v>331</v>
      </c>
      <c r="H394" s="256">
        <f t="shared" si="45"/>
        <v>0</v>
      </c>
      <c r="I394" s="256">
        <f t="shared" si="46"/>
        <v>0</v>
      </c>
      <c r="J394" s="256">
        <f t="shared" si="47"/>
        <v>0</v>
      </c>
      <c r="K394" s="256">
        <f t="shared" si="48"/>
        <v>0</v>
      </c>
      <c r="L394" s="255"/>
    </row>
    <row r="395" spans="1:12">
      <c r="A395" s="257">
        <v>332</v>
      </c>
      <c r="B395" s="256">
        <f t="shared" si="41"/>
        <v>0</v>
      </c>
      <c r="C395" s="256">
        <f t="shared" si="42"/>
        <v>0</v>
      </c>
      <c r="D395" s="256">
        <f t="shared" si="43"/>
        <v>0</v>
      </c>
      <c r="E395" s="256">
        <f t="shared" si="44"/>
        <v>0</v>
      </c>
      <c r="F395" s="255"/>
      <c r="G395" s="257">
        <v>332</v>
      </c>
      <c r="H395" s="256">
        <f t="shared" si="45"/>
        <v>0</v>
      </c>
      <c r="I395" s="256">
        <f t="shared" si="46"/>
        <v>0</v>
      </c>
      <c r="J395" s="256">
        <f t="shared" si="47"/>
        <v>0</v>
      </c>
      <c r="K395" s="256">
        <f t="shared" si="48"/>
        <v>0</v>
      </c>
      <c r="L395" s="255"/>
    </row>
    <row r="396" spans="1:12">
      <c r="A396" s="257">
        <v>333</v>
      </c>
      <c r="B396" s="256">
        <f t="shared" si="41"/>
        <v>0</v>
      </c>
      <c r="C396" s="256">
        <f t="shared" si="42"/>
        <v>0</v>
      </c>
      <c r="D396" s="256">
        <f t="shared" si="43"/>
        <v>0</v>
      </c>
      <c r="E396" s="256">
        <f t="shared" si="44"/>
        <v>0</v>
      </c>
      <c r="F396" s="255"/>
      <c r="G396" s="257">
        <v>333</v>
      </c>
      <c r="H396" s="256">
        <f t="shared" si="45"/>
        <v>0</v>
      </c>
      <c r="I396" s="256">
        <f t="shared" si="46"/>
        <v>0</v>
      </c>
      <c r="J396" s="256">
        <f t="shared" si="47"/>
        <v>0</v>
      </c>
      <c r="K396" s="256">
        <f t="shared" si="48"/>
        <v>0</v>
      </c>
      <c r="L396" s="255"/>
    </row>
    <row r="397" spans="1:12">
      <c r="A397" s="257">
        <v>334</v>
      </c>
      <c r="B397" s="256">
        <f t="shared" si="41"/>
        <v>0</v>
      </c>
      <c r="C397" s="256">
        <f t="shared" si="42"/>
        <v>0</v>
      </c>
      <c r="D397" s="256">
        <f t="shared" si="43"/>
        <v>0</v>
      </c>
      <c r="E397" s="256">
        <f t="shared" si="44"/>
        <v>0</v>
      </c>
      <c r="F397" s="255"/>
      <c r="G397" s="257">
        <v>334</v>
      </c>
      <c r="H397" s="256">
        <f t="shared" si="45"/>
        <v>0</v>
      </c>
      <c r="I397" s="256">
        <f t="shared" si="46"/>
        <v>0</v>
      </c>
      <c r="J397" s="256">
        <f t="shared" si="47"/>
        <v>0</v>
      </c>
      <c r="K397" s="256">
        <f t="shared" si="48"/>
        <v>0</v>
      </c>
      <c r="L397" s="255"/>
    </row>
    <row r="398" spans="1:12">
      <c r="A398" s="257">
        <v>335</v>
      </c>
      <c r="B398" s="256">
        <f t="shared" si="41"/>
        <v>0</v>
      </c>
      <c r="C398" s="256">
        <f t="shared" si="42"/>
        <v>0</v>
      </c>
      <c r="D398" s="256">
        <f t="shared" si="43"/>
        <v>0</v>
      </c>
      <c r="E398" s="256">
        <f t="shared" si="44"/>
        <v>0</v>
      </c>
      <c r="F398" s="255"/>
      <c r="G398" s="257">
        <v>335</v>
      </c>
      <c r="H398" s="256">
        <f t="shared" si="45"/>
        <v>0</v>
      </c>
      <c r="I398" s="256">
        <f t="shared" si="46"/>
        <v>0</v>
      </c>
      <c r="J398" s="256">
        <f t="shared" si="47"/>
        <v>0</v>
      </c>
      <c r="K398" s="256">
        <f t="shared" si="48"/>
        <v>0</v>
      </c>
      <c r="L398" s="255"/>
    </row>
    <row r="399" spans="1:12">
      <c r="A399" s="257">
        <v>336</v>
      </c>
      <c r="B399" s="256">
        <f t="shared" si="41"/>
        <v>0</v>
      </c>
      <c r="C399" s="256">
        <f t="shared" si="42"/>
        <v>0</v>
      </c>
      <c r="D399" s="256">
        <f t="shared" si="43"/>
        <v>0</v>
      </c>
      <c r="E399" s="256">
        <f t="shared" si="44"/>
        <v>0</v>
      </c>
      <c r="F399" s="255">
        <v>28</v>
      </c>
      <c r="G399" s="257">
        <v>336</v>
      </c>
      <c r="H399" s="256">
        <f t="shared" si="45"/>
        <v>0</v>
      </c>
      <c r="I399" s="256">
        <f t="shared" si="46"/>
        <v>0</v>
      </c>
      <c r="J399" s="256">
        <f t="shared" si="47"/>
        <v>0</v>
      </c>
      <c r="K399" s="256">
        <f t="shared" si="48"/>
        <v>0</v>
      </c>
      <c r="L399" s="255">
        <v>28</v>
      </c>
    </row>
    <row r="400" spans="1:12">
      <c r="A400" s="257">
        <v>337</v>
      </c>
      <c r="B400" s="256">
        <f t="shared" si="41"/>
        <v>0</v>
      </c>
      <c r="C400" s="256">
        <f t="shared" si="42"/>
        <v>0</v>
      </c>
      <c r="D400" s="256">
        <f t="shared" si="43"/>
        <v>0</v>
      </c>
      <c r="E400" s="256">
        <f t="shared" si="44"/>
        <v>0</v>
      </c>
      <c r="F400" s="255"/>
      <c r="G400" s="257">
        <v>337</v>
      </c>
      <c r="H400" s="256">
        <f t="shared" si="45"/>
        <v>0</v>
      </c>
      <c r="I400" s="256">
        <f t="shared" si="46"/>
        <v>0</v>
      </c>
      <c r="J400" s="256">
        <f t="shared" si="47"/>
        <v>0</v>
      </c>
      <c r="K400" s="256">
        <f t="shared" si="48"/>
        <v>0</v>
      </c>
      <c r="L400" s="255"/>
    </row>
    <row r="401" spans="1:12">
      <c r="A401" s="257">
        <v>338</v>
      </c>
      <c r="B401" s="256">
        <f t="shared" si="41"/>
        <v>0</v>
      </c>
      <c r="C401" s="256">
        <f t="shared" si="42"/>
        <v>0</v>
      </c>
      <c r="D401" s="256">
        <f t="shared" si="43"/>
        <v>0</v>
      </c>
      <c r="E401" s="256">
        <f t="shared" si="44"/>
        <v>0</v>
      </c>
      <c r="F401" s="255"/>
      <c r="G401" s="257">
        <v>338</v>
      </c>
      <c r="H401" s="256">
        <f t="shared" si="45"/>
        <v>0</v>
      </c>
      <c r="I401" s="256">
        <f t="shared" si="46"/>
        <v>0</v>
      </c>
      <c r="J401" s="256">
        <f t="shared" si="47"/>
        <v>0</v>
      </c>
      <c r="K401" s="256">
        <f t="shared" si="48"/>
        <v>0</v>
      </c>
      <c r="L401" s="255"/>
    </row>
    <row r="402" spans="1:12">
      <c r="A402" s="257">
        <v>339</v>
      </c>
      <c r="B402" s="256">
        <f t="shared" si="41"/>
        <v>0</v>
      </c>
      <c r="C402" s="256">
        <f t="shared" si="42"/>
        <v>0</v>
      </c>
      <c r="D402" s="256">
        <f t="shared" si="43"/>
        <v>0</v>
      </c>
      <c r="E402" s="256">
        <f t="shared" si="44"/>
        <v>0</v>
      </c>
      <c r="F402" s="255"/>
      <c r="G402" s="257">
        <v>339</v>
      </c>
      <c r="H402" s="256">
        <f t="shared" si="45"/>
        <v>0</v>
      </c>
      <c r="I402" s="256">
        <f t="shared" si="46"/>
        <v>0</v>
      </c>
      <c r="J402" s="256">
        <f t="shared" si="47"/>
        <v>0</v>
      </c>
      <c r="K402" s="256">
        <f t="shared" si="48"/>
        <v>0</v>
      </c>
      <c r="L402" s="255"/>
    </row>
    <row r="403" spans="1:12">
      <c r="A403" s="257">
        <v>340</v>
      </c>
      <c r="B403" s="256">
        <f t="shared" si="41"/>
        <v>0</v>
      </c>
      <c r="C403" s="256">
        <f t="shared" si="42"/>
        <v>0</v>
      </c>
      <c r="D403" s="256">
        <f t="shared" si="43"/>
        <v>0</v>
      </c>
      <c r="E403" s="256">
        <f t="shared" si="44"/>
        <v>0</v>
      </c>
      <c r="F403" s="255"/>
      <c r="G403" s="257">
        <v>340</v>
      </c>
      <c r="H403" s="256">
        <f t="shared" si="45"/>
        <v>0</v>
      </c>
      <c r="I403" s="256">
        <f t="shared" si="46"/>
        <v>0</v>
      </c>
      <c r="J403" s="256">
        <f t="shared" si="47"/>
        <v>0</v>
      </c>
      <c r="K403" s="256">
        <f t="shared" si="48"/>
        <v>0</v>
      </c>
      <c r="L403" s="255"/>
    </row>
    <row r="404" spans="1:12">
      <c r="A404" s="257">
        <v>341</v>
      </c>
      <c r="B404" s="256">
        <f t="shared" si="41"/>
        <v>0</v>
      </c>
      <c r="C404" s="256">
        <f t="shared" si="42"/>
        <v>0</v>
      </c>
      <c r="D404" s="256">
        <f t="shared" si="43"/>
        <v>0</v>
      </c>
      <c r="E404" s="256">
        <f t="shared" si="44"/>
        <v>0</v>
      </c>
      <c r="F404" s="255"/>
      <c r="G404" s="257">
        <v>341</v>
      </c>
      <c r="H404" s="256">
        <f t="shared" si="45"/>
        <v>0</v>
      </c>
      <c r="I404" s="256">
        <f t="shared" si="46"/>
        <v>0</v>
      </c>
      <c r="J404" s="256">
        <f t="shared" si="47"/>
        <v>0</v>
      </c>
      <c r="K404" s="256">
        <f t="shared" si="48"/>
        <v>0</v>
      </c>
      <c r="L404" s="255"/>
    </row>
    <row r="405" spans="1:12">
      <c r="A405" s="257">
        <v>342</v>
      </c>
      <c r="B405" s="256">
        <f t="shared" si="41"/>
        <v>0</v>
      </c>
      <c r="C405" s="256">
        <f t="shared" si="42"/>
        <v>0</v>
      </c>
      <c r="D405" s="256">
        <f t="shared" si="43"/>
        <v>0</v>
      </c>
      <c r="E405" s="256">
        <f t="shared" si="44"/>
        <v>0</v>
      </c>
      <c r="F405" s="255"/>
      <c r="G405" s="257">
        <v>342</v>
      </c>
      <c r="H405" s="256">
        <f t="shared" si="45"/>
        <v>0</v>
      </c>
      <c r="I405" s="256">
        <f t="shared" si="46"/>
        <v>0</v>
      </c>
      <c r="J405" s="256">
        <f t="shared" si="47"/>
        <v>0</v>
      </c>
      <c r="K405" s="256">
        <f t="shared" si="48"/>
        <v>0</v>
      </c>
      <c r="L405" s="255"/>
    </row>
    <row r="406" spans="1:12">
      <c r="A406" s="257">
        <v>343</v>
      </c>
      <c r="B406" s="256">
        <f t="shared" si="41"/>
        <v>0</v>
      </c>
      <c r="C406" s="256">
        <f t="shared" si="42"/>
        <v>0</v>
      </c>
      <c r="D406" s="256">
        <f t="shared" si="43"/>
        <v>0</v>
      </c>
      <c r="E406" s="256">
        <f t="shared" si="44"/>
        <v>0</v>
      </c>
      <c r="F406" s="255"/>
      <c r="G406" s="257">
        <v>343</v>
      </c>
      <c r="H406" s="256">
        <f t="shared" si="45"/>
        <v>0</v>
      </c>
      <c r="I406" s="256">
        <f t="shared" si="46"/>
        <v>0</v>
      </c>
      <c r="J406" s="256">
        <f t="shared" si="47"/>
        <v>0</v>
      </c>
      <c r="K406" s="256">
        <f t="shared" si="48"/>
        <v>0</v>
      </c>
      <c r="L406" s="255"/>
    </row>
    <row r="407" spans="1:12">
      <c r="A407" s="257">
        <v>344</v>
      </c>
      <c r="B407" s="256">
        <f t="shared" si="41"/>
        <v>0</v>
      </c>
      <c r="C407" s="256">
        <f t="shared" si="42"/>
        <v>0</v>
      </c>
      <c r="D407" s="256">
        <f t="shared" si="43"/>
        <v>0</v>
      </c>
      <c r="E407" s="256">
        <f t="shared" si="44"/>
        <v>0</v>
      </c>
      <c r="F407" s="255"/>
      <c r="G407" s="257">
        <v>344</v>
      </c>
      <c r="H407" s="256">
        <f t="shared" si="45"/>
        <v>0</v>
      </c>
      <c r="I407" s="256">
        <f t="shared" si="46"/>
        <v>0</v>
      </c>
      <c r="J407" s="256">
        <f t="shared" si="47"/>
        <v>0</v>
      </c>
      <c r="K407" s="256">
        <f t="shared" si="48"/>
        <v>0</v>
      </c>
      <c r="L407" s="255"/>
    </row>
    <row r="408" spans="1:12">
      <c r="A408" s="257">
        <v>345</v>
      </c>
      <c r="B408" s="256">
        <f t="shared" si="41"/>
        <v>0</v>
      </c>
      <c r="C408" s="256">
        <f t="shared" si="42"/>
        <v>0</v>
      </c>
      <c r="D408" s="256">
        <f t="shared" si="43"/>
        <v>0</v>
      </c>
      <c r="E408" s="256">
        <f t="shared" si="44"/>
        <v>0</v>
      </c>
      <c r="F408" s="255"/>
      <c r="G408" s="257">
        <v>345</v>
      </c>
      <c r="H408" s="256">
        <f t="shared" si="45"/>
        <v>0</v>
      </c>
      <c r="I408" s="256">
        <f t="shared" si="46"/>
        <v>0</v>
      </c>
      <c r="J408" s="256">
        <f t="shared" si="47"/>
        <v>0</v>
      </c>
      <c r="K408" s="256">
        <f t="shared" si="48"/>
        <v>0</v>
      </c>
      <c r="L408" s="255"/>
    </row>
    <row r="409" spans="1:12">
      <c r="A409" s="257">
        <v>346</v>
      </c>
      <c r="B409" s="256">
        <f t="shared" si="41"/>
        <v>0</v>
      </c>
      <c r="C409" s="256">
        <f t="shared" si="42"/>
        <v>0</v>
      </c>
      <c r="D409" s="256">
        <f t="shared" si="43"/>
        <v>0</v>
      </c>
      <c r="E409" s="256">
        <f t="shared" si="44"/>
        <v>0</v>
      </c>
      <c r="F409" s="255"/>
      <c r="G409" s="257">
        <v>346</v>
      </c>
      <c r="H409" s="256">
        <f t="shared" si="45"/>
        <v>0</v>
      </c>
      <c r="I409" s="256">
        <f t="shared" si="46"/>
        <v>0</v>
      </c>
      <c r="J409" s="256">
        <f t="shared" si="47"/>
        <v>0</v>
      </c>
      <c r="K409" s="256">
        <f t="shared" si="48"/>
        <v>0</v>
      </c>
      <c r="L409" s="255"/>
    </row>
    <row r="410" spans="1:12">
      <c r="A410" s="257">
        <v>347</v>
      </c>
      <c r="B410" s="256">
        <f t="shared" si="41"/>
        <v>0</v>
      </c>
      <c r="C410" s="256">
        <f t="shared" si="42"/>
        <v>0</v>
      </c>
      <c r="D410" s="256">
        <f t="shared" si="43"/>
        <v>0</v>
      </c>
      <c r="E410" s="256">
        <f t="shared" si="44"/>
        <v>0</v>
      </c>
      <c r="F410" s="255"/>
      <c r="G410" s="257">
        <v>347</v>
      </c>
      <c r="H410" s="256">
        <f t="shared" si="45"/>
        <v>0</v>
      </c>
      <c r="I410" s="256">
        <f t="shared" si="46"/>
        <v>0</v>
      </c>
      <c r="J410" s="256">
        <f t="shared" si="47"/>
        <v>0</v>
      </c>
      <c r="K410" s="256">
        <f t="shared" si="48"/>
        <v>0</v>
      </c>
      <c r="L410" s="255"/>
    </row>
    <row r="411" spans="1:12">
      <c r="A411" s="257">
        <v>348</v>
      </c>
      <c r="B411" s="256">
        <f t="shared" si="41"/>
        <v>0</v>
      </c>
      <c r="C411" s="256">
        <f t="shared" si="42"/>
        <v>0</v>
      </c>
      <c r="D411" s="256">
        <f t="shared" si="43"/>
        <v>0</v>
      </c>
      <c r="E411" s="256">
        <f t="shared" si="44"/>
        <v>0</v>
      </c>
      <c r="F411" s="255">
        <v>29</v>
      </c>
      <c r="G411" s="257">
        <v>348</v>
      </c>
      <c r="H411" s="256">
        <f t="shared" si="45"/>
        <v>0</v>
      </c>
      <c r="I411" s="256">
        <f t="shared" si="46"/>
        <v>0</v>
      </c>
      <c r="J411" s="256">
        <f t="shared" si="47"/>
        <v>0</v>
      </c>
      <c r="K411" s="256">
        <f t="shared" si="48"/>
        <v>0</v>
      </c>
      <c r="L411" s="255">
        <v>29</v>
      </c>
    </row>
    <row r="412" spans="1:12">
      <c r="A412" s="257">
        <v>349</v>
      </c>
      <c r="B412" s="256">
        <f t="shared" si="41"/>
        <v>0</v>
      </c>
      <c r="C412" s="256">
        <f t="shared" si="42"/>
        <v>0</v>
      </c>
      <c r="D412" s="256">
        <f t="shared" si="43"/>
        <v>0</v>
      </c>
      <c r="E412" s="256">
        <f t="shared" si="44"/>
        <v>0</v>
      </c>
      <c r="F412" s="255"/>
      <c r="G412" s="257">
        <v>349</v>
      </c>
      <c r="H412" s="256">
        <f t="shared" si="45"/>
        <v>0</v>
      </c>
      <c r="I412" s="256">
        <f t="shared" si="46"/>
        <v>0</v>
      </c>
      <c r="J412" s="256">
        <f t="shared" si="47"/>
        <v>0</v>
      </c>
      <c r="K412" s="256">
        <f t="shared" si="48"/>
        <v>0</v>
      </c>
      <c r="L412" s="255"/>
    </row>
    <row r="413" spans="1:12">
      <c r="A413" s="257">
        <v>350</v>
      </c>
      <c r="B413" s="256">
        <f t="shared" si="41"/>
        <v>0</v>
      </c>
      <c r="C413" s="256">
        <f t="shared" si="42"/>
        <v>0</v>
      </c>
      <c r="D413" s="256">
        <f t="shared" si="43"/>
        <v>0</v>
      </c>
      <c r="E413" s="256">
        <f t="shared" si="44"/>
        <v>0</v>
      </c>
      <c r="F413" s="255"/>
      <c r="G413" s="257">
        <v>350</v>
      </c>
      <c r="H413" s="256">
        <f t="shared" si="45"/>
        <v>0</v>
      </c>
      <c r="I413" s="256">
        <f t="shared" si="46"/>
        <v>0</v>
      </c>
      <c r="J413" s="256">
        <f t="shared" si="47"/>
        <v>0</v>
      </c>
      <c r="K413" s="256">
        <f t="shared" si="48"/>
        <v>0</v>
      </c>
      <c r="L413" s="255"/>
    </row>
    <row r="414" spans="1:12">
      <c r="A414" s="257">
        <v>351</v>
      </c>
      <c r="B414" s="256">
        <f t="shared" si="41"/>
        <v>0</v>
      </c>
      <c r="C414" s="256">
        <f t="shared" si="42"/>
        <v>0</v>
      </c>
      <c r="D414" s="256">
        <f t="shared" si="43"/>
        <v>0</v>
      </c>
      <c r="E414" s="256">
        <f t="shared" si="44"/>
        <v>0</v>
      </c>
      <c r="F414" s="255"/>
      <c r="G414" s="257">
        <v>351</v>
      </c>
      <c r="H414" s="256">
        <f t="shared" si="45"/>
        <v>0</v>
      </c>
      <c r="I414" s="256">
        <f t="shared" si="46"/>
        <v>0</v>
      </c>
      <c r="J414" s="256">
        <f t="shared" si="47"/>
        <v>0</v>
      </c>
      <c r="K414" s="256">
        <f t="shared" si="48"/>
        <v>0</v>
      </c>
      <c r="L414" s="255"/>
    </row>
    <row r="415" spans="1:12">
      <c r="A415" s="257">
        <v>352</v>
      </c>
      <c r="B415" s="256">
        <f t="shared" si="41"/>
        <v>0</v>
      </c>
      <c r="C415" s="256">
        <f t="shared" si="42"/>
        <v>0</v>
      </c>
      <c r="D415" s="256">
        <f t="shared" si="43"/>
        <v>0</v>
      </c>
      <c r="E415" s="256">
        <f t="shared" si="44"/>
        <v>0</v>
      </c>
      <c r="F415" s="255"/>
      <c r="G415" s="257">
        <v>352</v>
      </c>
      <c r="H415" s="256">
        <f t="shared" si="45"/>
        <v>0</v>
      </c>
      <c r="I415" s="256">
        <f t="shared" si="46"/>
        <v>0</v>
      </c>
      <c r="J415" s="256">
        <f t="shared" si="47"/>
        <v>0</v>
      </c>
      <c r="K415" s="256">
        <f t="shared" si="48"/>
        <v>0</v>
      </c>
      <c r="L415" s="255"/>
    </row>
    <row r="416" spans="1:12">
      <c r="A416" s="257">
        <v>353</v>
      </c>
      <c r="B416" s="256">
        <f t="shared" si="41"/>
        <v>0</v>
      </c>
      <c r="C416" s="256">
        <f t="shared" si="42"/>
        <v>0</v>
      </c>
      <c r="D416" s="256">
        <f t="shared" si="43"/>
        <v>0</v>
      </c>
      <c r="E416" s="256">
        <f t="shared" si="44"/>
        <v>0</v>
      </c>
      <c r="F416" s="255"/>
      <c r="G416" s="257">
        <v>353</v>
      </c>
      <c r="H416" s="256">
        <f t="shared" si="45"/>
        <v>0</v>
      </c>
      <c r="I416" s="256">
        <f t="shared" si="46"/>
        <v>0</v>
      </c>
      <c r="J416" s="256">
        <f t="shared" si="47"/>
        <v>0</v>
      </c>
      <c r="K416" s="256">
        <f t="shared" si="48"/>
        <v>0</v>
      </c>
      <c r="L416" s="255"/>
    </row>
    <row r="417" spans="1:12">
      <c r="A417" s="257">
        <v>354</v>
      </c>
      <c r="B417" s="256">
        <f t="shared" si="41"/>
        <v>0</v>
      </c>
      <c r="C417" s="256">
        <f t="shared" si="42"/>
        <v>0</v>
      </c>
      <c r="D417" s="256">
        <f t="shared" si="43"/>
        <v>0</v>
      </c>
      <c r="E417" s="256">
        <f t="shared" si="44"/>
        <v>0</v>
      </c>
      <c r="F417" s="255"/>
      <c r="G417" s="257">
        <v>354</v>
      </c>
      <c r="H417" s="256">
        <f t="shared" si="45"/>
        <v>0</v>
      </c>
      <c r="I417" s="256">
        <f t="shared" si="46"/>
        <v>0</v>
      </c>
      <c r="J417" s="256">
        <f t="shared" si="47"/>
        <v>0</v>
      </c>
      <c r="K417" s="256">
        <f t="shared" si="48"/>
        <v>0</v>
      </c>
      <c r="L417" s="255"/>
    </row>
    <row r="418" spans="1:12">
      <c r="A418" s="257">
        <v>355</v>
      </c>
      <c r="B418" s="256">
        <f t="shared" si="41"/>
        <v>0</v>
      </c>
      <c r="C418" s="256">
        <f t="shared" si="42"/>
        <v>0</v>
      </c>
      <c r="D418" s="256">
        <f t="shared" si="43"/>
        <v>0</v>
      </c>
      <c r="E418" s="256">
        <f t="shared" si="44"/>
        <v>0</v>
      </c>
      <c r="F418" s="255"/>
      <c r="G418" s="257">
        <v>355</v>
      </c>
      <c r="H418" s="256">
        <f t="shared" si="45"/>
        <v>0</v>
      </c>
      <c r="I418" s="256">
        <f t="shared" si="46"/>
        <v>0</v>
      </c>
      <c r="J418" s="256">
        <f t="shared" si="47"/>
        <v>0</v>
      </c>
      <c r="K418" s="256">
        <f t="shared" si="48"/>
        <v>0</v>
      </c>
      <c r="L418" s="255"/>
    </row>
    <row r="419" spans="1:12">
      <c r="A419" s="257">
        <v>356</v>
      </c>
      <c r="B419" s="256">
        <f t="shared" si="41"/>
        <v>0</v>
      </c>
      <c r="C419" s="256">
        <f t="shared" si="42"/>
        <v>0</v>
      </c>
      <c r="D419" s="256">
        <f t="shared" si="43"/>
        <v>0</v>
      </c>
      <c r="E419" s="256">
        <f t="shared" si="44"/>
        <v>0</v>
      </c>
      <c r="F419" s="255"/>
      <c r="G419" s="257">
        <v>356</v>
      </c>
      <c r="H419" s="256">
        <f t="shared" si="45"/>
        <v>0</v>
      </c>
      <c r="I419" s="256">
        <f t="shared" si="46"/>
        <v>0</v>
      </c>
      <c r="J419" s="256">
        <f t="shared" si="47"/>
        <v>0</v>
      </c>
      <c r="K419" s="256">
        <f t="shared" si="48"/>
        <v>0</v>
      </c>
      <c r="L419" s="255"/>
    </row>
    <row r="420" spans="1:12">
      <c r="A420" s="257">
        <v>357</v>
      </c>
      <c r="B420" s="256">
        <f t="shared" si="41"/>
        <v>0</v>
      </c>
      <c r="C420" s="256">
        <f t="shared" si="42"/>
        <v>0</v>
      </c>
      <c r="D420" s="256">
        <f t="shared" si="43"/>
        <v>0</v>
      </c>
      <c r="E420" s="256">
        <f t="shared" si="44"/>
        <v>0</v>
      </c>
      <c r="F420" s="255"/>
      <c r="G420" s="257">
        <v>357</v>
      </c>
      <c r="H420" s="256">
        <f t="shared" si="45"/>
        <v>0</v>
      </c>
      <c r="I420" s="256">
        <f t="shared" si="46"/>
        <v>0</v>
      </c>
      <c r="J420" s="256">
        <f t="shared" si="47"/>
        <v>0</v>
      </c>
      <c r="K420" s="256">
        <f t="shared" si="48"/>
        <v>0</v>
      </c>
      <c r="L420" s="255"/>
    </row>
    <row r="421" spans="1:12">
      <c r="A421" s="257">
        <v>358</v>
      </c>
      <c r="B421" s="256">
        <f t="shared" si="41"/>
        <v>0</v>
      </c>
      <c r="C421" s="256">
        <f t="shared" si="42"/>
        <v>0</v>
      </c>
      <c r="D421" s="256">
        <f t="shared" si="43"/>
        <v>0</v>
      </c>
      <c r="E421" s="256">
        <f t="shared" si="44"/>
        <v>0</v>
      </c>
      <c r="F421" s="255"/>
      <c r="G421" s="257">
        <v>358</v>
      </c>
      <c r="H421" s="256">
        <f t="shared" si="45"/>
        <v>0</v>
      </c>
      <c r="I421" s="256">
        <f t="shared" si="46"/>
        <v>0</v>
      </c>
      <c r="J421" s="256">
        <f t="shared" si="47"/>
        <v>0</v>
      </c>
      <c r="K421" s="256">
        <f t="shared" si="48"/>
        <v>0</v>
      </c>
      <c r="L421" s="255"/>
    </row>
    <row r="422" spans="1:12">
      <c r="A422" s="257">
        <v>359</v>
      </c>
      <c r="B422" s="256">
        <f t="shared" si="41"/>
        <v>0</v>
      </c>
      <c r="C422" s="256">
        <f t="shared" si="42"/>
        <v>0</v>
      </c>
      <c r="D422" s="256">
        <f t="shared" si="43"/>
        <v>0</v>
      </c>
      <c r="E422" s="256">
        <f t="shared" si="44"/>
        <v>0</v>
      </c>
      <c r="F422" s="255"/>
      <c r="G422" s="257">
        <v>359</v>
      </c>
      <c r="H422" s="256">
        <f t="shared" si="45"/>
        <v>0</v>
      </c>
      <c r="I422" s="256">
        <f t="shared" si="46"/>
        <v>0</v>
      </c>
      <c r="J422" s="256">
        <f t="shared" si="47"/>
        <v>0</v>
      </c>
      <c r="K422" s="256">
        <f t="shared" si="48"/>
        <v>0</v>
      </c>
      <c r="L422" s="255"/>
    </row>
    <row r="423" spans="1:12">
      <c r="A423" s="257">
        <v>360</v>
      </c>
      <c r="B423" s="256">
        <f t="shared" si="41"/>
        <v>0</v>
      </c>
      <c r="C423" s="256">
        <f t="shared" si="42"/>
        <v>0</v>
      </c>
      <c r="D423" s="256">
        <f t="shared" si="43"/>
        <v>0</v>
      </c>
      <c r="E423" s="256">
        <f t="shared" si="44"/>
        <v>0</v>
      </c>
      <c r="F423" s="255">
        <v>30</v>
      </c>
      <c r="G423" s="257">
        <v>360</v>
      </c>
      <c r="H423" s="256">
        <f t="shared" si="45"/>
        <v>0</v>
      </c>
      <c r="I423" s="256">
        <f t="shared" si="46"/>
        <v>0</v>
      </c>
      <c r="J423" s="256">
        <f t="shared" si="47"/>
        <v>0</v>
      </c>
      <c r="K423" s="256">
        <f t="shared" si="48"/>
        <v>0</v>
      </c>
      <c r="L423" s="255">
        <v>30</v>
      </c>
    </row>
    <row r="424" spans="1:12">
      <c r="A424" s="257">
        <v>361</v>
      </c>
      <c r="B424" s="256">
        <f t="shared" si="41"/>
        <v>0</v>
      </c>
      <c r="C424" s="256">
        <f t="shared" si="42"/>
        <v>0</v>
      </c>
      <c r="D424" s="256">
        <f t="shared" si="43"/>
        <v>0</v>
      </c>
      <c r="E424" s="256">
        <f t="shared" si="44"/>
        <v>0</v>
      </c>
      <c r="F424" s="255"/>
      <c r="G424" s="257">
        <v>361</v>
      </c>
      <c r="H424" s="256">
        <f t="shared" si="45"/>
        <v>0</v>
      </c>
      <c r="I424" s="256">
        <f t="shared" si="46"/>
        <v>0</v>
      </c>
      <c r="J424" s="256">
        <f t="shared" si="47"/>
        <v>0</v>
      </c>
      <c r="K424" s="256">
        <f t="shared" si="48"/>
        <v>0</v>
      </c>
      <c r="L424" s="255"/>
    </row>
    <row r="425" spans="1:12">
      <c r="A425" s="257">
        <v>362</v>
      </c>
      <c r="B425" s="256">
        <f t="shared" si="41"/>
        <v>0</v>
      </c>
      <c r="C425" s="256">
        <f t="shared" si="42"/>
        <v>0</v>
      </c>
      <c r="D425" s="256">
        <f t="shared" si="43"/>
        <v>0</v>
      </c>
      <c r="E425" s="256">
        <f t="shared" si="44"/>
        <v>0</v>
      </c>
      <c r="F425" s="255"/>
      <c r="G425" s="257">
        <v>362</v>
      </c>
      <c r="H425" s="256">
        <f t="shared" si="45"/>
        <v>0</v>
      </c>
      <c r="I425" s="256">
        <f t="shared" si="46"/>
        <v>0</v>
      </c>
      <c r="J425" s="256">
        <f t="shared" si="47"/>
        <v>0</v>
      </c>
      <c r="K425" s="256">
        <f t="shared" si="48"/>
        <v>0</v>
      </c>
      <c r="L425" s="255"/>
    </row>
    <row r="426" spans="1:12">
      <c r="A426" s="257">
        <v>363</v>
      </c>
      <c r="B426" s="256">
        <f t="shared" si="41"/>
        <v>0</v>
      </c>
      <c r="C426" s="256">
        <f t="shared" si="42"/>
        <v>0</v>
      </c>
      <c r="D426" s="256">
        <f t="shared" si="43"/>
        <v>0</v>
      </c>
      <c r="E426" s="256">
        <f t="shared" si="44"/>
        <v>0</v>
      </c>
      <c r="F426" s="255"/>
      <c r="G426" s="257">
        <v>363</v>
      </c>
      <c r="H426" s="256">
        <f t="shared" si="45"/>
        <v>0</v>
      </c>
      <c r="I426" s="256">
        <f t="shared" si="46"/>
        <v>0</v>
      </c>
      <c r="J426" s="256">
        <f t="shared" si="47"/>
        <v>0</v>
      </c>
      <c r="K426" s="256">
        <f t="shared" si="48"/>
        <v>0</v>
      </c>
      <c r="L426" s="255"/>
    </row>
    <row r="427" spans="1:12">
      <c r="A427" s="257">
        <v>364</v>
      </c>
      <c r="B427" s="256">
        <f t="shared" si="41"/>
        <v>0</v>
      </c>
      <c r="C427" s="256">
        <f t="shared" si="42"/>
        <v>0</v>
      </c>
      <c r="D427" s="256">
        <f t="shared" si="43"/>
        <v>0</v>
      </c>
      <c r="E427" s="256">
        <f t="shared" si="44"/>
        <v>0</v>
      </c>
      <c r="F427" s="255"/>
      <c r="G427" s="257">
        <v>364</v>
      </c>
      <c r="H427" s="256">
        <f t="shared" si="45"/>
        <v>0</v>
      </c>
      <c r="I427" s="256">
        <f t="shared" si="46"/>
        <v>0</v>
      </c>
      <c r="J427" s="256">
        <f t="shared" si="47"/>
        <v>0</v>
      </c>
      <c r="K427" s="256">
        <f t="shared" si="48"/>
        <v>0</v>
      </c>
      <c r="L427" s="255"/>
    </row>
    <row r="428" spans="1:12">
      <c r="A428" s="257">
        <v>365</v>
      </c>
      <c r="B428" s="256">
        <f t="shared" si="41"/>
        <v>0</v>
      </c>
      <c r="C428" s="256">
        <f t="shared" si="42"/>
        <v>0</v>
      </c>
      <c r="D428" s="256">
        <f t="shared" si="43"/>
        <v>0</v>
      </c>
      <c r="E428" s="256">
        <f t="shared" si="44"/>
        <v>0</v>
      </c>
      <c r="F428" s="255"/>
      <c r="G428" s="257">
        <v>365</v>
      </c>
      <c r="H428" s="256">
        <f t="shared" si="45"/>
        <v>0</v>
      </c>
      <c r="I428" s="256">
        <f t="shared" si="46"/>
        <v>0</v>
      </c>
      <c r="J428" s="256">
        <f t="shared" si="47"/>
        <v>0</v>
      </c>
      <c r="K428" s="256">
        <f t="shared" si="48"/>
        <v>0</v>
      </c>
      <c r="L428" s="255"/>
    </row>
    <row r="429" spans="1:12">
      <c r="A429" s="257">
        <v>366</v>
      </c>
      <c r="B429" s="256">
        <f t="shared" si="41"/>
        <v>0</v>
      </c>
      <c r="C429" s="256">
        <f t="shared" si="42"/>
        <v>0</v>
      </c>
      <c r="D429" s="256">
        <f t="shared" si="43"/>
        <v>0</v>
      </c>
      <c r="E429" s="256">
        <f t="shared" si="44"/>
        <v>0</v>
      </c>
      <c r="F429" s="255"/>
      <c r="G429" s="257">
        <v>366</v>
      </c>
      <c r="H429" s="256">
        <f t="shared" si="45"/>
        <v>0</v>
      </c>
      <c r="I429" s="256">
        <f t="shared" si="46"/>
        <v>0</v>
      </c>
      <c r="J429" s="256">
        <f t="shared" si="47"/>
        <v>0</v>
      </c>
      <c r="K429" s="256">
        <f t="shared" si="48"/>
        <v>0</v>
      </c>
      <c r="L429" s="255"/>
    </row>
    <row r="430" spans="1:12">
      <c r="A430" s="257">
        <v>367</v>
      </c>
      <c r="B430" s="256">
        <f t="shared" si="41"/>
        <v>0</v>
      </c>
      <c r="C430" s="256">
        <f t="shared" si="42"/>
        <v>0</v>
      </c>
      <c r="D430" s="256">
        <f t="shared" si="43"/>
        <v>0</v>
      </c>
      <c r="E430" s="256">
        <f t="shared" si="44"/>
        <v>0</v>
      </c>
      <c r="F430" s="255"/>
      <c r="G430" s="257">
        <v>367</v>
      </c>
      <c r="H430" s="256">
        <f t="shared" si="45"/>
        <v>0</v>
      </c>
      <c r="I430" s="256">
        <f t="shared" si="46"/>
        <v>0</v>
      </c>
      <c r="J430" s="256">
        <f t="shared" si="47"/>
        <v>0</v>
      </c>
      <c r="K430" s="256">
        <f t="shared" si="48"/>
        <v>0</v>
      </c>
      <c r="L430" s="255"/>
    </row>
    <row r="431" spans="1:12">
      <c r="A431" s="257">
        <v>368</v>
      </c>
      <c r="B431" s="256">
        <f t="shared" si="41"/>
        <v>0</v>
      </c>
      <c r="C431" s="256">
        <f t="shared" si="42"/>
        <v>0</v>
      </c>
      <c r="D431" s="256">
        <f t="shared" si="43"/>
        <v>0</v>
      </c>
      <c r="E431" s="256">
        <f t="shared" si="44"/>
        <v>0</v>
      </c>
      <c r="F431" s="255"/>
      <c r="G431" s="257">
        <v>368</v>
      </c>
      <c r="H431" s="256">
        <f t="shared" si="45"/>
        <v>0</v>
      </c>
      <c r="I431" s="256">
        <f t="shared" si="46"/>
        <v>0</v>
      </c>
      <c r="J431" s="256">
        <f t="shared" si="47"/>
        <v>0</v>
      </c>
      <c r="K431" s="256">
        <f t="shared" si="48"/>
        <v>0</v>
      </c>
      <c r="L431" s="255"/>
    </row>
    <row r="432" spans="1:12">
      <c r="A432" s="257">
        <v>369</v>
      </c>
      <c r="B432" s="256">
        <f t="shared" si="41"/>
        <v>0</v>
      </c>
      <c r="C432" s="256">
        <f t="shared" si="42"/>
        <v>0</v>
      </c>
      <c r="D432" s="256">
        <f t="shared" si="43"/>
        <v>0</v>
      </c>
      <c r="E432" s="256">
        <f t="shared" si="44"/>
        <v>0</v>
      </c>
      <c r="F432" s="255"/>
      <c r="G432" s="257">
        <v>369</v>
      </c>
      <c r="H432" s="256">
        <f t="shared" si="45"/>
        <v>0</v>
      </c>
      <c r="I432" s="256">
        <f t="shared" si="46"/>
        <v>0</v>
      </c>
      <c r="J432" s="256">
        <f t="shared" si="47"/>
        <v>0</v>
      </c>
      <c r="K432" s="256">
        <f t="shared" si="48"/>
        <v>0</v>
      </c>
      <c r="L432" s="255"/>
    </row>
    <row r="433" spans="1:12">
      <c r="A433" s="257">
        <v>370</v>
      </c>
      <c r="B433" s="256">
        <f t="shared" si="41"/>
        <v>0</v>
      </c>
      <c r="C433" s="256">
        <f t="shared" si="42"/>
        <v>0</v>
      </c>
      <c r="D433" s="256">
        <f t="shared" si="43"/>
        <v>0</v>
      </c>
      <c r="E433" s="256">
        <f t="shared" si="44"/>
        <v>0</v>
      </c>
      <c r="F433" s="255"/>
      <c r="G433" s="257">
        <v>370</v>
      </c>
      <c r="H433" s="256">
        <f t="shared" si="45"/>
        <v>0</v>
      </c>
      <c r="I433" s="256">
        <f t="shared" si="46"/>
        <v>0</v>
      </c>
      <c r="J433" s="256">
        <f t="shared" si="47"/>
        <v>0</v>
      </c>
      <c r="K433" s="256">
        <f t="shared" si="48"/>
        <v>0</v>
      </c>
      <c r="L433" s="255"/>
    </row>
    <row r="434" spans="1:12">
      <c r="A434" s="257">
        <v>371</v>
      </c>
      <c r="B434" s="256">
        <f t="shared" si="41"/>
        <v>0</v>
      </c>
      <c r="C434" s="256">
        <f t="shared" si="42"/>
        <v>0</v>
      </c>
      <c r="D434" s="256">
        <f t="shared" si="43"/>
        <v>0</v>
      </c>
      <c r="E434" s="256">
        <f t="shared" si="44"/>
        <v>0</v>
      </c>
      <c r="F434" s="255"/>
      <c r="G434" s="257">
        <v>371</v>
      </c>
      <c r="H434" s="256">
        <f t="shared" si="45"/>
        <v>0</v>
      </c>
      <c r="I434" s="256">
        <f t="shared" si="46"/>
        <v>0</v>
      </c>
      <c r="J434" s="256">
        <f t="shared" si="47"/>
        <v>0</v>
      </c>
      <c r="K434" s="256">
        <f t="shared" si="48"/>
        <v>0</v>
      </c>
      <c r="L434" s="255"/>
    </row>
    <row r="435" spans="1:12">
      <c r="A435" s="257">
        <v>372</v>
      </c>
      <c r="B435" s="256">
        <f t="shared" si="41"/>
        <v>0</v>
      </c>
      <c r="C435" s="256">
        <f t="shared" si="42"/>
        <v>0</v>
      </c>
      <c r="D435" s="256">
        <f t="shared" si="43"/>
        <v>0</v>
      </c>
      <c r="E435" s="256">
        <f t="shared" si="44"/>
        <v>0</v>
      </c>
      <c r="F435" s="255">
        <v>31</v>
      </c>
      <c r="G435" s="257">
        <v>372</v>
      </c>
      <c r="H435" s="256">
        <f t="shared" si="45"/>
        <v>0</v>
      </c>
      <c r="I435" s="256">
        <f t="shared" si="46"/>
        <v>0</v>
      </c>
      <c r="J435" s="256">
        <f t="shared" si="47"/>
        <v>0</v>
      </c>
      <c r="K435" s="256">
        <f t="shared" si="48"/>
        <v>0</v>
      </c>
      <c r="L435" s="255">
        <v>31</v>
      </c>
    </row>
    <row r="436" spans="1:12">
      <c r="A436" s="257">
        <v>373</v>
      </c>
      <c r="B436" s="256">
        <f t="shared" si="41"/>
        <v>0</v>
      </c>
      <c r="C436" s="256">
        <f t="shared" si="42"/>
        <v>0</v>
      </c>
      <c r="D436" s="256">
        <f t="shared" si="43"/>
        <v>0</v>
      </c>
      <c r="E436" s="256">
        <f t="shared" si="44"/>
        <v>0</v>
      </c>
      <c r="F436" s="255"/>
      <c r="G436" s="257">
        <v>373</v>
      </c>
      <c r="H436" s="256">
        <f t="shared" si="45"/>
        <v>0</v>
      </c>
      <c r="I436" s="256">
        <f t="shared" si="46"/>
        <v>0</v>
      </c>
      <c r="J436" s="256">
        <f t="shared" si="47"/>
        <v>0</v>
      </c>
      <c r="K436" s="256">
        <f t="shared" si="48"/>
        <v>0</v>
      </c>
      <c r="L436" s="255"/>
    </row>
    <row r="437" spans="1:12">
      <c r="A437" s="257">
        <v>374</v>
      </c>
      <c r="B437" s="256">
        <f t="shared" si="41"/>
        <v>0</v>
      </c>
      <c r="C437" s="256">
        <f t="shared" si="42"/>
        <v>0</v>
      </c>
      <c r="D437" s="256">
        <f t="shared" si="43"/>
        <v>0</v>
      </c>
      <c r="E437" s="256">
        <f t="shared" si="44"/>
        <v>0</v>
      </c>
      <c r="F437" s="255"/>
      <c r="G437" s="257">
        <v>374</v>
      </c>
      <c r="H437" s="256">
        <f t="shared" si="45"/>
        <v>0</v>
      </c>
      <c r="I437" s="256">
        <f t="shared" si="46"/>
        <v>0</v>
      </c>
      <c r="J437" s="256">
        <f t="shared" si="47"/>
        <v>0</v>
      </c>
      <c r="K437" s="256">
        <f t="shared" si="48"/>
        <v>0</v>
      </c>
      <c r="L437" s="255"/>
    </row>
    <row r="438" spans="1:12">
      <c r="A438" s="257">
        <v>375</v>
      </c>
      <c r="B438" s="256">
        <f t="shared" si="41"/>
        <v>0</v>
      </c>
      <c r="C438" s="256">
        <f t="shared" si="42"/>
        <v>0</v>
      </c>
      <c r="D438" s="256">
        <f t="shared" si="43"/>
        <v>0</v>
      </c>
      <c r="E438" s="256">
        <f t="shared" si="44"/>
        <v>0</v>
      </c>
      <c r="F438" s="255"/>
      <c r="G438" s="257">
        <v>375</v>
      </c>
      <c r="H438" s="256">
        <f t="shared" si="45"/>
        <v>0</v>
      </c>
      <c r="I438" s="256">
        <f t="shared" si="46"/>
        <v>0</v>
      </c>
      <c r="J438" s="256">
        <f t="shared" si="47"/>
        <v>0</v>
      </c>
      <c r="K438" s="256">
        <f t="shared" si="48"/>
        <v>0</v>
      </c>
      <c r="L438" s="255"/>
    </row>
    <row r="439" spans="1:12">
      <c r="A439" s="257">
        <v>376</v>
      </c>
      <c r="B439" s="256">
        <f t="shared" si="41"/>
        <v>0</v>
      </c>
      <c r="C439" s="256">
        <f t="shared" si="42"/>
        <v>0</v>
      </c>
      <c r="D439" s="256">
        <f t="shared" si="43"/>
        <v>0</v>
      </c>
      <c r="E439" s="256">
        <f t="shared" si="44"/>
        <v>0</v>
      </c>
      <c r="F439" s="255"/>
      <c r="G439" s="257">
        <v>376</v>
      </c>
      <c r="H439" s="256">
        <f t="shared" si="45"/>
        <v>0</v>
      </c>
      <c r="I439" s="256">
        <f t="shared" si="46"/>
        <v>0</v>
      </c>
      <c r="J439" s="256">
        <f t="shared" si="47"/>
        <v>0</v>
      </c>
      <c r="K439" s="256">
        <f t="shared" si="48"/>
        <v>0</v>
      </c>
      <c r="L439" s="255"/>
    </row>
    <row r="440" spans="1:12">
      <c r="A440" s="257">
        <v>377</v>
      </c>
      <c r="B440" s="256">
        <f t="shared" si="41"/>
        <v>0</v>
      </c>
      <c r="C440" s="256">
        <f t="shared" si="42"/>
        <v>0</v>
      </c>
      <c r="D440" s="256">
        <f t="shared" si="43"/>
        <v>0</v>
      </c>
      <c r="E440" s="256">
        <f t="shared" si="44"/>
        <v>0</v>
      </c>
      <c r="F440" s="255"/>
      <c r="G440" s="257">
        <v>377</v>
      </c>
      <c r="H440" s="256">
        <f t="shared" si="45"/>
        <v>0</v>
      </c>
      <c r="I440" s="256">
        <f t="shared" si="46"/>
        <v>0</v>
      </c>
      <c r="J440" s="256">
        <f t="shared" si="47"/>
        <v>0</v>
      </c>
      <c r="K440" s="256">
        <f t="shared" si="48"/>
        <v>0</v>
      </c>
      <c r="L440" s="255"/>
    </row>
    <row r="441" spans="1:12">
      <c r="A441" s="257">
        <v>378</v>
      </c>
      <c r="B441" s="256">
        <f t="shared" si="41"/>
        <v>0</v>
      </c>
      <c r="C441" s="256">
        <f t="shared" si="42"/>
        <v>0</v>
      </c>
      <c r="D441" s="256">
        <f t="shared" si="43"/>
        <v>0</v>
      </c>
      <c r="E441" s="256">
        <f t="shared" si="44"/>
        <v>0</v>
      </c>
      <c r="F441" s="255"/>
      <c r="G441" s="257">
        <v>378</v>
      </c>
      <c r="H441" s="256">
        <f t="shared" si="45"/>
        <v>0</v>
      </c>
      <c r="I441" s="256">
        <f t="shared" si="46"/>
        <v>0</v>
      </c>
      <c r="J441" s="256">
        <f t="shared" si="47"/>
        <v>0</v>
      </c>
      <c r="K441" s="256">
        <f t="shared" si="48"/>
        <v>0</v>
      </c>
      <c r="L441" s="255"/>
    </row>
    <row r="442" spans="1:12">
      <c r="A442" s="257">
        <v>379</v>
      </c>
      <c r="B442" s="256">
        <f t="shared" si="41"/>
        <v>0</v>
      </c>
      <c r="C442" s="256">
        <f t="shared" si="42"/>
        <v>0</v>
      </c>
      <c r="D442" s="256">
        <f t="shared" si="43"/>
        <v>0</v>
      </c>
      <c r="E442" s="256">
        <f t="shared" si="44"/>
        <v>0</v>
      </c>
      <c r="F442" s="255"/>
      <c r="G442" s="257">
        <v>379</v>
      </c>
      <c r="H442" s="256">
        <f t="shared" si="45"/>
        <v>0</v>
      </c>
      <c r="I442" s="256">
        <f t="shared" si="46"/>
        <v>0</v>
      </c>
      <c r="J442" s="256">
        <f t="shared" si="47"/>
        <v>0</v>
      </c>
      <c r="K442" s="256">
        <f t="shared" si="48"/>
        <v>0</v>
      </c>
      <c r="L442" s="255"/>
    </row>
    <row r="443" spans="1:12">
      <c r="A443" s="257">
        <v>380</v>
      </c>
      <c r="B443" s="256">
        <f t="shared" si="41"/>
        <v>0</v>
      </c>
      <c r="C443" s="256">
        <f t="shared" si="42"/>
        <v>0</v>
      </c>
      <c r="D443" s="256">
        <f t="shared" si="43"/>
        <v>0</v>
      </c>
      <c r="E443" s="256">
        <f t="shared" si="44"/>
        <v>0</v>
      </c>
      <c r="F443" s="255"/>
      <c r="G443" s="257">
        <v>380</v>
      </c>
      <c r="H443" s="256">
        <f t="shared" si="45"/>
        <v>0</v>
      </c>
      <c r="I443" s="256">
        <f t="shared" si="46"/>
        <v>0</v>
      </c>
      <c r="J443" s="256">
        <f t="shared" si="47"/>
        <v>0</v>
      </c>
      <c r="K443" s="256">
        <f t="shared" si="48"/>
        <v>0</v>
      </c>
      <c r="L443" s="255"/>
    </row>
    <row r="444" spans="1:12">
      <c r="A444" s="257">
        <v>381</v>
      </c>
      <c r="B444" s="256">
        <f t="shared" si="41"/>
        <v>0</v>
      </c>
      <c r="C444" s="256">
        <f t="shared" si="42"/>
        <v>0</v>
      </c>
      <c r="D444" s="256">
        <f t="shared" si="43"/>
        <v>0</v>
      </c>
      <c r="E444" s="256">
        <f t="shared" si="44"/>
        <v>0</v>
      </c>
      <c r="F444" s="255"/>
      <c r="G444" s="257">
        <v>381</v>
      </c>
      <c r="H444" s="256">
        <f t="shared" si="45"/>
        <v>0</v>
      </c>
      <c r="I444" s="256">
        <f t="shared" si="46"/>
        <v>0</v>
      </c>
      <c r="J444" s="256">
        <f t="shared" si="47"/>
        <v>0</v>
      </c>
      <c r="K444" s="256">
        <f t="shared" si="48"/>
        <v>0</v>
      </c>
      <c r="L444" s="255"/>
    </row>
    <row r="445" spans="1:12">
      <c r="A445" s="257">
        <v>382</v>
      </c>
      <c r="B445" s="256">
        <f t="shared" si="41"/>
        <v>0</v>
      </c>
      <c r="C445" s="256">
        <f t="shared" si="42"/>
        <v>0</v>
      </c>
      <c r="D445" s="256">
        <f t="shared" si="43"/>
        <v>0</v>
      </c>
      <c r="E445" s="256">
        <f t="shared" si="44"/>
        <v>0</v>
      </c>
      <c r="F445" s="255"/>
      <c r="G445" s="257">
        <v>382</v>
      </c>
      <c r="H445" s="256">
        <f t="shared" si="45"/>
        <v>0</v>
      </c>
      <c r="I445" s="256">
        <f t="shared" si="46"/>
        <v>0</v>
      </c>
      <c r="J445" s="256">
        <f t="shared" si="47"/>
        <v>0</v>
      </c>
      <c r="K445" s="256">
        <f t="shared" si="48"/>
        <v>0</v>
      </c>
      <c r="L445" s="255"/>
    </row>
    <row r="446" spans="1:12">
      <c r="A446" s="257">
        <v>383</v>
      </c>
      <c r="B446" s="256">
        <f t="shared" si="41"/>
        <v>0</v>
      </c>
      <c r="C446" s="256">
        <f t="shared" si="42"/>
        <v>0</v>
      </c>
      <c r="D446" s="256">
        <f t="shared" si="43"/>
        <v>0</v>
      </c>
      <c r="E446" s="256">
        <f t="shared" si="44"/>
        <v>0</v>
      </c>
      <c r="F446" s="255"/>
      <c r="G446" s="257">
        <v>383</v>
      </c>
      <c r="H446" s="256">
        <f t="shared" si="45"/>
        <v>0</v>
      </c>
      <c r="I446" s="256">
        <f t="shared" si="46"/>
        <v>0</v>
      </c>
      <c r="J446" s="256">
        <f t="shared" si="47"/>
        <v>0</v>
      </c>
      <c r="K446" s="256">
        <f t="shared" si="48"/>
        <v>0</v>
      </c>
      <c r="L446" s="255"/>
    </row>
    <row r="447" spans="1:12">
      <c r="A447" s="257">
        <v>384</v>
      </c>
      <c r="B447" s="256">
        <f t="shared" si="41"/>
        <v>0</v>
      </c>
      <c r="C447" s="256">
        <f t="shared" si="42"/>
        <v>0</v>
      </c>
      <c r="D447" s="256">
        <f t="shared" si="43"/>
        <v>0</v>
      </c>
      <c r="E447" s="256">
        <f t="shared" si="44"/>
        <v>0</v>
      </c>
      <c r="F447" s="255">
        <v>32</v>
      </c>
      <c r="G447" s="257">
        <v>384</v>
      </c>
      <c r="H447" s="256">
        <f t="shared" si="45"/>
        <v>0</v>
      </c>
      <c r="I447" s="256">
        <f t="shared" si="46"/>
        <v>0</v>
      </c>
      <c r="J447" s="256">
        <f t="shared" si="47"/>
        <v>0</v>
      </c>
      <c r="K447" s="256">
        <f t="shared" si="48"/>
        <v>0</v>
      </c>
      <c r="L447" s="255">
        <v>32</v>
      </c>
    </row>
    <row r="448" spans="1:12">
      <c r="A448" s="257">
        <v>385</v>
      </c>
      <c r="B448" s="256">
        <f t="shared" ref="B448:B511" si="49">IF(A448&gt;12*$C$9,0,IF($C$5&gt;1500000,$D$12,$C$12))</f>
        <v>0</v>
      </c>
      <c r="C448" s="256">
        <f t="shared" ref="C448:C511" si="50">IF(A448&gt;12*$C$9,0,E447*$C$7/12)</f>
        <v>0</v>
      </c>
      <c r="D448" s="256">
        <f t="shared" ref="D448:D511" si="51">IF(A448&gt;12*$C$9,0,B448-C448)</f>
        <v>0</v>
      </c>
      <c r="E448" s="256">
        <f t="shared" ref="E448:E511" si="52">IF(A448&gt;12*$C$9,0,E447-D448)</f>
        <v>0</v>
      </c>
      <c r="F448" s="255"/>
      <c r="G448" s="257">
        <v>385</v>
      </c>
      <c r="H448" s="256">
        <f t="shared" ref="H448:H511" si="53">IF(G448&gt;12*$C$9,0,IF($C$5&gt;1500000,$E$12,0))</f>
        <v>0</v>
      </c>
      <c r="I448" s="256">
        <f t="shared" ref="I448:I511" si="54">IF(G448&gt;12*$C$9,0,K447*$C$7/12)</f>
        <v>0</v>
      </c>
      <c r="J448" s="256">
        <f t="shared" ref="J448:J511" si="55">IF(G448&gt;12*$C$9,0,H448-I448)</f>
        <v>0</v>
      </c>
      <c r="K448" s="256">
        <f t="shared" ref="K448:K511" si="56">IF(G448&gt;12*$C$9,0,K447-J448)</f>
        <v>0</v>
      </c>
      <c r="L448" s="255"/>
    </row>
    <row r="449" spans="1:12">
      <c r="A449" s="257">
        <v>386</v>
      </c>
      <c r="B449" s="256">
        <f t="shared" si="49"/>
        <v>0</v>
      </c>
      <c r="C449" s="256">
        <f t="shared" si="50"/>
        <v>0</v>
      </c>
      <c r="D449" s="256">
        <f t="shared" si="51"/>
        <v>0</v>
      </c>
      <c r="E449" s="256">
        <f t="shared" si="52"/>
        <v>0</v>
      </c>
      <c r="F449" s="255"/>
      <c r="G449" s="257">
        <v>386</v>
      </c>
      <c r="H449" s="256">
        <f t="shared" si="53"/>
        <v>0</v>
      </c>
      <c r="I449" s="256">
        <f t="shared" si="54"/>
        <v>0</v>
      </c>
      <c r="J449" s="256">
        <f t="shared" si="55"/>
        <v>0</v>
      </c>
      <c r="K449" s="256">
        <f t="shared" si="56"/>
        <v>0</v>
      </c>
      <c r="L449" s="255"/>
    </row>
    <row r="450" spans="1:12">
      <c r="A450" s="257">
        <v>387</v>
      </c>
      <c r="B450" s="256">
        <f t="shared" si="49"/>
        <v>0</v>
      </c>
      <c r="C450" s="256">
        <f t="shared" si="50"/>
        <v>0</v>
      </c>
      <c r="D450" s="256">
        <f t="shared" si="51"/>
        <v>0</v>
      </c>
      <c r="E450" s="256">
        <f t="shared" si="52"/>
        <v>0</v>
      </c>
      <c r="F450" s="255"/>
      <c r="G450" s="257">
        <v>387</v>
      </c>
      <c r="H450" s="256">
        <f t="shared" si="53"/>
        <v>0</v>
      </c>
      <c r="I450" s="256">
        <f t="shared" si="54"/>
        <v>0</v>
      </c>
      <c r="J450" s="256">
        <f t="shared" si="55"/>
        <v>0</v>
      </c>
      <c r="K450" s="256">
        <f t="shared" si="56"/>
        <v>0</v>
      </c>
      <c r="L450" s="255"/>
    </row>
    <row r="451" spans="1:12">
      <c r="A451" s="257">
        <v>388</v>
      </c>
      <c r="B451" s="256">
        <f t="shared" si="49"/>
        <v>0</v>
      </c>
      <c r="C451" s="256">
        <f t="shared" si="50"/>
        <v>0</v>
      </c>
      <c r="D451" s="256">
        <f t="shared" si="51"/>
        <v>0</v>
      </c>
      <c r="E451" s="256">
        <f t="shared" si="52"/>
        <v>0</v>
      </c>
      <c r="F451" s="255"/>
      <c r="G451" s="257">
        <v>388</v>
      </c>
      <c r="H451" s="256">
        <f t="shared" si="53"/>
        <v>0</v>
      </c>
      <c r="I451" s="256">
        <f t="shared" si="54"/>
        <v>0</v>
      </c>
      <c r="J451" s="256">
        <f t="shared" si="55"/>
        <v>0</v>
      </c>
      <c r="K451" s="256">
        <f t="shared" si="56"/>
        <v>0</v>
      </c>
      <c r="L451" s="255"/>
    </row>
    <row r="452" spans="1:12">
      <c r="A452" s="257">
        <v>389</v>
      </c>
      <c r="B452" s="256">
        <f t="shared" si="49"/>
        <v>0</v>
      </c>
      <c r="C452" s="256">
        <f t="shared" si="50"/>
        <v>0</v>
      </c>
      <c r="D452" s="256">
        <f t="shared" si="51"/>
        <v>0</v>
      </c>
      <c r="E452" s="256">
        <f t="shared" si="52"/>
        <v>0</v>
      </c>
      <c r="F452" s="255"/>
      <c r="G452" s="257">
        <v>389</v>
      </c>
      <c r="H452" s="256">
        <f t="shared" si="53"/>
        <v>0</v>
      </c>
      <c r="I452" s="256">
        <f t="shared" si="54"/>
        <v>0</v>
      </c>
      <c r="J452" s="256">
        <f t="shared" si="55"/>
        <v>0</v>
      </c>
      <c r="K452" s="256">
        <f t="shared" si="56"/>
        <v>0</v>
      </c>
      <c r="L452" s="255"/>
    </row>
    <row r="453" spans="1:12">
      <c r="A453" s="257">
        <v>390</v>
      </c>
      <c r="B453" s="256">
        <f t="shared" si="49"/>
        <v>0</v>
      </c>
      <c r="C453" s="256">
        <f t="shared" si="50"/>
        <v>0</v>
      </c>
      <c r="D453" s="256">
        <f t="shared" si="51"/>
        <v>0</v>
      </c>
      <c r="E453" s="256">
        <f t="shared" si="52"/>
        <v>0</v>
      </c>
      <c r="F453" s="255"/>
      <c r="G453" s="257">
        <v>390</v>
      </c>
      <c r="H453" s="256">
        <f t="shared" si="53"/>
        <v>0</v>
      </c>
      <c r="I453" s="256">
        <f t="shared" si="54"/>
        <v>0</v>
      </c>
      <c r="J453" s="256">
        <f t="shared" si="55"/>
        <v>0</v>
      </c>
      <c r="K453" s="256">
        <f t="shared" si="56"/>
        <v>0</v>
      </c>
      <c r="L453" s="255"/>
    </row>
    <row r="454" spans="1:12">
      <c r="A454" s="257">
        <v>391</v>
      </c>
      <c r="B454" s="256">
        <f t="shared" si="49"/>
        <v>0</v>
      </c>
      <c r="C454" s="256">
        <f t="shared" si="50"/>
        <v>0</v>
      </c>
      <c r="D454" s="256">
        <f t="shared" si="51"/>
        <v>0</v>
      </c>
      <c r="E454" s="256">
        <f t="shared" si="52"/>
        <v>0</v>
      </c>
      <c r="F454" s="255"/>
      <c r="G454" s="257">
        <v>391</v>
      </c>
      <c r="H454" s="256">
        <f t="shared" si="53"/>
        <v>0</v>
      </c>
      <c r="I454" s="256">
        <f t="shared" si="54"/>
        <v>0</v>
      </c>
      <c r="J454" s="256">
        <f t="shared" si="55"/>
        <v>0</v>
      </c>
      <c r="K454" s="256">
        <f t="shared" si="56"/>
        <v>0</v>
      </c>
      <c r="L454" s="255"/>
    </row>
    <row r="455" spans="1:12">
      <c r="A455" s="257">
        <v>392</v>
      </c>
      <c r="B455" s="256">
        <f t="shared" si="49"/>
        <v>0</v>
      </c>
      <c r="C455" s="256">
        <f t="shared" si="50"/>
        <v>0</v>
      </c>
      <c r="D455" s="256">
        <f t="shared" si="51"/>
        <v>0</v>
      </c>
      <c r="E455" s="256">
        <f t="shared" si="52"/>
        <v>0</v>
      </c>
      <c r="F455" s="255"/>
      <c r="G455" s="257">
        <v>392</v>
      </c>
      <c r="H455" s="256">
        <f t="shared" si="53"/>
        <v>0</v>
      </c>
      <c r="I455" s="256">
        <f t="shared" si="54"/>
        <v>0</v>
      </c>
      <c r="J455" s="256">
        <f t="shared" si="55"/>
        <v>0</v>
      </c>
      <c r="K455" s="256">
        <f t="shared" si="56"/>
        <v>0</v>
      </c>
      <c r="L455" s="255"/>
    </row>
    <row r="456" spans="1:12">
      <c r="A456" s="257">
        <v>393</v>
      </c>
      <c r="B456" s="256">
        <f t="shared" si="49"/>
        <v>0</v>
      </c>
      <c r="C456" s="256">
        <f t="shared" si="50"/>
        <v>0</v>
      </c>
      <c r="D456" s="256">
        <f t="shared" si="51"/>
        <v>0</v>
      </c>
      <c r="E456" s="256">
        <f t="shared" si="52"/>
        <v>0</v>
      </c>
      <c r="F456" s="255"/>
      <c r="G456" s="257">
        <v>393</v>
      </c>
      <c r="H456" s="256">
        <f t="shared" si="53"/>
        <v>0</v>
      </c>
      <c r="I456" s="256">
        <f t="shared" si="54"/>
        <v>0</v>
      </c>
      <c r="J456" s="256">
        <f t="shared" si="55"/>
        <v>0</v>
      </c>
      <c r="K456" s="256">
        <f t="shared" si="56"/>
        <v>0</v>
      </c>
      <c r="L456" s="255"/>
    </row>
    <row r="457" spans="1:12">
      <c r="A457" s="257">
        <v>394</v>
      </c>
      <c r="B457" s="256">
        <f t="shared" si="49"/>
        <v>0</v>
      </c>
      <c r="C457" s="256">
        <f t="shared" si="50"/>
        <v>0</v>
      </c>
      <c r="D457" s="256">
        <f t="shared" si="51"/>
        <v>0</v>
      </c>
      <c r="E457" s="256">
        <f t="shared" si="52"/>
        <v>0</v>
      </c>
      <c r="F457" s="255"/>
      <c r="G457" s="257">
        <v>394</v>
      </c>
      <c r="H457" s="256">
        <f t="shared" si="53"/>
        <v>0</v>
      </c>
      <c r="I457" s="256">
        <f t="shared" si="54"/>
        <v>0</v>
      </c>
      <c r="J457" s="256">
        <f t="shared" si="55"/>
        <v>0</v>
      </c>
      <c r="K457" s="256">
        <f t="shared" si="56"/>
        <v>0</v>
      </c>
      <c r="L457" s="255"/>
    </row>
    <row r="458" spans="1:12">
      <c r="A458" s="257">
        <v>395</v>
      </c>
      <c r="B458" s="256">
        <f t="shared" si="49"/>
        <v>0</v>
      </c>
      <c r="C458" s="256">
        <f t="shared" si="50"/>
        <v>0</v>
      </c>
      <c r="D458" s="256">
        <f t="shared" si="51"/>
        <v>0</v>
      </c>
      <c r="E458" s="256">
        <f t="shared" si="52"/>
        <v>0</v>
      </c>
      <c r="F458" s="255"/>
      <c r="G458" s="257">
        <v>395</v>
      </c>
      <c r="H458" s="256">
        <f t="shared" si="53"/>
        <v>0</v>
      </c>
      <c r="I458" s="256">
        <f t="shared" si="54"/>
        <v>0</v>
      </c>
      <c r="J458" s="256">
        <f t="shared" si="55"/>
        <v>0</v>
      </c>
      <c r="K458" s="256">
        <f t="shared" si="56"/>
        <v>0</v>
      </c>
      <c r="L458" s="255"/>
    </row>
    <row r="459" spans="1:12">
      <c r="A459" s="257">
        <v>396</v>
      </c>
      <c r="B459" s="256">
        <f t="shared" si="49"/>
        <v>0</v>
      </c>
      <c r="C459" s="256">
        <f t="shared" si="50"/>
        <v>0</v>
      </c>
      <c r="D459" s="256">
        <f t="shared" si="51"/>
        <v>0</v>
      </c>
      <c r="E459" s="256">
        <f t="shared" si="52"/>
        <v>0</v>
      </c>
      <c r="F459" s="255">
        <v>33</v>
      </c>
      <c r="G459" s="257">
        <v>396</v>
      </c>
      <c r="H459" s="256">
        <f t="shared" si="53"/>
        <v>0</v>
      </c>
      <c r="I459" s="256">
        <f t="shared" si="54"/>
        <v>0</v>
      </c>
      <c r="J459" s="256">
        <f t="shared" si="55"/>
        <v>0</v>
      </c>
      <c r="K459" s="256">
        <f t="shared" si="56"/>
        <v>0</v>
      </c>
      <c r="L459" s="255">
        <v>33</v>
      </c>
    </row>
    <row r="460" spans="1:12">
      <c r="A460" s="257">
        <v>397</v>
      </c>
      <c r="B460" s="256">
        <f t="shared" si="49"/>
        <v>0</v>
      </c>
      <c r="C460" s="256">
        <f t="shared" si="50"/>
        <v>0</v>
      </c>
      <c r="D460" s="256">
        <f t="shared" si="51"/>
        <v>0</v>
      </c>
      <c r="E460" s="256">
        <f t="shared" si="52"/>
        <v>0</v>
      </c>
      <c r="F460" s="255"/>
      <c r="G460" s="257">
        <v>397</v>
      </c>
      <c r="H460" s="256">
        <f t="shared" si="53"/>
        <v>0</v>
      </c>
      <c r="I460" s="256">
        <f t="shared" si="54"/>
        <v>0</v>
      </c>
      <c r="J460" s="256">
        <f t="shared" si="55"/>
        <v>0</v>
      </c>
      <c r="K460" s="256">
        <f t="shared" si="56"/>
        <v>0</v>
      </c>
      <c r="L460" s="255"/>
    </row>
    <row r="461" spans="1:12">
      <c r="A461" s="257">
        <v>398</v>
      </c>
      <c r="B461" s="256">
        <f t="shared" si="49"/>
        <v>0</v>
      </c>
      <c r="C461" s="256">
        <f t="shared" si="50"/>
        <v>0</v>
      </c>
      <c r="D461" s="256">
        <f t="shared" si="51"/>
        <v>0</v>
      </c>
      <c r="E461" s="256">
        <f t="shared" si="52"/>
        <v>0</v>
      </c>
      <c r="F461" s="255"/>
      <c r="G461" s="257">
        <v>398</v>
      </c>
      <c r="H461" s="256">
        <f t="shared" si="53"/>
        <v>0</v>
      </c>
      <c r="I461" s="256">
        <f t="shared" si="54"/>
        <v>0</v>
      </c>
      <c r="J461" s="256">
        <f t="shared" si="55"/>
        <v>0</v>
      </c>
      <c r="K461" s="256">
        <f t="shared" si="56"/>
        <v>0</v>
      </c>
      <c r="L461" s="255"/>
    </row>
    <row r="462" spans="1:12">
      <c r="A462" s="257">
        <v>399</v>
      </c>
      <c r="B462" s="256">
        <f t="shared" si="49"/>
        <v>0</v>
      </c>
      <c r="C462" s="256">
        <f t="shared" si="50"/>
        <v>0</v>
      </c>
      <c r="D462" s="256">
        <f t="shared" si="51"/>
        <v>0</v>
      </c>
      <c r="E462" s="256">
        <f t="shared" si="52"/>
        <v>0</v>
      </c>
      <c r="F462" s="255"/>
      <c r="G462" s="257">
        <v>399</v>
      </c>
      <c r="H462" s="256">
        <f t="shared" si="53"/>
        <v>0</v>
      </c>
      <c r="I462" s="256">
        <f t="shared" si="54"/>
        <v>0</v>
      </c>
      <c r="J462" s="256">
        <f t="shared" si="55"/>
        <v>0</v>
      </c>
      <c r="K462" s="256">
        <f t="shared" si="56"/>
        <v>0</v>
      </c>
      <c r="L462" s="255"/>
    </row>
    <row r="463" spans="1:12">
      <c r="A463" s="257">
        <v>400</v>
      </c>
      <c r="B463" s="256">
        <f t="shared" si="49"/>
        <v>0</v>
      </c>
      <c r="C463" s="256">
        <f t="shared" si="50"/>
        <v>0</v>
      </c>
      <c r="D463" s="256">
        <f t="shared" si="51"/>
        <v>0</v>
      </c>
      <c r="E463" s="256">
        <f t="shared" si="52"/>
        <v>0</v>
      </c>
      <c r="F463" s="255"/>
      <c r="G463" s="257">
        <v>400</v>
      </c>
      <c r="H463" s="256">
        <f t="shared" si="53"/>
        <v>0</v>
      </c>
      <c r="I463" s="256">
        <f t="shared" si="54"/>
        <v>0</v>
      </c>
      <c r="J463" s="256">
        <f t="shared" si="55"/>
        <v>0</v>
      </c>
      <c r="K463" s="256">
        <f t="shared" si="56"/>
        <v>0</v>
      </c>
      <c r="L463" s="255"/>
    </row>
    <row r="464" spans="1:12">
      <c r="A464" s="257">
        <v>401</v>
      </c>
      <c r="B464" s="256">
        <f t="shared" si="49"/>
        <v>0</v>
      </c>
      <c r="C464" s="256">
        <f t="shared" si="50"/>
        <v>0</v>
      </c>
      <c r="D464" s="256">
        <f t="shared" si="51"/>
        <v>0</v>
      </c>
      <c r="E464" s="256">
        <f t="shared" si="52"/>
        <v>0</v>
      </c>
      <c r="F464" s="255"/>
      <c r="G464" s="257">
        <v>401</v>
      </c>
      <c r="H464" s="256">
        <f t="shared" si="53"/>
        <v>0</v>
      </c>
      <c r="I464" s="256">
        <f t="shared" si="54"/>
        <v>0</v>
      </c>
      <c r="J464" s="256">
        <f t="shared" si="55"/>
        <v>0</v>
      </c>
      <c r="K464" s="256">
        <f t="shared" si="56"/>
        <v>0</v>
      </c>
      <c r="L464" s="255"/>
    </row>
    <row r="465" spans="1:12">
      <c r="A465" s="257">
        <v>402</v>
      </c>
      <c r="B465" s="256">
        <f t="shared" si="49"/>
        <v>0</v>
      </c>
      <c r="C465" s="256">
        <f t="shared" si="50"/>
        <v>0</v>
      </c>
      <c r="D465" s="256">
        <f t="shared" si="51"/>
        <v>0</v>
      </c>
      <c r="E465" s="256">
        <f t="shared" si="52"/>
        <v>0</v>
      </c>
      <c r="F465" s="255"/>
      <c r="G465" s="257">
        <v>402</v>
      </c>
      <c r="H465" s="256">
        <f t="shared" si="53"/>
        <v>0</v>
      </c>
      <c r="I465" s="256">
        <f t="shared" si="54"/>
        <v>0</v>
      </c>
      <c r="J465" s="256">
        <f t="shared" si="55"/>
        <v>0</v>
      </c>
      <c r="K465" s="256">
        <f t="shared" si="56"/>
        <v>0</v>
      </c>
      <c r="L465" s="255"/>
    </row>
    <row r="466" spans="1:12">
      <c r="A466" s="257">
        <v>403</v>
      </c>
      <c r="B466" s="256">
        <f t="shared" si="49"/>
        <v>0</v>
      </c>
      <c r="C466" s="256">
        <f t="shared" si="50"/>
        <v>0</v>
      </c>
      <c r="D466" s="256">
        <f t="shared" si="51"/>
        <v>0</v>
      </c>
      <c r="E466" s="256">
        <f t="shared" si="52"/>
        <v>0</v>
      </c>
      <c r="F466" s="255"/>
      <c r="G466" s="257">
        <v>403</v>
      </c>
      <c r="H466" s="256">
        <f t="shared" si="53"/>
        <v>0</v>
      </c>
      <c r="I466" s="256">
        <f t="shared" si="54"/>
        <v>0</v>
      </c>
      <c r="J466" s="256">
        <f t="shared" si="55"/>
        <v>0</v>
      </c>
      <c r="K466" s="256">
        <f t="shared" si="56"/>
        <v>0</v>
      </c>
      <c r="L466" s="255"/>
    </row>
    <row r="467" spans="1:12">
      <c r="A467" s="257">
        <v>404</v>
      </c>
      <c r="B467" s="256">
        <f t="shared" si="49"/>
        <v>0</v>
      </c>
      <c r="C467" s="256">
        <f t="shared" si="50"/>
        <v>0</v>
      </c>
      <c r="D467" s="256">
        <f t="shared" si="51"/>
        <v>0</v>
      </c>
      <c r="E467" s="256">
        <f t="shared" si="52"/>
        <v>0</v>
      </c>
      <c r="F467" s="255"/>
      <c r="G467" s="257">
        <v>404</v>
      </c>
      <c r="H467" s="256">
        <f t="shared" si="53"/>
        <v>0</v>
      </c>
      <c r="I467" s="256">
        <f t="shared" si="54"/>
        <v>0</v>
      </c>
      <c r="J467" s="256">
        <f t="shared" si="55"/>
        <v>0</v>
      </c>
      <c r="K467" s="256">
        <f t="shared" si="56"/>
        <v>0</v>
      </c>
      <c r="L467" s="255"/>
    </row>
    <row r="468" spans="1:12">
      <c r="A468" s="257">
        <v>405</v>
      </c>
      <c r="B468" s="256">
        <f t="shared" si="49"/>
        <v>0</v>
      </c>
      <c r="C468" s="256">
        <f t="shared" si="50"/>
        <v>0</v>
      </c>
      <c r="D468" s="256">
        <f t="shared" si="51"/>
        <v>0</v>
      </c>
      <c r="E468" s="256">
        <f t="shared" si="52"/>
        <v>0</v>
      </c>
      <c r="F468" s="255"/>
      <c r="G468" s="257">
        <v>405</v>
      </c>
      <c r="H468" s="256">
        <f t="shared" si="53"/>
        <v>0</v>
      </c>
      <c r="I468" s="256">
        <f t="shared" si="54"/>
        <v>0</v>
      </c>
      <c r="J468" s="256">
        <f t="shared" si="55"/>
        <v>0</v>
      </c>
      <c r="K468" s="256">
        <f t="shared" si="56"/>
        <v>0</v>
      </c>
      <c r="L468" s="255"/>
    </row>
    <row r="469" spans="1:12">
      <c r="A469" s="257">
        <v>406</v>
      </c>
      <c r="B469" s="256">
        <f t="shared" si="49"/>
        <v>0</v>
      </c>
      <c r="C469" s="256">
        <f t="shared" si="50"/>
        <v>0</v>
      </c>
      <c r="D469" s="256">
        <f t="shared" si="51"/>
        <v>0</v>
      </c>
      <c r="E469" s="256">
        <f t="shared" si="52"/>
        <v>0</v>
      </c>
      <c r="F469" s="255"/>
      <c r="G469" s="257">
        <v>406</v>
      </c>
      <c r="H469" s="256">
        <f t="shared" si="53"/>
        <v>0</v>
      </c>
      <c r="I469" s="256">
        <f t="shared" si="54"/>
        <v>0</v>
      </c>
      <c r="J469" s="256">
        <f t="shared" si="55"/>
        <v>0</v>
      </c>
      <c r="K469" s="256">
        <f t="shared" si="56"/>
        <v>0</v>
      </c>
      <c r="L469" s="255"/>
    </row>
    <row r="470" spans="1:12">
      <c r="A470" s="257">
        <v>407</v>
      </c>
      <c r="B470" s="256">
        <f t="shared" si="49"/>
        <v>0</v>
      </c>
      <c r="C470" s="256">
        <f t="shared" si="50"/>
        <v>0</v>
      </c>
      <c r="D470" s="256">
        <f t="shared" si="51"/>
        <v>0</v>
      </c>
      <c r="E470" s="256">
        <f t="shared" si="52"/>
        <v>0</v>
      </c>
      <c r="F470" s="255"/>
      <c r="G470" s="257">
        <v>407</v>
      </c>
      <c r="H470" s="256">
        <f t="shared" si="53"/>
        <v>0</v>
      </c>
      <c r="I470" s="256">
        <f t="shared" si="54"/>
        <v>0</v>
      </c>
      <c r="J470" s="256">
        <f t="shared" si="55"/>
        <v>0</v>
      </c>
      <c r="K470" s="256">
        <f t="shared" si="56"/>
        <v>0</v>
      </c>
      <c r="L470" s="255"/>
    </row>
    <row r="471" spans="1:12">
      <c r="A471" s="257">
        <v>408</v>
      </c>
      <c r="B471" s="256">
        <f t="shared" si="49"/>
        <v>0</v>
      </c>
      <c r="C471" s="256">
        <f t="shared" si="50"/>
        <v>0</v>
      </c>
      <c r="D471" s="256">
        <f t="shared" si="51"/>
        <v>0</v>
      </c>
      <c r="E471" s="256">
        <f t="shared" si="52"/>
        <v>0</v>
      </c>
      <c r="F471" s="255">
        <v>34</v>
      </c>
      <c r="G471" s="257">
        <v>408</v>
      </c>
      <c r="H471" s="256">
        <f t="shared" si="53"/>
        <v>0</v>
      </c>
      <c r="I471" s="256">
        <f t="shared" si="54"/>
        <v>0</v>
      </c>
      <c r="J471" s="256">
        <f t="shared" si="55"/>
        <v>0</v>
      </c>
      <c r="K471" s="256">
        <f t="shared" si="56"/>
        <v>0</v>
      </c>
      <c r="L471" s="255">
        <v>34</v>
      </c>
    </row>
    <row r="472" spans="1:12">
      <c r="A472" s="257">
        <v>409</v>
      </c>
      <c r="B472" s="256">
        <f t="shared" si="49"/>
        <v>0</v>
      </c>
      <c r="C472" s="256">
        <f t="shared" si="50"/>
        <v>0</v>
      </c>
      <c r="D472" s="256">
        <f t="shared" si="51"/>
        <v>0</v>
      </c>
      <c r="E472" s="256">
        <f t="shared" si="52"/>
        <v>0</v>
      </c>
      <c r="F472" s="255"/>
      <c r="G472" s="257">
        <v>409</v>
      </c>
      <c r="H472" s="256">
        <f t="shared" si="53"/>
        <v>0</v>
      </c>
      <c r="I472" s="256">
        <f t="shared" si="54"/>
        <v>0</v>
      </c>
      <c r="J472" s="256">
        <f t="shared" si="55"/>
        <v>0</v>
      </c>
      <c r="K472" s="256">
        <f t="shared" si="56"/>
        <v>0</v>
      </c>
      <c r="L472" s="255"/>
    </row>
    <row r="473" spans="1:12">
      <c r="A473" s="257">
        <v>410</v>
      </c>
      <c r="B473" s="256">
        <f t="shared" si="49"/>
        <v>0</v>
      </c>
      <c r="C473" s="256">
        <f t="shared" si="50"/>
        <v>0</v>
      </c>
      <c r="D473" s="256">
        <f t="shared" si="51"/>
        <v>0</v>
      </c>
      <c r="E473" s="256">
        <f t="shared" si="52"/>
        <v>0</v>
      </c>
      <c r="F473" s="255"/>
      <c r="G473" s="257">
        <v>410</v>
      </c>
      <c r="H473" s="256">
        <f t="shared" si="53"/>
        <v>0</v>
      </c>
      <c r="I473" s="256">
        <f t="shared" si="54"/>
        <v>0</v>
      </c>
      <c r="J473" s="256">
        <f t="shared" si="55"/>
        <v>0</v>
      </c>
      <c r="K473" s="256">
        <f t="shared" si="56"/>
        <v>0</v>
      </c>
      <c r="L473" s="255"/>
    </row>
    <row r="474" spans="1:12">
      <c r="A474" s="257">
        <v>411</v>
      </c>
      <c r="B474" s="256">
        <f t="shared" si="49"/>
        <v>0</v>
      </c>
      <c r="C474" s="256">
        <f t="shared" si="50"/>
        <v>0</v>
      </c>
      <c r="D474" s="256">
        <f t="shared" si="51"/>
        <v>0</v>
      </c>
      <c r="E474" s="256">
        <f t="shared" si="52"/>
        <v>0</v>
      </c>
      <c r="F474" s="255"/>
      <c r="G474" s="257">
        <v>411</v>
      </c>
      <c r="H474" s="256">
        <f t="shared" si="53"/>
        <v>0</v>
      </c>
      <c r="I474" s="256">
        <f t="shared" si="54"/>
        <v>0</v>
      </c>
      <c r="J474" s="256">
        <f t="shared" si="55"/>
        <v>0</v>
      </c>
      <c r="K474" s="256">
        <f t="shared" si="56"/>
        <v>0</v>
      </c>
      <c r="L474" s="255"/>
    </row>
    <row r="475" spans="1:12">
      <c r="A475" s="257">
        <v>412</v>
      </c>
      <c r="B475" s="256">
        <f t="shared" si="49"/>
        <v>0</v>
      </c>
      <c r="C475" s="256">
        <f t="shared" si="50"/>
        <v>0</v>
      </c>
      <c r="D475" s="256">
        <f t="shared" si="51"/>
        <v>0</v>
      </c>
      <c r="E475" s="256">
        <f t="shared" si="52"/>
        <v>0</v>
      </c>
      <c r="F475" s="255"/>
      <c r="G475" s="257">
        <v>412</v>
      </c>
      <c r="H475" s="256">
        <f t="shared" si="53"/>
        <v>0</v>
      </c>
      <c r="I475" s="256">
        <f t="shared" si="54"/>
        <v>0</v>
      </c>
      <c r="J475" s="256">
        <f t="shared" si="55"/>
        <v>0</v>
      </c>
      <c r="K475" s="256">
        <f t="shared" si="56"/>
        <v>0</v>
      </c>
      <c r="L475" s="255"/>
    </row>
    <row r="476" spans="1:12">
      <c r="A476" s="257">
        <v>413</v>
      </c>
      <c r="B476" s="256">
        <f t="shared" si="49"/>
        <v>0</v>
      </c>
      <c r="C476" s="256">
        <f t="shared" si="50"/>
        <v>0</v>
      </c>
      <c r="D476" s="256">
        <f t="shared" si="51"/>
        <v>0</v>
      </c>
      <c r="E476" s="256">
        <f t="shared" si="52"/>
        <v>0</v>
      </c>
      <c r="F476" s="255"/>
      <c r="G476" s="257">
        <v>413</v>
      </c>
      <c r="H476" s="256">
        <f t="shared" si="53"/>
        <v>0</v>
      </c>
      <c r="I476" s="256">
        <f t="shared" si="54"/>
        <v>0</v>
      </c>
      <c r="J476" s="256">
        <f t="shared" si="55"/>
        <v>0</v>
      </c>
      <c r="K476" s="256">
        <f t="shared" si="56"/>
        <v>0</v>
      </c>
      <c r="L476" s="255"/>
    </row>
    <row r="477" spans="1:12">
      <c r="A477" s="257">
        <v>414</v>
      </c>
      <c r="B477" s="256">
        <f t="shared" si="49"/>
        <v>0</v>
      </c>
      <c r="C477" s="256">
        <f t="shared" si="50"/>
        <v>0</v>
      </c>
      <c r="D477" s="256">
        <f t="shared" si="51"/>
        <v>0</v>
      </c>
      <c r="E477" s="256">
        <f t="shared" si="52"/>
        <v>0</v>
      </c>
      <c r="F477" s="255"/>
      <c r="G477" s="257">
        <v>414</v>
      </c>
      <c r="H477" s="256">
        <f t="shared" si="53"/>
        <v>0</v>
      </c>
      <c r="I477" s="256">
        <f t="shared" si="54"/>
        <v>0</v>
      </c>
      <c r="J477" s="256">
        <f t="shared" si="55"/>
        <v>0</v>
      </c>
      <c r="K477" s="256">
        <f t="shared" si="56"/>
        <v>0</v>
      </c>
      <c r="L477" s="255"/>
    </row>
    <row r="478" spans="1:12">
      <c r="A478" s="257">
        <v>415</v>
      </c>
      <c r="B478" s="256">
        <f t="shared" si="49"/>
        <v>0</v>
      </c>
      <c r="C478" s="256">
        <f t="shared" si="50"/>
        <v>0</v>
      </c>
      <c r="D478" s="256">
        <f t="shared" si="51"/>
        <v>0</v>
      </c>
      <c r="E478" s="256">
        <f t="shared" si="52"/>
        <v>0</v>
      </c>
      <c r="F478" s="255"/>
      <c r="G478" s="257">
        <v>415</v>
      </c>
      <c r="H478" s="256">
        <f t="shared" si="53"/>
        <v>0</v>
      </c>
      <c r="I478" s="256">
        <f t="shared" si="54"/>
        <v>0</v>
      </c>
      <c r="J478" s="256">
        <f t="shared" si="55"/>
        <v>0</v>
      </c>
      <c r="K478" s="256">
        <f t="shared" si="56"/>
        <v>0</v>
      </c>
      <c r="L478" s="255"/>
    </row>
    <row r="479" spans="1:12">
      <c r="A479" s="257">
        <v>416</v>
      </c>
      <c r="B479" s="256">
        <f t="shared" si="49"/>
        <v>0</v>
      </c>
      <c r="C479" s="256">
        <f t="shared" si="50"/>
        <v>0</v>
      </c>
      <c r="D479" s="256">
        <f t="shared" si="51"/>
        <v>0</v>
      </c>
      <c r="E479" s="256">
        <f t="shared" si="52"/>
        <v>0</v>
      </c>
      <c r="F479" s="255"/>
      <c r="G479" s="257">
        <v>416</v>
      </c>
      <c r="H479" s="256">
        <f t="shared" si="53"/>
        <v>0</v>
      </c>
      <c r="I479" s="256">
        <f t="shared" si="54"/>
        <v>0</v>
      </c>
      <c r="J479" s="256">
        <f t="shared" si="55"/>
        <v>0</v>
      </c>
      <c r="K479" s="256">
        <f t="shared" si="56"/>
        <v>0</v>
      </c>
      <c r="L479" s="255"/>
    </row>
    <row r="480" spans="1:12">
      <c r="A480" s="257">
        <v>417</v>
      </c>
      <c r="B480" s="256">
        <f t="shared" si="49"/>
        <v>0</v>
      </c>
      <c r="C480" s="256">
        <f t="shared" si="50"/>
        <v>0</v>
      </c>
      <c r="D480" s="256">
        <f t="shared" si="51"/>
        <v>0</v>
      </c>
      <c r="E480" s="256">
        <f t="shared" si="52"/>
        <v>0</v>
      </c>
      <c r="F480" s="255"/>
      <c r="G480" s="257">
        <v>417</v>
      </c>
      <c r="H480" s="256">
        <f t="shared" si="53"/>
        <v>0</v>
      </c>
      <c r="I480" s="256">
        <f t="shared" si="54"/>
        <v>0</v>
      </c>
      <c r="J480" s="256">
        <f t="shared" si="55"/>
        <v>0</v>
      </c>
      <c r="K480" s="256">
        <f t="shared" si="56"/>
        <v>0</v>
      </c>
      <c r="L480" s="255"/>
    </row>
    <row r="481" spans="1:12">
      <c r="A481" s="257">
        <v>418</v>
      </c>
      <c r="B481" s="256">
        <f t="shared" si="49"/>
        <v>0</v>
      </c>
      <c r="C481" s="256">
        <f t="shared" si="50"/>
        <v>0</v>
      </c>
      <c r="D481" s="256">
        <f t="shared" si="51"/>
        <v>0</v>
      </c>
      <c r="E481" s="256">
        <f t="shared" si="52"/>
        <v>0</v>
      </c>
      <c r="F481" s="255"/>
      <c r="G481" s="257">
        <v>418</v>
      </c>
      <c r="H481" s="256">
        <f t="shared" si="53"/>
        <v>0</v>
      </c>
      <c r="I481" s="256">
        <f t="shared" si="54"/>
        <v>0</v>
      </c>
      <c r="J481" s="256">
        <f t="shared" si="55"/>
        <v>0</v>
      </c>
      <c r="K481" s="256">
        <f t="shared" si="56"/>
        <v>0</v>
      </c>
      <c r="L481" s="255"/>
    </row>
    <row r="482" spans="1:12">
      <c r="A482" s="257">
        <v>419</v>
      </c>
      <c r="B482" s="256">
        <f t="shared" si="49"/>
        <v>0</v>
      </c>
      <c r="C482" s="256">
        <f t="shared" si="50"/>
        <v>0</v>
      </c>
      <c r="D482" s="256">
        <f t="shared" si="51"/>
        <v>0</v>
      </c>
      <c r="E482" s="256">
        <f t="shared" si="52"/>
        <v>0</v>
      </c>
      <c r="F482" s="255"/>
      <c r="G482" s="257">
        <v>419</v>
      </c>
      <c r="H482" s="256">
        <f t="shared" si="53"/>
        <v>0</v>
      </c>
      <c r="I482" s="256">
        <f t="shared" si="54"/>
        <v>0</v>
      </c>
      <c r="J482" s="256">
        <f t="shared" si="55"/>
        <v>0</v>
      </c>
      <c r="K482" s="256">
        <f t="shared" si="56"/>
        <v>0</v>
      </c>
      <c r="L482" s="255"/>
    </row>
    <row r="483" spans="1:12">
      <c r="A483" s="257">
        <v>420</v>
      </c>
      <c r="B483" s="256">
        <f t="shared" si="49"/>
        <v>0</v>
      </c>
      <c r="C483" s="256">
        <f t="shared" si="50"/>
        <v>0</v>
      </c>
      <c r="D483" s="256">
        <f t="shared" si="51"/>
        <v>0</v>
      </c>
      <c r="E483" s="256">
        <f t="shared" si="52"/>
        <v>0</v>
      </c>
      <c r="F483" s="255">
        <v>35</v>
      </c>
      <c r="G483" s="257">
        <v>420</v>
      </c>
      <c r="H483" s="256">
        <f t="shared" si="53"/>
        <v>0</v>
      </c>
      <c r="I483" s="256">
        <f t="shared" si="54"/>
        <v>0</v>
      </c>
      <c r="J483" s="256">
        <f t="shared" si="55"/>
        <v>0</v>
      </c>
      <c r="K483" s="256">
        <f t="shared" si="56"/>
        <v>0</v>
      </c>
      <c r="L483" s="255">
        <v>35</v>
      </c>
    </row>
    <row r="484" spans="1:12">
      <c r="A484" s="257">
        <v>421</v>
      </c>
      <c r="B484" s="256">
        <f t="shared" si="49"/>
        <v>0</v>
      </c>
      <c r="C484" s="256">
        <f t="shared" si="50"/>
        <v>0</v>
      </c>
      <c r="D484" s="256">
        <f t="shared" si="51"/>
        <v>0</v>
      </c>
      <c r="E484" s="256">
        <f t="shared" si="52"/>
        <v>0</v>
      </c>
      <c r="F484" s="255"/>
      <c r="G484" s="257">
        <v>421</v>
      </c>
      <c r="H484" s="256">
        <f t="shared" si="53"/>
        <v>0</v>
      </c>
      <c r="I484" s="256">
        <f t="shared" si="54"/>
        <v>0</v>
      </c>
      <c r="J484" s="256">
        <f t="shared" si="55"/>
        <v>0</v>
      </c>
      <c r="K484" s="256">
        <f t="shared" si="56"/>
        <v>0</v>
      </c>
      <c r="L484" s="255"/>
    </row>
    <row r="485" spans="1:12">
      <c r="A485" s="257">
        <v>422</v>
      </c>
      <c r="B485" s="256">
        <f t="shared" si="49"/>
        <v>0</v>
      </c>
      <c r="C485" s="256">
        <f t="shared" si="50"/>
        <v>0</v>
      </c>
      <c r="D485" s="256">
        <f t="shared" si="51"/>
        <v>0</v>
      </c>
      <c r="E485" s="256">
        <f t="shared" si="52"/>
        <v>0</v>
      </c>
      <c r="F485" s="255"/>
      <c r="G485" s="257">
        <v>422</v>
      </c>
      <c r="H485" s="256">
        <f t="shared" si="53"/>
        <v>0</v>
      </c>
      <c r="I485" s="256">
        <f t="shared" si="54"/>
        <v>0</v>
      </c>
      <c r="J485" s="256">
        <f t="shared" si="55"/>
        <v>0</v>
      </c>
      <c r="K485" s="256">
        <f t="shared" si="56"/>
        <v>0</v>
      </c>
      <c r="L485" s="255"/>
    </row>
    <row r="486" spans="1:12">
      <c r="A486" s="257">
        <v>423</v>
      </c>
      <c r="B486" s="256">
        <f t="shared" si="49"/>
        <v>0</v>
      </c>
      <c r="C486" s="256">
        <f t="shared" si="50"/>
        <v>0</v>
      </c>
      <c r="D486" s="256">
        <f t="shared" si="51"/>
        <v>0</v>
      </c>
      <c r="E486" s="256">
        <f t="shared" si="52"/>
        <v>0</v>
      </c>
      <c r="F486" s="255"/>
      <c r="G486" s="257">
        <v>423</v>
      </c>
      <c r="H486" s="256">
        <f t="shared" si="53"/>
        <v>0</v>
      </c>
      <c r="I486" s="256">
        <f t="shared" si="54"/>
        <v>0</v>
      </c>
      <c r="J486" s="256">
        <f t="shared" si="55"/>
        <v>0</v>
      </c>
      <c r="K486" s="256">
        <f t="shared" si="56"/>
        <v>0</v>
      </c>
      <c r="L486" s="255"/>
    </row>
    <row r="487" spans="1:12">
      <c r="A487" s="257">
        <v>424</v>
      </c>
      <c r="B487" s="256">
        <f t="shared" si="49"/>
        <v>0</v>
      </c>
      <c r="C487" s="256">
        <f t="shared" si="50"/>
        <v>0</v>
      </c>
      <c r="D487" s="256">
        <f t="shared" si="51"/>
        <v>0</v>
      </c>
      <c r="E487" s="256">
        <f t="shared" si="52"/>
        <v>0</v>
      </c>
      <c r="F487" s="255"/>
      <c r="G487" s="257">
        <v>424</v>
      </c>
      <c r="H487" s="256">
        <f t="shared" si="53"/>
        <v>0</v>
      </c>
      <c r="I487" s="256">
        <f t="shared" si="54"/>
        <v>0</v>
      </c>
      <c r="J487" s="256">
        <f t="shared" si="55"/>
        <v>0</v>
      </c>
      <c r="K487" s="256">
        <f t="shared" si="56"/>
        <v>0</v>
      </c>
      <c r="L487" s="255"/>
    </row>
    <row r="488" spans="1:12">
      <c r="A488" s="257">
        <v>425</v>
      </c>
      <c r="B488" s="256">
        <f t="shared" si="49"/>
        <v>0</v>
      </c>
      <c r="C488" s="256">
        <f t="shared" si="50"/>
        <v>0</v>
      </c>
      <c r="D488" s="256">
        <f t="shared" si="51"/>
        <v>0</v>
      </c>
      <c r="E488" s="256">
        <f t="shared" si="52"/>
        <v>0</v>
      </c>
      <c r="F488" s="255"/>
      <c r="G488" s="257">
        <v>425</v>
      </c>
      <c r="H488" s="256">
        <f t="shared" si="53"/>
        <v>0</v>
      </c>
      <c r="I488" s="256">
        <f t="shared" si="54"/>
        <v>0</v>
      </c>
      <c r="J488" s="256">
        <f t="shared" si="55"/>
        <v>0</v>
      </c>
      <c r="K488" s="256">
        <f t="shared" si="56"/>
        <v>0</v>
      </c>
      <c r="L488" s="255"/>
    </row>
    <row r="489" spans="1:12">
      <c r="A489" s="257">
        <v>426</v>
      </c>
      <c r="B489" s="256">
        <f t="shared" si="49"/>
        <v>0</v>
      </c>
      <c r="C489" s="256">
        <f t="shared" si="50"/>
        <v>0</v>
      </c>
      <c r="D489" s="256">
        <f t="shared" si="51"/>
        <v>0</v>
      </c>
      <c r="E489" s="256">
        <f t="shared" si="52"/>
        <v>0</v>
      </c>
      <c r="F489" s="255"/>
      <c r="G489" s="257">
        <v>426</v>
      </c>
      <c r="H489" s="256">
        <f t="shared" si="53"/>
        <v>0</v>
      </c>
      <c r="I489" s="256">
        <f t="shared" si="54"/>
        <v>0</v>
      </c>
      <c r="J489" s="256">
        <f t="shared" si="55"/>
        <v>0</v>
      </c>
      <c r="K489" s="256">
        <f t="shared" si="56"/>
        <v>0</v>
      </c>
      <c r="L489" s="255"/>
    </row>
    <row r="490" spans="1:12">
      <c r="A490" s="257">
        <v>427</v>
      </c>
      <c r="B490" s="256">
        <f t="shared" si="49"/>
        <v>0</v>
      </c>
      <c r="C490" s="256">
        <f t="shared" si="50"/>
        <v>0</v>
      </c>
      <c r="D490" s="256">
        <f t="shared" si="51"/>
        <v>0</v>
      </c>
      <c r="E490" s="256">
        <f t="shared" si="52"/>
        <v>0</v>
      </c>
      <c r="F490" s="255"/>
      <c r="G490" s="257">
        <v>427</v>
      </c>
      <c r="H490" s="256">
        <f t="shared" si="53"/>
        <v>0</v>
      </c>
      <c r="I490" s="256">
        <f t="shared" si="54"/>
        <v>0</v>
      </c>
      <c r="J490" s="256">
        <f t="shared" si="55"/>
        <v>0</v>
      </c>
      <c r="K490" s="256">
        <f t="shared" si="56"/>
        <v>0</v>
      </c>
      <c r="L490" s="255"/>
    </row>
    <row r="491" spans="1:12">
      <c r="A491" s="257">
        <v>428</v>
      </c>
      <c r="B491" s="256">
        <f t="shared" si="49"/>
        <v>0</v>
      </c>
      <c r="C491" s="256">
        <f t="shared" si="50"/>
        <v>0</v>
      </c>
      <c r="D491" s="256">
        <f t="shared" si="51"/>
        <v>0</v>
      </c>
      <c r="E491" s="256">
        <f t="shared" si="52"/>
        <v>0</v>
      </c>
      <c r="F491" s="255"/>
      <c r="G491" s="257">
        <v>428</v>
      </c>
      <c r="H491" s="256">
        <f t="shared" si="53"/>
        <v>0</v>
      </c>
      <c r="I491" s="256">
        <f t="shared" si="54"/>
        <v>0</v>
      </c>
      <c r="J491" s="256">
        <f t="shared" si="55"/>
        <v>0</v>
      </c>
      <c r="K491" s="256">
        <f t="shared" si="56"/>
        <v>0</v>
      </c>
      <c r="L491" s="255"/>
    </row>
    <row r="492" spans="1:12">
      <c r="A492" s="257">
        <v>429</v>
      </c>
      <c r="B492" s="256">
        <f t="shared" si="49"/>
        <v>0</v>
      </c>
      <c r="C492" s="256">
        <f t="shared" si="50"/>
        <v>0</v>
      </c>
      <c r="D492" s="256">
        <f t="shared" si="51"/>
        <v>0</v>
      </c>
      <c r="E492" s="256">
        <f t="shared" si="52"/>
        <v>0</v>
      </c>
      <c r="F492" s="255"/>
      <c r="G492" s="257">
        <v>429</v>
      </c>
      <c r="H492" s="256">
        <f t="shared" si="53"/>
        <v>0</v>
      </c>
      <c r="I492" s="256">
        <f t="shared" si="54"/>
        <v>0</v>
      </c>
      <c r="J492" s="256">
        <f t="shared" si="55"/>
        <v>0</v>
      </c>
      <c r="K492" s="256">
        <f t="shared" si="56"/>
        <v>0</v>
      </c>
      <c r="L492" s="255"/>
    </row>
    <row r="493" spans="1:12">
      <c r="A493" s="257">
        <v>430</v>
      </c>
      <c r="B493" s="256">
        <f t="shared" si="49"/>
        <v>0</v>
      </c>
      <c r="C493" s="256">
        <f t="shared" si="50"/>
        <v>0</v>
      </c>
      <c r="D493" s="256">
        <f t="shared" si="51"/>
        <v>0</v>
      </c>
      <c r="E493" s="256">
        <f t="shared" si="52"/>
        <v>0</v>
      </c>
      <c r="F493" s="255"/>
      <c r="G493" s="257">
        <v>430</v>
      </c>
      <c r="H493" s="256">
        <f t="shared" si="53"/>
        <v>0</v>
      </c>
      <c r="I493" s="256">
        <f t="shared" si="54"/>
        <v>0</v>
      </c>
      <c r="J493" s="256">
        <f t="shared" si="55"/>
        <v>0</v>
      </c>
      <c r="K493" s="256">
        <f t="shared" si="56"/>
        <v>0</v>
      </c>
      <c r="L493" s="255"/>
    </row>
    <row r="494" spans="1:12">
      <c r="A494" s="257">
        <v>431</v>
      </c>
      <c r="B494" s="256">
        <f t="shared" si="49"/>
        <v>0</v>
      </c>
      <c r="C494" s="256">
        <f t="shared" si="50"/>
        <v>0</v>
      </c>
      <c r="D494" s="256">
        <f t="shared" si="51"/>
        <v>0</v>
      </c>
      <c r="E494" s="256">
        <f t="shared" si="52"/>
        <v>0</v>
      </c>
      <c r="F494" s="255"/>
      <c r="G494" s="257">
        <v>431</v>
      </c>
      <c r="H494" s="256">
        <f t="shared" si="53"/>
        <v>0</v>
      </c>
      <c r="I494" s="256">
        <f t="shared" si="54"/>
        <v>0</v>
      </c>
      <c r="J494" s="256">
        <f t="shared" si="55"/>
        <v>0</v>
      </c>
      <c r="K494" s="256">
        <f t="shared" si="56"/>
        <v>0</v>
      </c>
      <c r="L494" s="255"/>
    </row>
    <row r="495" spans="1:12">
      <c r="A495" s="257">
        <v>432</v>
      </c>
      <c r="B495" s="256">
        <f t="shared" si="49"/>
        <v>0</v>
      </c>
      <c r="C495" s="256">
        <f t="shared" si="50"/>
        <v>0</v>
      </c>
      <c r="D495" s="256">
        <f t="shared" si="51"/>
        <v>0</v>
      </c>
      <c r="E495" s="256">
        <f t="shared" si="52"/>
        <v>0</v>
      </c>
      <c r="F495" s="255">
        <v>36</v>
      </c>
      <c r="G495" s="257">
        <v>432</v>
      </c>
      <c r="H495" s="256">
        <f t="shared" si="53"/>
        <v>0</v>
      </c>
      <c r="I495" s="256">
        <f t="shared" si="54"/>
        <v>0</v>
      </c>
      <c r="J495" s="256">
        <f t="shared" si="55"/>
        <v>0</v>
      </c>
      <c r="K495" s="256">
        <f t="shared" si="56"/>
        <v>0</v>
      </c>
      <c r="L495" s="255">
        <v>36</v>
      </c>
    </row>
    <row r="496" spans="1:12">
      <c r="A496" s="257">
        <v>433</v>
      </c>
      <c r="B496" s="256">
        <f t="shared" si="49"/>
        <v>0</v>
      </c>
      <c r="C496" s="256">
        <f t="shared" si="50"/>
        <v>0</v>
      </c>
      <c r="D496" s="256">
        <f t="shared" si="51"/>
        <v>0</v>
      </c>
      <c r="E496" s="256">
        <f t="shared" si="52"/>
        <v>0</v>
      </c>
      <c r="F496" s="255"/>
      <c r="G496" s="257">
        <v>433</v>
      </c>
      <c r="H496" s="256">
        <f t="shared" si="53"/>
        <v>0</v>
      </c>
      <c r="I496" s="256">
        <f t="shared" si="54"/>
        <v>0</v>
      </c>
      <c r="J496" s="256">
        <f t="shared" si="55"/>
        <v>0</v>
      </c>
      <c r="K496" s="256">
        <f t="shared" si="56"/>
        <v>0</v>
      </c>
      <c r="L496" s="255"/>
    </row>
    <row r="497" spans="1:12">
      <c r="A497" s="257">
        <v>434</v>
      </c>
      <c r="B497" s="256">
        <f t="shared" si="49"/>
        <v>0</v>
      </c>
      <c r="C497" s="256">
        <f t="shared" si="50"/>
        <v>0</v>
      </c>
      <c r="D497" s="256">
        <f t="shared" si="51"/>
        <v>0</v>
      </c>
      <c r="E497" s="256">
        <f t="shared" si="52"/>
        <v>0</v>
      </c>
      <c r="F497" s="255"/>
      <c r="G497" s="257">
        <v>434</v>
      </c>
      <c r="H497" s="256">
        <f t="shared" si="53"/>
        <v>0</v>
      </c>
      <c r="I497" s="256">
        <f t="shared" si="54"/>
        <v>0</v>
      </c>
      <c r="J497" s="256">
        <f t="shared" si="55"/>
        <v>0</v>
      </c>
      <c r="K497" s="256">
        <f t="shared" si="56"/>
        <v>0</v>
      </c>
      <c r="L497" s="255"/>
    </row>
    <row r="498" spans="1:12">
      <c r="A498" s="257">
        <v>435</v>
      </c>
      <c r="B498" s="256">
        <f t="shared" si="49"/>
        <v>0</v>
      </c>
      <c r="C498" s="256">
        <f t="shared" si="50"/>
        <v>0</v>
      </c>
      <c r="D498" s="256">
        <f t="shared" si="51"/>
        <v>0</v>
      </c>
      <c r="E498" s="256">
        <f t="shared" si="52"/>
        <v>0</v>
      </c>
      <c r="F498" s="255"/>
      <c r="G498" s="257">
        <v>435</v>
      </c>
      <c r="H498" s="256">
        <f t="shared" si="53"/>
        <v>0</v>
      </c>
      <c r="I498" s="256">
        <f t="shared" si="54"/>
        <v>0</v>
      </c>
      <c r="J498" s="256">
        <f t="shared" si="55"/>
        <v>0</v>
      </c>
      <c r="K498" s="256">
        <f t="shared" si="56"/>
        <v>0</v>
      </c>
      <c r="L498" s="255"/>
    </row>
    <row r="499" spans="1:12">
      <c r="A499" s="257">
        <v>436</v>
      </c>
      <c r="B499" s="256">
        <f t="shared" si="49"/>
        <v>0</v>
      </c>
      <c r="C499" s="256">
        <f t="shared" si="50"/>
        <v>0</v>
      </c>
      <c r="D499" s="256">
        <f t="shared" si="51"/>
        <v>0</v>
      </c>
      <c r="E499" s="256">
        <f t="shared" si="52"/>
        <v>0</v>
      </c>
      <c r="F499" s="255"/>
      <c r="G499" s="257">
        <v>436</v>
      </c>
      <c r="H499" s="256">
        <f t="shared" si="53"/>
        <v>0</v>
      </c>
      <c r="I499" s="256">
        <f t="shared" si="54"/>
        <v>0</v>
      </c>
      <c r="J499" s="256">
        <f t="shared" si="55"/>
        <v>0</v>
      </c>
      <c r="K499" s="256">
        <f t="shared" si="56"/>
        <v>0</v>
      </c>
      <c r="L499" s="255"/>
    </row>
    <row r="500" spans="1:12">
      <c r="A500" s="257">
        <v>437</v>
      </c>
      <c r="B500" s="256">
        <f t="shared" si="49"/>
        <v>0</v>
      </c>
      <c r="C500" s="256">
        <f t="shared" si="50"/>
        <v>0</v>
      </c>
      <c r="D500" s="256">
        <f t="shared" si="51"/>
        <v>0</v>
      </c>
      <c r="E500" s="256">
        <f t="shared" si="52"/>
        <v>0</v>
      </c>
      <c r="F500" s="255"/>
      <c r="G500" s="257">
        <v>437</v>
      </c>
      <c r="H500" s="256">
        <f t="shared" si="53"/>
        <v>0</v>
      </c>
      <c r="I500" s="256">
        <f t="shared" si="54"/>
        <v>0</v>
      </c>
      <c r="J500" s="256">
        <f t="shared" si="55"/>
        <v>0</v>
      </c>
      <c r="K500" s="256">
        <f t="shared" si="56"/>
        <v>0</v>
      </c>
      <c r="L500" s="255"/>
    </row>
    <row r="501" spans="1:12">
      <c r="A501" s="257">
        <v>438</v>
      </c>
      <c r="B501" s="256">
        <f t="shared" si="49"/>
        <v>0</v>
      </c>
      <c r="C501" s="256">
        <f t="shared" si="50"/>
        <v>0</v>
      </c>
      <c r="D501" s="256">
        <f t="shared" si="51"/>
        <v>0</v>
      </c>
      <c r="E501" s="256">
        <f t="shared" si="52"/>
        <v>0</v>
      </c>
      <c r="F501" s="255"/>
      <c r="G501" s="257">
        <v>438</v>
      </c>
      <c r="H501" s="256">
        <f t="shared" si="53"/>
        <v>0</v>
      </c>
      <c r="I501" s="256">
        <f t="shared" si="54"/>
        <v>0</v>
      </c>
      <c r="J501" s="256">
        <f t="shared" si="55"/>
        <v>0</v>
      </c>
      <c r="K501" s="256">
        <f t="shared" si="56"/>
        <v>0</v>
      </c>
      <c r="L501" s="255"/>
    </row>
    <row r="502" spans="1:12">
      <c r="A502" s="257">
        <v>439</v>
      </c>
      <c r="B502" s="256">
        <f t="shared" si="49"/>
        <v>0</v>
      </c>
      <c r="C502" s="256">
        <f t="shared" si="50"/>
        <v>0</v>
      </c>
      <c r="D502" s="256">
        <f t="shared" si="51"/>
        <v>0</v>
      </c>
      <c r="E502" s="256">
        <f t="shared" si="52"/>
        <v>0</v>
      </c>
      <c r="F502" s="255"/>
      <c r="G502" s="257">
        <v>439</v>
      </c>
      <c r="H502" s="256">
        <f t="shared" si="53"/>
        <v>0</v>
      </c>
      <c r="I502" s="256">
        <f t="shared" si="54"/>
        <v>0</v>
      </c>
      <c r="J502" s="256">
        <f t="shared" si="55"/>
        <v>0</v>
      </c>
      <c r="K502" s="256">
        <f t="shared" si="56"/>
        <v>0</v>
      </c>
      <c r="L502" s="255"/>
    </row>
    <row r="503" spans="1:12">
      <c r="A503" s="257">
        <v>440</v>
      </c>
      <c r="B503" s="256">
        <f t="shared" si="49"/>
        <v>0</v>
      </c>
      <c r="C503" s="256">
        <f t="shared" si="50"/>
        <v>0</v>
      </c>
      <c r="D503" s="256">
        <f t="shared" si="51"/>
        <v>0</v>
      </c>
      <c r="E503" s="256">
        <f t="shared" si="52"/>
        <v>0</v>
      </c>
      <c r="F503" s="255"/>
      <c r="G503" s="257">
        <v>440</v>
      </c>
      <c r="H503" s="256">
        <f t="shared" si="53"/>
        <v>0</v>
      </c>
      <c r="I503" s="256">
        <f t="shared" si="54"/>
        <v>0</v>
      </c>
      <c r="J503" s="256">
        <f t="shared" si="55"/>
        <v>0</v>
      </c>
      <c r="K503" s="256">
        <f t="shared" si="56"/>
        <v>0</v>
      </c>
      <c r="L503" s="255"/>
    </row>
    <row r="504" spans="1:12">
      <c r="A504" s="257">
        <v>441</v>
      </c>
      <c r="B504" s="256">
        <f t="shared" si="49"/>
        <v>0</v>
      </c>
      <c r="C504" s="256">
        <f t="shared" si="50"/>
        <v>0</v>
      </c>
      <c r="D504" s="256">
        <f t="shared" si="51"/>
        <v>0</v>
      </c>
      <c r="E504" s="256">
        <f t="shared" si="52"/>
        <v>0</v>
      </c>
      <c r="F504" s="255"/>
      <c r="G504" s="257">
        <v>441</v>
      </c>
      <c r="H504" s="256">
        <f t="shared" si="53"/>
        <v>0</v>
      </c>
      <c r="I504" s="256">
        <f t="shared" si="54"/>
        <v>0</v>
      </c>
      <c r="J504" s="256">
        <f t="shared" si="55"/>
        <v>0</v>
      </c>
      <c r="K504" s="256">
        <f t="shared" si="56"/>
        <v>0</v>
      </c>
      <c r="L504" s="255"/>
    </row>
    <row r="505" spans="1:12">
      <c r="A505" s="257">
        <v>442</v>
      </c>
      <c r="B505" s="256">
        <f t="shared" si="49"/>
        <v>0</v>
      </c>
      <c r="C505" s="256">
        <f t="shared" si="50"/>
        <v>0</v>
      </c>
      <c r="D505" s="256">
        <f t="shared" si="51"/>
        <v>0</v>
      </c>
      <c r="E505" s="256">
        <f t="shared" si="52"/>
        <v>0</v>
      </c>
      <c r="F505" s="255"/>
      <c r="G505" s="257">
        <v>442</v>
      </c>
      <c r="H505" s="256">
        <f t="shared" si="53"/>
        <v>0</v>
      </c>
      <c r="I505" s="256">
        <f t="shared" si="54"/>
        <v>0</v>
      </c>
      <c r="J505" s="256">
        <f t="shared" si="55"/>
        <v>0</v>
      </c>
      <c r="K505" s="256">
        <f t="shared" si="56"/>
        <v>0</v>
      </c>
      <c r="L505" s="255"/>
    </row>
    <row r="506" spans="1:12">
      <c r="A506" s="257">
        <v>443</v>
      </c>
      <c r="B506" s="256">
        <f t="shared" si="49"/>
        <v>0</v>
      </c>
      <c r="C506" s="256">
        <f t="shared" si="50"/>
        <v>0</v>
      </c>
      <c r="D506" s="256">
        <f t="shared" si="51"/>
        <v>0</v>
      </c>
      <c r="E506" s="256">
        <f t="shared" si="52"/>
        <v>0</v>
      </c>
      <c r="F506" s="255"/>
      <c r="G506" s="257">
        <v>443</v>
      </c>
      <c r="H506" s="256">
        <f t="shared" si="53"/>
        <v>0</v>
      </c>
      <c r="I506" s="256">
        <f t="shared" si="54"/>
        <v>0</v>
      </c>
      <c r="J506" s="256">
        <f t="shared" si="55"/>
        <v>0</v>
      </c>
      <c r="K506" s="256">
        <f t="shared" si="56"/>
        <v>0</v>
      </c>
      <c r="L506" s="255"/>
    </row>
    <row r="507" spans="1:12">
      <c r="A507" s="257">
        <v>444</v>
      </c>
      <c r="B507" s="256">
        <f t="shared" si="49"/>
        <v>0</v>
      </c>
      <c r="C507" s="256">
        <f t="shared" si="50"/>
        <v>0</v>
      </c>
      <c r="D507" s="256">
        <f t="shared" si="51"/>
        <v>0</v>
      </c>
      <c r="E507" s="256">
        <f t="shared" si="52"/>
        <v>0</v>
      </c>
      <c r="F507" s="255">
        <v>37</v>
      </c>
      <c r="G507" s="257">
        <v>444</v>
      </c>
      <c r="H507" s="256">
        <f t="shared" si="53"/>
        <v>0</v>
      </c>
      <c r="I507" s="256">
        <f t="shared" si="54"/>
        <v>0</v>
      </c>
      <c r="J507" s="256">
        <f t="shared" si="55"/>
        <v>0</v>
      </c>
      <c r="K507" s="256">
        <f t="shared" si="56"/>
        <v>0</v>
      </c>
      <c r="L507" s="255">
        <v>37</v>
      </c>
    </row>
    <row r="508" spans="1:12">
      <c r="A508" s="257">
        <v>445</v>
      </c>
      <c r="B508" s="256">
        <f t="shared" si="49"/>
        <v>0</v>
      </c>
      <c r="C508" s="256">
        <f t="shared" si="50"/>
        <v>0</v>
      </c>
      <c r="D508" s="256">
        <f t="shared" si="51"/>
        <v>0</v>
      </c>
      <c r="E508" s="256">
        <f t="shared" si="52"/>
        <v>0</v>
      </c>
      <c r="F508" s="255"/>
      <c r="G508" s="257">
        <v>445</v>
      </c>
      <c r="H508" s="256">
        <f t="shared" si="53"/>
        <v>0</v>
      </c>
      <c r="I508" s="256">
        <f t="shared" si="54"/>
        <v>0</v>
      </c>
      <c r="J508" s="256">
        <f t="shared" si="55"/>
        <v>0</v>
      </c>
      <c r="K508" s="256">
        <f t="shared" si="56"/>
        <v>0</v>
      </c>
      <c r="L508" s="255"/>
    </row>
    <row r="509" spans="1:12">
      <c r="A509" s="257">
        <v>446</v>
      </c>
      <c r="B509" s="256">
        <f t="shared" si="49"/>
        <v>0</v>
      </c>
      <c r="C509" s="256">
        <f t="shared" si="50"/>
        <v>0</v>
      </c>
      <c r="D509" s="256">
        <f t="shared" si="51"/>
        <v>0</v>
      </c>
      <c r="E509" s="256">
        <f t="shared" si="52"/>
        <v>0</v>
      </c>
      <c r="F509" s="255"/>
      <c r="G509" s="257">
        <v>446</v>
      </c>
      <c r="H509" s="256">
        <f t="shared" si="53"/>
        <v>0</v>
      </c>
      <c r="I509" s="256">
        <f t="shared" si="54"/>
        <v>0</v>
      </c>
      <c r="J509" s="256">
        <f t="shared" si="55"/>
        <v>0</v>
      </c>
      <c r="K509" s="256">
        <f t="shared" si="56"/>
        <v>0</v>
      </c>
      <c r="L509" s="255"/>
    </row>
    <row r="510" spans="1:12">
      <c r="A510" s="257">
        <v>447</v>
      </c>
      <c r="B510" s="256">
        <f t="shared" si="49"/>
        <v>0</v>
      </c>
      <c r="C510" s="256">
        <f t="shared" si="50"/>
        <v>0</v>
      </c>
      <c r="D510" s="256">
        <f t="shared" si="51"/>
        <v>0</v>
      </c>
      <c r="E510" s="256">
        <f t="shared" si="52"/>
        <v>0</v>
      </c>
      <c r="F510" s="255"/>
      <c r="G510" s="257">
        <v>447</v>
      </c>
      <c r="H510" s="256">
        <f t="shared" si="53"/>
        <v>0</v>
      </c>
      <c r="I510" s="256">
        <f t="shared" si="54"/>
        <v>0</v>
      </c>
      <c r="J510" s="256">
        <f t="shared" si="55"/>
        <v>0</v>
      </c>
      <c r="K510" s="256">
        <f t="shared" si="56"/>
        <v>0</v>
      </c>
      <c r="L510" s="255"/>
    </row>
    <row r="511" spans="1:12">
      <c r="A511" s="257">
        <v>448</v>
      </c>
      <c r="B511" s="256">
        <f t="shared" si="49"/>
        <v>0</v>
      </c>
      <c r="C511" s="256">
        <f t="shared" si="50"/>
        <v>0</v>
      </c>
      <c r="D511" s="256">
        <f t="shared" si="51"/>
        <v>0</v>
      </c>
      <c r="E511" s="256">
        <f t="shared" si="52"/>
        <v>0</v>
      </c>
      <c r="F511" s="255"/>
      <c r="G511" s="257">
        <v>448</v>
      </c>
      <c r="H511" s="256">
        <f t="shared" si="53"/>
        <v>0</v>
      </c>
      <c r="I511" s="256">
        <f t="shared" si="54"/>
        <v>0</v>
      </c>
      <c r="J511" s="256">
        <f t="shared" si="55"/>
        <v>0</v>
      </c>
      <c r="K511" s="256">
        <f t="shared" si="56"/>
        <v>0</v>
      </c>
      <c r="L511" s="255"/>
    </row>
    <row r="512" spans="1:12">
      <c r="A512" s="257">
        <v>449</v>
      </c>
      <c r="B512" s="256">
        <f t="shared" ref="B512:B543" si="57">IF(A512&gt;12*$C$9,0,IF($C$5&gt;1500000,$D$12,$C$12))</f>
        <v>0</v>
      </c>
      <c r="C512" s="256">
        <f t="shared" ref="C512:C543" si="58">IF(A512&gt;12*$C$9,0,E511*$C$7/12)</f>
        <v>0</v>
      </c>
      <c r="D512" s="256">
        <f t="shared" ref="D512:D543" si="59">IF(A512&gt;12*$C$9,0,B512-C512)</f>
        <v>0</v>
      </c>
      <c r="E512" s="256">
        <f t="shared" ref="E512:E543" si="60">IF(A512&gt;12*$C$9,0,E511-D512)</f>
        <v>0</v>
      </c>
      <c r="F512" s="255"/>
      <c r="G512" s="257">
        <v>449</v>
      </c>
      <c r="H512" s="256">
        <f t="shared" ref="H512:H543" si="61">IF(G512&gt;12*$C$9,0,IF($C$5&gt;1500000,$E$12,0))</f>
        <v>0</v>
      </c>
      <c r="I512" s="256">
        <f t="shared" ref="I512:I543" si="62">IF(G512&gt;12*$C$9,0,K511*$C$7/12)</f>
        <v>0</v>
      </c>
      <c r="J512" s="256">
        <f t="shared" ref="J512:J543" si="63">IF(G512&gt;12*$C$9,0,H512-I512)</f>
        <v>0</v>
      </c>
      <c r="K512" s="256">
        <f t="shared" ref="K512:K543" si="64">IF(G512&gt;12*$C$9,0,K511-J512)</f>
        <v>0</v>
      </c>
      <c r="L512" s="255"/>
    </row>
    <row r="513" spans="1:12">
      <c r="A513" s="257">
        <v>450</v>
      </c>
      <c r="B513" s="256">
        <f t="shared" si="57"/>
        <v>0</v>
      </c>
      <c r="C513" s="256">
        <f t="shared" si="58"/>
        <v>0</v>
      </c>
      <c r="D513" s="256">
        <f t="shared" si="59"/>
        <v>0</v>
      </c>
      <c r="E513" s="256">
        <f t="shared" si="60"/>
        <v>0</v>
      </c>
      <c r="F513" s="255"/>
      <c r="G513" s="257">
        <v>450</v>
      </c>
      <c r="H513" s="256">
        <f t="shared" si="61"/>
        <v>0</v>
      </c>
      <c r="I513" s="256">
        <f t="shared" si="62"/>
        <v>0</v>
      </c>
      <c r="J513" s="256">
        <f t="shared" si="63"/>
        <v>0</v>
      </c>
      <c r="K513" s="256">
        <f t="shared" si="64"/>
        <v>0</v>
      </c>
      <c r="L513" s="255"/>
    </row>
    <row r="514" spans="1:12">
      <c r="A514" s="257">
        <v>451</v>
      </c>
      <c r="B514" s="256">
        <f t="shared" si="57"/>
        <v>0</v>
      </c>
      <c r="C514" s="256">
        <f t="shared" si="58"/>
        <v>0</v>
      </c>
      <c r="D514" s="256">
        <f t="shared" si="59"/>
        <v>0</v>
      </c>
      <c r="E514" s="256">
        <f t="shared" si="60"/>
        <v>0</v>
      </c>
      <c r="F514" s="255"/>
      <c r="G514" s="257">
        <v>451</v>
      </c>
      <c r="H514" s="256">
        <f t="shared" si="61"/>
        <v>0</v>
      </c>
      <c r="I514" s="256">
        <f t="shared" si="62"/>
        <v>0</v>
      </c>
      <c r="J514" s="256">
        <f t="shared" si="63"/>
        <v>0</v>
      </c>
      <c r="K514" s="256">
        <f t="shared" si="64"/>
        <v>0</v>
      </c>
      <c r="L514" s="255"/>
    </row>
    <row r="515" spans="1:12">
      <c r="A515" s="257">
        <v>452</v>
      </c>
      <c r="B515" s="256">
        <f t="shared" si="57"/>
        <v>0</v>
      </c>
      <c r="C515" s="256">
        <f t="shared" si="58"/>
        <v>0</v>
      </c>
      <c r="D515" s="256">
        <f t="shared" si="59"/>
        <v>0</v>
      </c>
      <c r="E515" s="256">
        <f t="shared" si="60"/>
        <v>0</v>
      </c>
      <c r="F515" s="255"/>
      <c r="G515" s="257">
        <v>452</v>
      </c>
      <c r="H515" s="256">
        <f t="shared" si="61"/>
        <v>0</v>
      </c>
      <c r="I515" s="256">
        <f t="shared" si="62"/>
        <v>0</v>
      </c>
      <c r="J515" s="256">
        <f t="shared" si="63"/>
        <v>0</v>
      </c>
      <c r="K515" s="256">
        <f t="shared" si="64"/>
        <v>0</v>
      </c>
      <c r="L515" s="255"/>
    </row>
    <row r="516" spans="1:12">
      <c r="A516" s="257">
        <v>453</v>
      </c>
      <c r="B516" s="256">
        <f t="shared" si="57"/>
        <v>0</v>
      </c>
      <c r="C516" s="256">
        <f t="shared" si="58"/>
        <v>0</v>
      </c>
      <c r="D516" s="256">
        <f t="shared" si="59"/>
        <v>0</v>
      </c>
      <c r="E516" s="256">
        <f t="shared" si="60"/>
        <v>0</v>
      </c>
      <c r="F516" s="255"/>
      <c r="G516" s="257">
        <v>453</v>
      </c>
      <c r="H516" s="256">
        <f t="shared" si="61"/>
        <v>0</v>
      </c>
      <c r="I516" s="256">
        <f t="shared" si="62"/>
        <v>0</v>
      </c>
      <c r="J516" s="256">
        <f t="shared" si="63"/>
        <v>0</v>
      </c>
      <c r="K516" s="256">
        <f t="shared" si="64"/>
        <v>0</v>
      </c>
      <c r="L516" s="255"/>
    </row>
    <row r="517" spans="1:12">
      <c r="A517" s="257">
        <v>454</v>
      </c>
      <c r="B517" s="256">
        <f t="shared" si="57"/>
        <v>0</v>
      </c>
      <c r="C517" s="256">
        <f t="shared" si="58"/>
        <v>0</v>
      </c>
      <c r="D517" s="256">
        <f t="shared" si="59"/>
        <v>0</v>
      </c>
      <c r="E517" s="256">
        <f t="shared" si="60"/>
        <v>0</v>
      </c>
      <c r="F517" s="255"/>
      <c r="G517" s="257">
        <v>454</v>
      </c>
      <c r="H517" s="256">
        <f t="shared" si="61"/>
        <v>0</v>
      </c>
      <c r="I517" s="256">
        <f t="shared" si="62"/>
        <v>0</v>
      </c>
      <c r="J517" s="256">
        <f t="shared" si="63"/>
        <v>0</v>
      </c>
      <c r="K517" s="256">
        <f t="shared" si="64"/>
        <v>0</v>
      </c>
      <c r="L517" s="255"/>
    </row>
    <row r="518" spans="1:12">
      <c r="A518" s="257">
        <v>455</v>
      </c>
      <c r="B518" s="256">
        <f t="shared" si="57"/>
        <v>0</v>
      </c>
      <c r="C518" s="256">
        <f t="shared" si="58"/>
        <v>0</v>
      </c>
      <c r="D518" s="256">
        <f t="shared" si="59"/>
        <v>0</v>
      </c>
      <c r="E518" s="256">
        <f t="shared" si="60"/>
        <v>0</v>
      </c>
      <c r="F518" s="255"/>
      <c r="G518" s="257">
        <v>455</v>
      </c>
      <c r="H518" s="256">
        <f t="shared" si="61"/>
        <v>0</v>
      </c>
      <c r="I518" s="256">
        <f t="shared" si="62"/>
        <v>0</v>
      </c>
      <c r="J518" s="256">
        <f t="shared" si="63"/>
        <v>0</v>
      </c>
      <c r="K518" s="256">
        <f t="shared" si="64"/>
        <v>0</v>
      </c>
      <c r="L518" s="255"/>
    </row>
    <row r="519" spans="1:12">
      <c r="A519" s="257">
        <v>456</v>
      </c>
      <c r="B519" s="256">
        <f t="shared" si="57"/>
        <v>0</v>
      </c>
      <c r="C519" s="256">
        <f t="shared" si="58"/>
        <v>0</v>
      </c>
      <c r="D519" s="256">
        <f t="shared" si="59"/>
        <v>0</v>
      </c>
      <c r="E519" s="256">
        <f t="shared" si="60"/>
        <v>0</v>
      </c>
      <c r="F519" s="257">
        <v>38</v>
      </c>
      <c r="G519" s="257">
        <v>456</v>
      </c>
      <c r="H519" s="256">
        <f t="shared" si="61"/>
        <v>0</v>
      </c>
      <c r="I519" s="256">
        <f t="shared" si="62"/>
        <v>0</v>
      </c>
      <c r="J519" s="256">
        <f t="shared" si="63"/>
        <v>0</v>
      </c>
      <c r="K519" s="256">
        <f t="shared" si="64"/>
        <v>0</v>
      </c>
      <c r="L519" s="257">
        <v>38</v>
      </c>
    </row>
    <row r="520" spans="1:12">
      <c r="A520" s="257">
        <v>457</v>
      </c>
      <c r="B520" s="256">
        <f t="shared" si="57"/>
        <v>0</v>
      </c>
      <c r="C520" s="256">
        <f t="shared" si="58"/>
        <v>0</v>
      </c>
      <c r="D520" s="256">
        <f t="shared" si="59"/>
        <v>0</v>
      </c>
      <c r="E520" s="256">
        <f t="shared" si="60"/>
        <v>0</v>
      </c>
      <c r="F520" s="255"/>
      <c r="G520" s="257">
        <v>457</v>
      </c>
      <c r="H520" s="256">
        <f t="shared" si="61"/>
        <v>0</v>
      </c>
      <c r="I520" s="256">
        <f t="shared" si="62"/>
        <v>0</v>
      </c>
      <c r="J520" s="256">
        <f t="shared" si="63"/>
        <v>0</v>
      </c>
      <c r="K520" s="256">
        <f t="shared" si="64"/>
        <v>0</v>
      </c>
      <c r="L520" s="255"/>
    </row>
    <row r="521" spans="1:12" s="235" customFormat="1">
      <c r="A521" s="257">
        <v>458</v>
      </c>
      <c r="B521" s="256">
        <f t="shared" si="57"/>
        <v>0</v>
      </c>
      <c r="C521" s="256">
        <f t="shared" si="58"/>
        <v>0</v>
      </c>
      <c r="D521" s="256">
        <f t="shared" si="59"/>
        <v>0</v>
      </c>
      <c r="E521" s="256">
        <f t="shared" si="60"/>
        <v>0</v>
      </c>
      <c r="F521" s="255"/>
      <c r="G521" s="257">
        <v>458</v>
      </c>
      <c r="H521" s="256">
        <f t="shared" si="61"/>
        <v>0</v>
      </c>
      <c r="I521" s="256">
        <f t="shared" si="62"/>
        <v>0</v>
      </c>
      <c r="J521" s="256">
        <f t="shared" si="63"/>
        <v>0</v>
      </c>
      <c r="K521" s="256">
        <f t="shared" si="64"/>
        <v>0</v>
      </c>
      <c r="L521" s="255"/>
    </row>
    <row r="522" spans="1:12">
      <c r="A522" s="257">
        <v>459</v>
      </c>
      <c r="B522" s="256">
        <f t="shared" si="57"/>
        <v>0</v>
      </c>
      <c r="C522" s="256">
        <f t="shared" si="58"/>
        <v>0</v>
      </c>
      <c r="D522" s="256">
        <f t="shared" si="59"/>
        <v>0</v>
      </c>
      <c r="E522" s="256">
        <f t="shared" si="60"/>
        <v>0</v>
      </c>
      <c r="F522" s="255"/>
      <c r="G522" s="257">
        <v>459</v>
      </c>
      <c r="H522" s="256">
        <f t="shared" si="61"/>
        <v>0</v>
      </c>
      <c r="I522" s="256">
        <f t="shared" si="62"/>
        <v>0</v>
      </c>
      <c r="J522" s="256">
        <f t="shared" si="63"/>
        <v>0</v>
      </c>
      <c r="K522" s="256">
        <f t="shared" si="64"/>
        <v>0</v>
      </c>
      <c r="L522" s="255"/>
    </row>
    <row r="523" spans="1:12">
      <c r="A523" s="257">
        <v>460</v>
      </c>
      <c r="B523" s="256">
        <f t="shared" si="57"/>
        <v>0</v>
      </c>
      <c r="C523" s="256">
        <f t="shared" si="58"/>
        <v>0</v>
      </c>
      <c r="D523" s="256">
        <f t="shared" si="59"/>
        <v>0</v>
      </c>
      <c r="E523" s="256">
        <f t="shared" si="60"/>
        <v>0</v>
      </c>
      <c r="F523" s="255"/>
      <c r="G523" s="257">
        <v>460</v>
      </c>
      <c r="H523" s="256">
        <f t="shared" si="61"/>
        <v>0</v>
      </c>
      <c r="I523" s="256">
        <f t="shared" si="62"/>
        <v>0</v>
      </c>
      <c r="J523" s="256">
        <f t="shared" si="63"/>
        <v>0</v>
      </c>
      <c r="K523" s="256">
        <f t="shared" si="64"/>
        <v>0</v>
      </c>
      <c r="L523" s="255"/>
    </row>
    <row r="524" spans="1:12">
      <c r="A524" s="257">
        <v>461</v>
      </c>
      <c r="B524" s="256">
        <f t="shared" si="57"/>
        <v>0</v>
      </c>
      <c r="C524" s="256">
        <f t="shared" si="58"/>
        <v>0</v>
      </c>
      <c r="D524" s="256">
        <f t="shared" si="59"/>
        <v>0</v>
      </c>
      <c r="E524" s="256">
        <f t="shared" si="60"/>
        <v>0</v>
      </c>
      <c r="F524" s="255"/>
      <c r="G524" s="257">
        <v>461</v>
      </c>
      <c r="H524" s="256">
        <f t="shared" si="61"/>
        <v>0</v>
      </c>
      <c r="I524" s="256">
        <f t="shared" si="62"/>
        <v>0</v>
      </c>
      <c r="J524" s="256">
        <f t="shared" si="63"/>
        <v>0</v>
      </c>
      <c r="K524" s="256">
        <f t="shared" si="64"/>
        <v>0</v>
      </c>
      <c r="L524" s="255"/>
    </row>
    <row r="525" spans="1:12">
      <c r="A525" s="257">
        <v>462</v>
      </c>
      <c r="B525" s="256">
        <f t="shared" si="57"/>
        <v>0</v>
      </c>
      <c r="C525" s="256">
        <f t="shared" si="58"/>
        <v>0</v>
      </c>
      <c r="D525" s="256">
        <f t="shared" si="59"/>
        <v>0</v>
      </c>
      <c r="E525" s="256">
        <f t="shared" si="60"/>
        <v>0</v>
      </c>
      <c r="F525" s="255"/>
      <c r="G525" s="257">
        <v>462</v>
      </c>
      <c r="H525" s="256">
        <f t="shared" si="61"/>
        <v>0</v>
      </c>
      <c r="I525" s="256">
        <f t="shared" si="62"/>
        <v>0</v>
      </c>
      <c r="J525" s="256">
        <f t="shared" si="63"/>
        <v>0</v>
      </c>
      <c r="K525" s="256">
        <f t="shared" si="64"/>
        <v>0</v>
      </c>
      <c r="L525" s="255"/>
    </row>
    <row r="526" spans="1:12">
      <c r="A526" s="257">
        <v>463</v>
      </c>
      <c r="B526" s="256">
        <f t="shared" si="57"/>
        <v>0</v>
      </c>
      <c r="C526" s="256">
        <f t="shared" si="58"/>
        <v>0</v>
      </c>
      <c r="D526" s="256">
        <f t="shared" si="59"/>
        <v>0</v>
      </c>
      <c r="E526" s="256">
        <f t="shared" si="60"/>
        <v>0</v>
      </c>
      <c r="F526" s="255"/>
      <c r="G526" s="257">
        <v>463</v>
      </c>
      <c r="H526" s="256">
        <f t="shared" si="61"/>
        <v>0</v>
      </c>
      <c r="I526" s="256">
        <f t="shared" si="62"/>
        <v>0</v>
      </c>
      <c r="J526" s="256">
        <f t="shared" si="63"/>
        <v>0</v>
      </c>
      <c r="K526" s="256">
        <f t="shared" si="64"/>
        <v>0</v>
      </c>
      <c r="L526" s="255"/>
    </row>
    <row r="527" spans="1:12">
      <c r="A527" s="257">
        <v>464</v>
      </c>
      <c r="B527" s="256">
        <f t="shared" si="57"/>
        <v>0</v>
      </c>
      <c r="C527" s="256">
        <f t="shared" si="58"/>
        <v>0</v>
      </c>
      <c r="D527" s="256">
        <f t="shared" si="59"/>
        <v>0</v>
      </c>
      <c r="E527" s="256">
        <f t="shared" si="60"/>
        <v>0</v>
      </c>
      <c r="F527" s="255"/>
      <c r="G527" s="257">
        <v>464</v>
      </c>
      <c r="H527" s="256">
        <f t="shared" si="61"/>
        <v>0</v>
      </c>
      <c r="I527" s="256">
        <f t="shared" si="62"/>
        <v>0</v>
      </c>
      <c r="J527" s="256">
        <f t="shared" si="63"/>
        <v>0</v>
      </c>
      <c r="K527" s="256">
        <f t="shared" si="64"/>
        <v>0</v>
      </c>
      <c r="L527" s="255"/>
    </row>
    <row r="528" spans="1:12">
      <c r="A528" s="257">
        <v>465</v>
      </c>
      <c r="B528" s="256">
        <f t="shared" si="57"/>
        <v>0</v>
      </c>
      <c r="C528" s="256">
        <f t="shared" si="58"/>
        <v>0</v>
      </c>
      <c r="D528" s="256">
        <f t="shared" si="59"/>
        <v>0</v>
      </c>
      <c r="E528" s="256">
        <f t="shared" si="60"/>
        <v>0</v>
      </c>
      <c r="F528" s="255"/>
      <c r="G528" s="257">
        <v>465</v>
      </c>
      <c r="H528" s="256">
        <f t="shared" si="61"/>
        <v>0</v>
      </c>
      <c r="I528" s="256">
        <f t="shared" si="62"/>
        <v>0</v>
      </c>
      <c r="J528" s="256">
        <f t="shared" si="63"/>
        <v>0</v>
      </c>
      <c r="K528" s="256">
        <f t="shared" si="64"/>
        <v>0</v>
      </c>
      <c r="L528" s="255"/>
    </row>
    <row r="529" spans="1:12">
      <c r="A529" s="257">
        <v>466</v>
      </c>
      <c r="B529" s="256">
        <f t="shared" si="57"/>
        <v>0</v>
      </c>
      <c r="C529" s="256">
        <f t="shared" si="58"/>
        <v>0</v>
      </c>
      <c r="D529" s="256">
        <f t="shared" si="59"/>
        <v>0</v>
      </c>
      <c r="E529" s="256">
        <f t="shared" si="60"/>
        <v>0</v>
      </c>
      <c r="F529" s="255"/>
      <c r="G529" s="257">
        <v>466</v>
      </c>
      <c r="H529" s="256">
        <f t="shared" si="61"/>
        <v>0</v>
      </c>
      <c r="I529" s="256">
        <f t="shared" si="62"/>
        <v>0</v>
      </c>
      <c r="J529" s="256">
        <f t="shared" si="63"/>
        <v>0</v>
      </c>
      <c r="K529" s="256">
        <f t="shared" si="64"/>
        <v>0</v>
      </c>
      <c r="L529" s="255"/>
    </row>
    <row r="530" spans="1:12">
      <c r="A530" s="257">
        <v>467</v>
      </c>
      <c r="B530" s="256">
        <f t="shared" si="57"/>
        <v>0</v>
      </c>
      <c r="C530" s="256">
        <f t="shared" si="58"/>
        <v>0</v>
      </c>
      <c r="D530" s="256">
        <f t="shared" si="59"/>
        <v>0</v>
      </c>
      <c r="E530" s="256">
        <f t="shared" si="60"/>
        <v>0</v>
      </c>
      <c r="F530" s="255"/>
      <c r="G530" s="257">
        <v>467</v>
      </c>
      <c r="H530" s="256">
        <f t="shared" si="61"/>
        <v>0</v>
      </c>
      <c r="I530" s="256">
        <f t="shared" si="62"/>
        <v>0</v>
      </c>
      <c r="J530" s="256">
        <f t="shared" si="63"/>
        <v>0</v>
      </c>
      <c r="K530" s="256">
        <f t="shared" si="64"/>
        <v>0</v>
      </c>
      <c r="L530" s="255"/>
    </row>
    <row r="531" spans="1:12">
      <c r="A531" s="257">
        <v>468</v>
      </c>
      <c r="B531" s="256">
        <f t="shared" si="57"/>
        <v>0</v>
      </c>
      <c r="C531" s="256">
        <f t="shared" si="58"/>
        <v>0</v>
      </c>
      <c r="D531" s="256">
        <f t="shared" si="59"/>
        <v>0</v>
      </c>
      <c r="E531" s="256">
        <f t="shared" si="60"/>
        <v>0</v>
      </c>
      <c r="F531" s="255">
        <v>39</v>
      </c>
      <c r="G531" s="257">
        <v>468</v>
      </c>
      <c r="H531" s="256">
        <f t="shared" si="61"/>
        <v>0</v>
      </c>
      <c r="I531" s="256">
        <f t="shared" si="62"/>
        <v>0</v>
      </c>
      <c r="J531" s="256">
        <f t="shared" si="63"/>
        <v>0</v>
      </c>
      <c r="K531" s="256">
        <f t="shared" si="64"/>
        <v>0</v>
      </c>
      <c r="L531" s="255">
        <v>39</v>
      </c>
    </row>
    <row r="532" spans="1:12">
      <c r="A532" s="257">
        <v>469</v>
      </c>
      <c r="B532" s="256">
        <f t="shared" si="57"/>
        <v>0</v>
      </c>
      <c r="C532" s="256">
        <f t="shared" si="58"/>
        <v>0</v>
      </c>
      <c r="D532" s="256">
        <f t="shared" si="59"/>
        <v>0</v>
      </c>
      <c r="E532" s="256">
        <f t="shared" si="60"/>
        <v>0</v>
      </c>
      <c r="F532" s="255"/>
      <c r="G532" s="257">
        <v>469</v>
      </c>
      <c r="H532" s="256">
        <f t="shared" si="61"/>
        <v>0</v>
      </c>
      <c r="I532" s="256">
        <f t="shared" si="62"/>
        <v>0</v>
      </c>
      <c r="J532" s="256">
        <f t="shared" si="63"/>
        <v>0</v>
      </c>
      <c r="K532" s="256">
        <f t="shared" si="64"/>
        <v>0</v>
      </c>
      <c r="L532" s="255"/>
    </row>
    <row r="533" spans="1:12">
      <c r="A533" s="257">
        <v>470</v>
      </c>
      <c r="B533" s="256">
        <f t="shared" si="57"/>
        <v>0</v>
      </c>
      <c r="C533" s="256">
        <f t="shared" si="58"/>
        <v>0</v>
      </c>
      <c r="D533" s="256">
        <f t="shared" si="59"/>
        <v>0</v>
      </c>
      <c r="E533" s="256">
        <f t="shared" si="60"/>
        <v>0</v>
      </c>
      <c r="F533" s="255"/>
      <c r="G533" s="257">
        <v>470</v>
      </c>
      <c r="H533" s="256">
        <f t="shared" si="61"/>
        <v>0</v>
      </c>
      <c r="I533" s="256">
        <f t="shared" si="62"/>
        <v>0</v>
      </c>
      <c r="J533" s="256">
        <f t="shared" si="63"/>
        <v>0</v>
      </c>
      <c r="K533" s="256">
        <f t="shared" si="64"/>
        <v>0</v>
      </c>
      <c r="L533" s="255"/>
    </row>
    <row r="534" spans="1:12">
      <c r="A534" s="257">
        <v>471</v>
      </c>
      <c r="B534" s="256">
        <f t="shared" si="57"/>
        <v>0</v>
      </c>
      <c r="C534" s="256">
        <f t="shared" si="58"/>
        <v>0</v>
      </c>
      <c r="D534" s="256">
        <f t="shared" si="59"/>
        <v>0</v>
      </c>
      <c r="E534" s="256">
        <f t="shared" si="60"/>
        <v>0</v>
      </c>
      <c r="F534" s="255"/>
      <c r="G534" s="257">
        <v>471</v>
      </c>
      <c r="H534" s="256">
        <f t="shared" si="61"/>
        <v>0</v>
      </c>
      <c r="I534" s="256">
        <f t="shared" si="62"/>
        <v>0</v>
      </c>
      <c r="J534" s="256">
        <f t="shared" si="63"/>
        <v>0</v>
      </c>
      <c r="K534" s="256">
        <f t="shared" si="64"/>
        <v>0</v>
      </c>
      <c r="L534" s="255"/>
    </row>
    <row r="535" spans="1:12">
      <c r="A535" s="257">
        <v>472</v>
      </c>
      <c r="B535" s="256">
        <f t="shared" si="57"/>
        <v>0</v>
      </c>
      <c r="C535" s="256">
        <f t="shared" si="58"/>
        <v>0</v>
      </c>
      <c r="D535" s="256">
        <f t="shared" si="59"/>
        <v>0</v>
      </c>
      <c r="E535" s="256">
        <f t="shared" si="60"/>
        <v>0</v>
      </c>
      <c r="F535" s="255"/>
      <c r="G535" s="257">
        <v>472</v>
      </c>
      <c r="H535" s="256">
        <f t="shared" si="61"/>
        <v>0</v>
      </c>
      <c r="I535" s="256">
        <f t="shared" si="62"/>
        <v>0</v>
      </c>
      <c r="J535" s="256">
        <f t="shared" si="63"/>
        <v>0</v>
      </c>
      <c r="K535" s="256">
        <f t="shared" si="64"/>
        <v>0</v>
      </c>
      <c r="L535" s="255"/>
    </row>
    <row r="536" spans="1:12">
      <c r="A536" s="257">
        <v>473</v>
      </c>
      <c r="B536" s="256">
        <f t="shared" si="57"/>
        <v>0</v>
      </c>
      <c r="C536" s="256">
        <f t="shared" si="58"/>
        <v>0</v>
      </c>
      <c r="D536" s="256">
        <f t="shared" si="59"/>
        <v>0</v>
      </c>
      <c r="E536" s="256">
        <f t="shared" si="60"/>
        <v>0</v>
      </c>
      <c r="F536" s="255"/>
      <c r="G536" s="257">
        <v>473</v>
      </c>
      <c r="H536" s="256">
        <f t="shared" si="61"/>
        <v>0</v>
      </c>
      <c r="I536" s="256">
        <f t="shared" si="62"/>
        <v>0</v>
      </c>
      <c r="J536" s="256">
        <f t="shared" si="63"/>
        <v>0</v>
      </c>
      <c r="K536" s="256">
        <f t="shared" si="64"/>
        <v>0</v>
      </c>
      <c r="L536" s="255"/>
    </row>
    <row r="537" spans="1:12">
      <c r="A537" s="257">
        <v>474</v>
      </c>
      <c r="B537" s="256">
        <f t="shared" si="57"/>
        <v>0</v>
      </c>
      <c r="C537" s="256">
        <f t="shared" si="58"/>
        <v>0</v>
      </c>
      <c r="D537" s="256">
        <f t="shared" si="59"/>
        <v>0</v>
      </c>
      <c r="E537" s="256">
        <f t="shared" si="60"/>
        <v>0</v>
      </c>
      <c r="F537" s="255"/>
      <c r="G537" s="257">
        <v>474</v>
      </c>
      <c r="H537" s="256">
        <f t="shared" si="61"/>
        <v>0</v>
      </c>
      <c r="I537" s="256">
        <f t="shared" si="62"/>
        <v>0</v>
      </c>
      <c r="J537" s="256">
        <f t="shared" si="63"/>
        <v>0</v>
      </c>
      <c r="K537" s="256">
        <f t="shared" si="64"/>
        <v>0</v>
      </c>
      <c r="L537" s="255"/>
    </row>
    <row r="538" spans="1:12">
      <c r="A538" s="257">
        <v>475</v>
      </c>
      <c r="B538" s="256">
        <f t="shared" si="57"/>
        <v>0</v>
      </c>
      <c r="C538" s="256">
        <f t="shared" si="58"/>
        <v>0</v>
      </c>
      <c r="D538" s="256">
        <f t="shared" si="59"/>
        <v>0</v>
      </c>
      <c r="E538" s="256">
        <f t="shared" si="60"/>
        <v>0</v>
      </c>
      <c r="F538" s="255"/>
      <c r="G538" s="257">
        <v>475</v>
      </c>
      <c r="H538" s="256">
        <f t="shared" si="61"/>
        <v>0</v>
      </c>
      <c r="I538" s="256">
        <f t="shared" si="62"/>
        <v>0</v>
      </c>
      <c r="J538" s="256">
        <f t="shared" si="63"/>
        <v>0</v>
      </c>
      <c r="K538" s="256">
        <f t="shared" si="64"/>
        <v>0</v>
      </c>
      <c r="L538" s="255"/>
    </row>
    <row r="539" spans="1:12">
      <c r="A539" s="257">
        <v>476</v>
      </c>
      <c r="B539" s="256">
        <f t="shared" si="57"/>
        <v>0</v>
      </c>
      <c r="C539" s="256">
        <f t="shared" si="58"/>
        <v>0</v>
      </c>
      <c r="D539" s="256">
        <f t="shared" si="59"/>
        <v>0</v>
      </c>
      <c r="E539" s="256">
        <f t="shared" si="60"/>
        <v>0</v>
      </c>
      <c r="F539" s="255"/>
      <c r="G539" s="257">
        <v>476</v>
      </c>
      <c r="H539" s="256">
        <f t="shared" si="61"/>
        <v>0</v>
      </c>
      <c r="I539" s="256">
        <f t="shared" si="62"/>
        <v>0</v>
      </c>
      <c r="J539" s="256">
        <f t="shared" si="63"/>
        <v>0</v>
      </c>
      <c r="K539" s="256">
        <f t="shared" si="64"/>
        <v>0</v>
      </c>
      <c r="L539" s="255"/>
    </row>
    <row r="540" spans="1:12">
      <c r="A540" s="257">
        <v>477</v>
      </c>
      <c r="B540" s="256">
        <f t="shared" si="57"/>
        <v>0</v>
      </c>
      <c r="C540" s="256">
        <f t="shared" si="58"/>
        <v>0</v>
      </c>
      <c r="D540" s="256">
        <f t="shared" si="59"/>
        <v>0</v>
      </c>
      <c r="E540" s="256">
        <f t="shared" si="60"/>
        <v>0</v>
      </c>
      <c r="F540" s="255"/>
      <c r="G540" s="257">
        <v>477</v>
      </c>
      <c r="H540" s="256">
        <f t="shared" si="61"/>
        <v>0</v>
      </c>
      <c r="I540" s="256">
        <f t="shared" si="62"/>
        <v>0</v>
      </c>
      <c r="J540" s="256">
        <f t="shared" si="63"/>
        <v>0</v>
      </c>
      <c r="K540" s="256">
        <f t="shared" si="64"/>
        <v>0</v>
      </c>
      <c r="L540" s="255"/>
    </row>
    <row r="541" spans="1:12">
      <c r="A541" s="257">
        <v>478</v>
      </c>
      <c r="B541" s="256">
        <f t="shared" si="57"/>
        <v>0</v>
      </c>
      <c r="C541" s="256">
        <f t="shared" si="58"/>
        <v>0</v>
      </c>
      <c r="D541" s="256">
        <f t="shared" si="59"/>
        <v>0</v>
      </c>
      <c r="E541" s="256">
        <f t="shared" si="60"/>
        <v>0</v>
      </c>
      <c r="F541" s="255"/>
      <c r="G541" s="257">
        <v>478</v>
      </c>
      <c r="H541" s="256">
        <f t="shared" si="61"/>
        <v>0</v>
      </c>
      <c r="I541" s="256">
        <f t="shared" si="62"/>
        <v>0</v>
      </c>
      <c r="J541" s="256">
        <f t="shared" si="63"/>
        <v>0</v>
      </c>
      <c r="K541" s="256">
        <f t="shared" si="64"/>
        <v>0</v>
      </c>
      <c r="L541" s="255"/>
    </row>
    <row r="542" spans="1:12">
      <c r="A542" s="257">
        <v>479</v>
      </c>
      <c r="B542" s="256">
        <f t="shared" si="57"/>
        <v>0</v>
      </c>
      <c r="C542" s="256">
        <f t="shared" si="58"/>
        <v>0</v>
      </c>
      <c r="D542" s="256">
        <f t="shared" si="59"/>
        <v>0</v>
      </c>
      <c r="E542" s="256">
        <f t="shared" si="60"/>
        <v>0</v>
      </c>
      <c r="F542" s="255"/>
      <c r="G542" s="257">
        <v>479</v>
      </c>
      <c r="H542" s="256">
        <f t="shared" si="61"/>
        <v>0</v>
      </c>
      <c r="I542" s="256">
        <f t="shared" si="62"/>
        <v>0</v>
      </c>
      <c r="J542" s="256">
        <f t="shared" si="63"/>
        <v>0</v>
      </c>
      <c r="K542" s="256">
        <f t="shared" si="64"/>
        <v>0</v>
      </c>
      <c r="L542" s="255"/>
    </row>
    <row r="543" spans="1:12">
      <c r="A543" s="257">
        <v>480</v>
      </c>
      <c r="B543" s="256">
        <f t="shared" si="57"/>
        <v>0</v>
      </c>
      <c r="C543" s="256">
        <f t="shared" si="58"/>
        <v>0</v>
      </c>
      <c r="D543" s="256">
        <f t="shared" si="59"/>
        <v>0</v>
      </c>
      <c r="E543" s="256">
        <f t="shared" si="60"/>
        <v>0</v>
      </c>
      <c r="F543" s="255">
        <v>40</v>
      </c>
      <c r="G543" s="257">
        <v>480</v>
      </c>
      <c r="H543" s="256">
        <f t="shared" si="61"/>
        <v>0</v>
      </c>
      <c r="I543" s="256">
        <f t="shared" si="62"/>
        <v>0</v>
      </c>
      <c r="J543" s="256">
        <f t="shared" si="63"/>
        <v>0</v>
      </c>
      <c r="K543" s="256">
        <f t="shared" si="64"/>
        <v>0</v>
      </c>
      <c r="L543" s="255">
        <v>40</v>
      </c>
    </row>
    <row r="544" spans="1:12">
      <c r="A544" s="235"/>
      <c r="G544" s="250"/>
      <c r="H544" s="250"/>
      <c r="I544" s="250"/>
      <c r="J544" s="250"/>
      <c r="K544" s="250"/>
    </row>
    <row r="545" spans="1:11">
      <c r="A545" s="235"/>
      <c r="G545" s="250"/>
      <c r="H545" s="250"/>
      <c r="I545" s="250"/>
      <c r="J545" s="250"/>
      <c r="K545" s="250"/>
    </row>
    <row r="546" spans="1:11">
      <c r="A546" s="235"/>
      <c r="G546" s="250"/>
      <c r="H546" s="250"/>
      <c r="I546" s="250"/>
      <c r="J546" s="250"/>
      <c r="K546" s="250"/>
    </row>
    <row r="547" spans="1:11">
      <c r="A547" s="235"/>
      <c r="G547" s="250"/>
      <c r="H547" s="250"/>
      <c r="I547" s="250"/>
      <c r="J547" s="250"/>
      <c r="K547" s="250"/>
    </row>
    <row r="548" spans="1:11">
      <c r="A548" s="235"/>
      <c r="G548" s="250"/>
      <c r="H548" s="250"/>
      <c r="I548" s="250"/>
      <c r="J548" s="250"/>
      <c r="K548" s="250"/>
    </row>
    <row r="549" spans="1:11">
      <c r="A549" s="235"/>
      <c r="G549" s="250"/>
      <c r="H549" s="250"/>
      <c r="I549" s="250"/>
      <c r="J549" s="250"/>
      <c r="K549" s="250"/>
    </row>
    <row r="550" spans="1:11">
      <c r="A550" s="235"/>
      <c r="G550" s="250"/>
      <c r="H550" s="250"/>
      <c r="I550" s="250"/>
      <c r="J550" s="250"/>
      <c r="K550" s="250"/>
    </row>
    <row r="551" spans="1:11">
      <c r="G551" s="250"/>
      <c r="H551" s="250"/>
      <c r="I551" s="250"/>
      <c r="J551" s="250"/>
      <c r="K551" s="250"/>
    </row>
    <row r="552" spans="1:11">
      <c r="G552" s="250"/>
      <c r="H552" s="250"/>
      <c r="I552" s="250"/>
      <c r="J552" s="250"/>
      <c r="K552" s="250"/>
    </row>
    <row r="553" spans="1:11">
      <c r="G553" s="250"/>
      <c r="H553" s="250"/>
      <c r="I553" s="250"/>
      <c r="J553" s="250"/>
      <c r="K553" s="250"/>
    </row>
    <row r="554" spans="1:11">
      <c r="G554" s="250"/>
      <c r="H554" s="250"/>
      <c r="I554" s="250"/>
      <c r="J554" s="250"/>
      <c r="K554" s="250"/>
    </row>
    <row r="555" spans="1:11">
      <c r="G555" s="250"/>
      <c r="H555" s="250"/>
      <c r="I555" s="250"/>
      <c r="J555" s="250"/>
      <c r="K555" s="250"/>
    </row>
    <row r="556" spans="1:11">
      <c r="G556" s="250"/>
      <c r="H556" s="250"/>
      <c r="I556" s="250"/>
      <c r="J556" s="250"/>
      <c r="K556" s="250"/>
    </row>
    <row r="557" spans="1:11">
      <c r="G557" s="250"/>
      <c r="H557" s="250"/>
      <c r="I557" s="250"/>
      <c r="J557" s="250"/>
      <c r="K557" s="250"/>
    </row>
    <row r="558" spans="1:11">
      <c r="G558" s="250"/>
      <c r="H558" s="250"/>
      <c r="I558" s="250"/>
      <c r="J558" s="250"/>
      <c r="K558" s="250"/>
    </row>
    <row r="559" spans="1:11">
      <c r="G559" s="250"/>
      <c r="H559" s="250"/>
      <c r="I559" s="250"/>
      <c r="J559" s="250"/>
      <c r="K559" s="250"/>
    </row>
    <row r="560" spans="1:11">
      <c r="G560" s="250"/>
      <c r="H560" s="250"/>
      <c r="I560" s="250"/>
      <c r="J560" s="250"/>
      <c r="K560" s="250"/>
    </row>
    <row r="561" spans="7:11">
      <c r="G561" s="250"/>
      <c r="H561" s="250"/>
      <c r="I561" s="250"/>
      <c r="J561" s="250"/>
      <c r="K561" s="250"/>
    </row>
    <row r="562" spans="7:11">
      <c r="G562" s="250"/>
      <c r="H562" s="250"/>
      <c r="I562" s="250"/>
      <c r="J562" s="250"/>
      <c r="K562" s="250"/>
    </row>
    <row r="563" spans="7:11">
      <c r="G563" s="250"/>
      <c r="H563" s="250"/>
      <c r="I563" s="250"/>
      <c r="J563" s="250"/>
      <c r="K563" s="250"/>
    </row>
    <row r="564" spans="7:11">
      <c r="G564" s="250"/>
      <c r="H564" s="250"/>
      <c r="I564" s="250"/>
      <c r="J564" s="250"/>
      <c r="K564" s="250"/>
    </row>
    <row r="565" spans="7:11">
      <c r="G565" s="250"/>
      <c r="H565" s="250"/>
      <c r="I565" s="250"/>
      <c r="J565" s="250"/>
      <c r="K565" s="250"/>
    </row>
    <row r="566" spans="7:11">
      <c r="G566" s="250"/>
      <c r="H566" s="250"/>
      <c r="I566" s="250"/>
      <c r="J566" s="250"/>
      <c r="K566" s="250"/>
    </row>
    <row r="567" spans="7:11">
      <c r="G567" s="250"/>
      <c r="H567" s="250"/>
      <c r="I567" s="250"/>
      <c r="J567" s="250"/>
      <c r="K567" s="250"/>
    </row>
    <row r="568" spans="7:11">
      <c r="G568" s="250"/>
      <c r="H568" s="250"/>
      <c r="I568" s="250"/>
      <c r="J568" s="250"/>
      <c r="K568" s="250"/>
    </row>
    <row r="569" spans="7:11">
      <c r="G569" s="250"/>
      <c r="H569" s="250"/>
      <c r="I569" s="250"/>
      <c r="J569" s="250"/>
      <c r="K569" s="250"/>
    </row>
    <row r="570" spans="7:11">
      <c r="G570" s="250"/>
      <c r="H570" s="250"/>
      <c r="I570" s="250"/>
      <c r="J570" s="250"/>
      <c r="K570" s="250"/>
    </row>
    <row r="571" spans="7:11">
      <c r="G571" s="250"/>
      <c r="H571" s="250"/>
      <c r="I571" s="250"/>
      <c r="J571" s="250"/>
      <c r="K571" s="250"/>
    </row>
    <row r="572" spans="7:11">
      <c r="G572" s="250"/>
      <c r="H572" s="250"/>
      <c r="I572" s="250"/>
      <c r="J572" s="250"/>
      <c r="K572" s="250"/>
    </row>
    <row r="573" spans="7:11">
      <c r="G573" s="250"/>
      <c r="H573" s="250"/>
      <c r="I573" s="250"/>
      <c r="J573" s="250"/>
      <c r="K573" s="250"/>
    </row>
    <row r="574" spans="7:11">
      <c r="G574" s="250"/>
      <c r="H574" s="250"/>
      <c r="I574" s="250"/>
      <c r="J574" s="250"/>
      <c r="K574" s="250"/>
    </row>
    <row r="575" spans="7:11">
      <c r="G575" s="250"/>
      <c r="H575" s="250"/>
      <c r="I575" s="250"/>
      <c r="J575" s="250"/>
      <c r="K575" s="250"/>
    </row>
    <row r="576" spans="7:11">
      <c r="G576" s="250"/>
      <c r="H576" s="250"/>
      <c r="I576" s="250"/>
      <c r="J576" s="250"/>
      <c r="K576" s="250"/>
    </row>
    <row r="577" spans="7:11">
      <c r="G577" s="250"/>
      <c r="H577" s="250"/>
      <c r="I577" s="250"/>
      <c r="J577" s="250"/>
      <c r="K577" s="250"/>
    </row>
    <row r="578" spans="7:11">
      <c r="G578" s="250"/>
      <c r="H578" s="250"/>
      <c r="I578" s="250"/>
      <c r="J578" s="250"/>
      <c r="K578" s="250"/>
    </row>
    <row r="579" spans="7:11">
      <c r="G579" s="250"/>
      <c r="H579" s="250"/>
      <c r="I579" s="250"/>
      <c r="J579" s="250"/>
      <c r="K579" s="250"/>
    </row>
    <row r="580" spans="7:11">
      <c r="G580" s="250"/>
      <c r="H580" s="250"/>
      <c r="I580" s="250"/>
      <c r="J580" s="250"/>
      <c r="K580" s="250"/>
    </row>
    <row r="581" spans="7:11">
      <c r="G581" s="250"/>
      <c r="H581" s="250"/>
      <c r="I581" s="250"/>
      <c r="J581" s="250"/>
      <c r="K581" s="250"/>
    </row>
    <row r="582" spans="7:11">
      <c r="G582" s="250"/>
      <c r="H582" s="250"/>
      <c r="I582" s="250"/>
      <c r="J582" s="250"/>
      <c r="K582" s="250"/>
    </row>
    <row r="583" spans="7:11">
      <c r="G583" s="250"/>
      <c r="H583" s="250"/>
      <c r="I583" s="250"/>
      <c r="J583" s="250"/>
      <c r="K583" s="250"/>
    </row>
    <row r="584" spans="7:11">
      <c r="G584" s="250"/>
      <c r="H584" s="250"/>
      <c r="I584" s="250"/>
      <c r="J584" s="250"/>
      <c r="K584" s="250"/>
    </row>
    <row r="585" spans="7:11">
      <c r="G585" s="250"/>
      <c r="H585" s="250"/>
      <c r="I585" s="250"/>
      <c r="J585" s="250"/>
      <c r="K585" s="250"/>
    </row>
    <row r="586" spans="7:11">
      <c r="G586" s="250"/>
      <c r="H586" s="250"/>
      <c r="I586" s="250"/>
      <c r="J586" s="250"/>
      <c r="K586" s="250"/>
    </row>
    <row r="587" spans="7:11">
      <c r="G587" s="250"/>
      <c r="H587" s="250"/>
      <c r="I587" s="250"/>
      <c r="J587" s="250"/>
      <c r="K587" s="250"/>
    </row>
    <row r="588" spans="7:11">
      <c r="G588" s="250"/>
      <c r="H588" s="250"/>
      <c r="I588" s="250"/>
      <c r="J588" s="250"/>
      <c r="K588" s="250"/>
    </row>
    <row r="589" spans="7:11">
      <c r="G589" s="250"/>
      <c r="H589" s="250"/>
      <c r="I589" s="250"/>
      <c r="J589" s="250"/>
      <c r="K589" s="250"/>
    </row>
    <row r="590" spans="7:11">
      <c r="G590" s="250"/>
      <c r="H590" s="250"/>
      <c r="I590" s="250"/>
      <c r="J590" s="250"/>
      <c r="K590" s="250"/>
    </row>
    <row r="591" spans="7:11">
      <c r="G591" s="250"/>
      <c r="H591" s="250"/>
      <c r="I591" s="250"/>
      <c r="J591" s="250"/>
      <c r="K591" s="250"/>
    </row>
    <row r="592" spans="7:11">
      <c r="G592" s="250"/>
      <c r="H592" s="250"/>
      <c r="I592" s="250"/>
      <c r="J592" s="250"/>
      <c r="K592" s="250"/>
    </row>
    <row r="593" spans="7:11">
      <c r="G593" s="250"/>
      <c r="H593" s="250"/>
      <c r="I593" s="250"/>
      <c r="J593" s="250"/>
      <c r="K593" s="250"/>
    </row>
    <row r="594" spans="7:11">
      <c r="G594" s="250"/>
      <c r="H594" s="250"/>
      <c r="I594" s="250"/>
      <c r="J594" s="250"/>
      <c r="K594" s="250"/>
    </row>
    <row r="595" spans="7:11">
      <c r="G595" s="250"/>
      <c r="H595" s="250"/>
      <c r="I595" s="250"/>
      <c r="J595" s="250"/>
      <c r="K595" s="250"/>
    </row>
    <row r="596" spans="7:11">
      <c r="G596" s="250"/>
      <c r="H596" s="250"/>
      <c r="I596" s="250"/>
      <c r="J596" s="250"/>
      <c r="K596" s="250"/>
    </row>
    <row r="597" spans="7:11">
      <c r="G597" s="250"/>
      <c r="H597" s="250"/>
      <c r="I597" s="250"/>
      <c r="J597" s="250"/>
      <c r="K597" s="250"/>
    </row>
    <row r="598" spans="7:11">
      <c r="G598" s="250"/>
      <c r="H598" s="250"/>
      <c r="I598" s="250"/>
      <c r="J598" s="250"/>
      <c r="K598" s="250"/>
    </row>
    <row r="599" spans="7:11">
      <c r="G599" s="250"/>
      <c r="H599" s="250"/>
      <c r="I599" s="250"/>
      <c r="J599" s="250"/>
      <c r="K599" s="250"/>
    </row>
    <row r="600" spans="7:11">
      <c r="G600" s="250"/>
      <c r="H600" s="250"/>
      <c r="I600" s="250"/>
      <c r="J600" s="250"/>
      <c r="K600" s="250"/>
    </row>
    <row r="601" spans="7:11">
      <c r="G601" s="250"/>
      <c r="H601" s="250"/>
      <c r="I601" s="250"/>
      <c r="J601" s="250"/>
      <c r="K601" s="250"/>
    </row>
    <row r="602" spans="7:11">
      <c r="G602" s="250"/>
      <c r="H602" s="250"/>
      <c r="I602" s="250"/>
      <c r="J602" s="250"/>
      <c r="K602" s="250"/>
    </row>
    <row r="603" spans="7:11">
      <c r="G603" s="250"/>
      <c r="H603" s="250"/>
      <c r="I603" s="250"/>
      <c r="J603" s="250"/>
      <c r="K603" s="250"/>
    </row>
    <row r="604" spans="7:11">
      <c r="G604" s="250"/>
      <c r="H604" s="250"/>
      <c r="I604" s="250"/>
      <c r="J604" s="250"/>
      <c r="K604" s="250"/>
    </row>
    <row r="605" spans="7:11">
      <c r="G605" s="250"/>
      <c r="H605" s="250"/>
      <c r="I605" s="250"/>
      <c r="J605" s="250"/>
      <c r="K605" s="250"/>
    </row>
    <row r="606" spans="7:11">
      <c r="G606" s="250"/>
      <c r="H606" s="250"/>
      <c r="I606" s="250"/>
      <c r="J606" s="250"/>
      <c r="K606" s="250"/>
    </row>
    <row r="607" spans="7:11">
      <c r="G607" s="250"/>
      <c r="H607" s="250"/>
      <c r="I607" s="250"/>
      <c r="J607" s="250"/>
      <c r="K607" s="250"/>
    </row>
    <row r="608" spans="7:11">
      <c r="G608" s="250"/>
      <c r="H608" s="250"/>
      <c r="I608" s="250"/>
      <c r="J608" s="250"/>
      <c r="K608" s="250"/>
    </row>
    <row r="609" spans="7:11">
      <c r="G609" s="250"/>
      <c r="H609" s="250"/>
      <c r="I609" s="250"/>
      <c r="J609" s="250"/>
      <c r="K609" s="250"/>
    </row>
    <row r="610" spans="7:11">
      <c r="G610" s="250"/>
      <c r="H610" s="250"/>
      <c r="I610" s="250"/>
      <c r="J610" s="250"/>
      <c r="K610" s="250"/>
    </row>
    <row r="611" spans="7:11">
      <c r="G611" s="250"/>
      <c r="H611" s="250"/>
      <c r="I611" s="250"/>
      <c r="J611" s="250"/>
      <c r="K611" s="250"/>
    </row>
    <row r="612" spans="7:11">
      <c r="G612" s="250"/>
      <c r="H612" s="250"/>
      <c r="I612" s="250"/>
      <c r="J612" s="250"/>
      <c r="K612" s="250"/>
    </row>
    <row r="613" spans="7:11">
      <c r="G613" s="250"/>
      <c r="H613" s="250"/>
      <c r="I613" s="250"/>
      <c r="J613" s="250"/>
      <c r="K613" s="250"/>
    </row>
    <row r="614" spans="7:11">
      <c r="G614" s="250"/>
      <c r="H614" s="250"/>
      <c r="I614" s="250"/>
      <c r="J614" s="250"/>
      <c r="K614" s="250"/>
    </row>
    <row r="615" spans="7:11">
      <c r="G615" s="250"/>
      <c r="H615" s="250"/>
      <c r="I615" s="250"/>
      <c r="J615" s="250"/>
      <c r="K615" s="250"/>
    </row>
    <row r="616" spans="7:11">
      <c r="G616" s="250"/>
      <c r="H616" s="250"/>
      <c r="I616" s="250"/>
      <c r="J616" s="250"/>
      <c r="K616" s="250"/>
    </row>
    <row r="617" spans="7:11">
      <c r="G617" s="250"/>
      <c r="H617" s="250"/>
      <c r="I617" s="250"/>
      <c r="J617" s="250"/>
      <c r="K617" s="250"/>
    </row>
    <row r="618" spans="7:11">
      <c r="G618" s="250"/>
      <c r="H618" s="250"/>
      <c r="I618" s="250"/>
      <c r="J618" s="250"/>
      <c r="K618" s="250"/>
    </row>
    <row r="619" spans="7:11">
      <c r="G619" s="250"/>
      <c r="H619" s="250"/>
      <c r="I619" s="250"/>
      <c r="J619" s="250"/>
      <c r="K619" s="250"/>
    </row>
    <row r="620" spans="7:11">
      <c r="G620" s="250"/>
      <c r="H620" s="250"/>
      <c r="I620" s="250"/>
      <c r="J620" s="250"/>
      <c r="K620" s="250"/>
    </row>
    <row r="621" spans="7:11">
      <c r="G621" s="250"/>
      <c r="H621" s="250"/>
      <c r="I621" s="250"/>
      <c r="J621" s="250"/>
      <c r="K621" s="250"/>
    </row>
    <row r="622" spans="7:11">
      <c r="G622" s="250"/>
      <c r="H622" s="250"/>
      <c r="I622" s="250"/>
      <c r="J622" s="250"/>
      <c r="K622" s="250"/>
    </row>
    <row r="623" spans="7:11">
      <c r="G623" s="250"/>
      <c r="H623" s="250"/>
      <c r="I623" s="250"/>
      <c r="J623" s="250"/>
      <c r="K623" s="250"/>
    </row>
    <row r="624" spans="7:11">
      <c r="G624" s="250"/>
      <c r="H624" s="250"/>
      <c r="I624" s="250"/>
      <c r="J624" s="250"/>
      <c r="K624" s="250"/>
    </row>
    <row r="625" spans="7:11">
      <c r="G625" s="250"/>
      <c r="H625" s="250"/>
      <c r="I625" s="250"/>
      <c r="J625" s="250"/>
      <c r="K625" s="250"/>
    </row>
    <row r="626" spans="7:11">
      <c r="G626" s="250"/>
      <c r="H626" s="250"/>
      <c r="I626" s="250"/>
      <c r="J626" s="250"/>
      <c r="K626" s="250"/>
    </row>
    <row r="627" spans="7:11">
      <c r="G627" s="250"/>
      <c r="H627" s="250"/>
      <c r="I627" s="250"/>
      <c r="J627" s="250"/>
      <c r="K627" s="250"/>
    </row>
    <row r="628" spans="7:11">
      <c r="G628" s="250"/>
      <c r="H628" s="250"/>
      <c r="I628" s="250"/>
      <c r="J628" s="250"/>
      <c r="K628" s="250"/>
    </row>
    <row r="629" spans="7:11">
      <c r="G629" s="250"/>
      <c r="H629" s="250"/>
      <c r="I629" s="250"/>
      <c r="J629" s="250"/>
      <c r="K629" s="250"/>
    </row>
    <row r="630" spans="7:11">
      <c r="G630" s="250"/>
      <c r="H630" s="250"/>
      <c r="I630" s="250"/>
      <c r="J630" s="250"/>
      <c r="K630" s="250"/>
    </row>
    <row r="631" spans="7:11">
      <c r="G631" s="250"/>
      <c r="H631" s="250"/>
      <c r="I631" s="250"/>
      <c r="J631" s="250"/>
      <c r="K631" s="250"/>
    </row>
    <row r="632" spans="7:11">
      <c r="G632" s="250"/>
      <c r="H632" s="250"/>
      <c r="I632" s="250"/>
      <c r="J632" s="250"/>
      <c r="K632" s="250"/>
    </row>
    <row r="633" spans="7:11">
      <c r="G633" s="250"/>
      <c r="H633" s="250"/>
      <c r="I633" s="250"/>
      <c r="J633" s="250"/>
      <c r="K633" s="250"/>
    </row>
    <row r="634" spans="7:11">
      <c r="G634" s="250"/>
      <c r="H634" s="250"/>
      <c r="I634" s="250"/>
      <c r="J634" s="250"/>
      <c r="K634" s="250"/>
    </row>
    <row r="635" spans="7:11">
      <c r="G635" s="250"/>
      <c r="H635" s="250"/>
      <c r="I635" s="250"/>
      <c r="J635" s="250"/>
      <c r="K635" s="250"/>
    </row>
    <row r="636" spans="7:11">
      <c r="G636" s="250"/>
      <c r="H636" s="250"/>
      <c r="I636" s="250"/>
      <c r="J636" s="250"/>
      <c r="K636" s="250"/>
    </row>
    <row r="637" spans="7:11">
      <c r="G637" s="250"/>
      <c r="H637" s="250"/>
      <c r="I637" s="250"/>
      <c r="J637" s="250"/>
      <c r="K637" s="250"/>
    </row>
    <row r="638" spans="7:11">
      <c r="G638" s="250"/>
      <c r="H638" s="250"/>
      <c r="I638" s="250"/>
      <c r="J638" s="250"/>
      <c r="K638" s="250"/>
    </row>
    <row r="639" spans="7:11">
      <c r="G639" s="250"/>
      <c r="H639" s="250"/>
      <c r="I639" s="250"/>
      <c r="J639" s="250"/>
      <c r="K639" s="250"/>
    </row>
    <row r="640" spans="7:11">
      <c r="G640" s="250"/>
      <c r="H640" s="250"/>
      <c r="I640" s="250"/>
      <c r="J640" s="250"/>
      <c r="K640" s="250"/>
    </row>
    <row r="641" spans="7:11">
      <c r="G641" s="250"/>
      <c r="H641" s="250"/>
      <c r="I641" s="250"/>
      <c r="J641" s="250"/>
      <c r="K641" s="250"/>
    </row>
    <row r="642" spans="7:11">
      <c r="G642" s="250"/>
      <c r="H642" s="250"/>
      <c r="I642" s="250"/>
      <c r="J642" s="250"/>
      <c r="K642" s="250"/>
    </row>
    <row r="643" spans="7:11">
      <c r="G643" s="250"/>
      <c r="H643" s="250"/>
      <c r="I643" s="250"/>
      <c r="J643" s="250"/>
      <c r="K643" s="250"/>
    </row>
    <row r="644" spans="7:11">
      <c r="G644" s="250"/>
      <c r="H644" s="250"/>
      <c r="I644" s="250"/>
      <c r="J644" s="250"/>
      <c r="K644" s="250"/>
    </row>
    <row r="645" spans="7:11">
      <c r="G645" s="250"/>
      <c r="H645" s="250"/>
      <c r="I645" s="250"/>
      <c r="J645" s="250"/>
      <c r="K645" s="250"/>
    </row>
    <row r="646" spans="7:11">
      <c r="G646" s="250"/>
      <c r="H646" s="250"/>
      <c r="I646" s="250"/>
      <c r="J646" s="250"/>
      <c r="K646" s="250"/>
    </row>
    <row r="647" spans="7:11">
      <c r="G647" s="250"/>
      <c r="H647" s="250"/>
      <c r="I647" s="250"/>
      <c r="J647" s="250"/>
      <c r="K647" s="250"/>
    </row>
    <row r="648" spans="7:11">
      <c r="G648" s="250"/>
      <c r="H648" s="250"/>
      <c r="I648" s="250"/>
      <c r="J648" s="250"/>
      <c r="K648" s="250"/>
    </row>
    <row r="649" spans="7:11">
      <c r="G649" s="250"/>
      <c r="H649" s="250"/>
      <c r="I649" s="250"/>
      <c r="J649" s="250"/>
      <c r="K649" s="250"/>
    </row>
    <row r="650" spans="7:11">
      <c r="G650" s="250"/>
      <c r="H650" s="250"/>
      <c r="I650" s="250"/>
      <c r="J650" s="250"/>
      <c r="K650" s="250"/>
    </row>
    <row r="651" spans="7:11">
      <c r="G651" s="250"/>
      <c r="H651" s="250"/>
      <c r="I651" s="250"/>
      <c r="J651" s="250"/>
      <c r="K651" s="250"/>
    </row>
    <row r="652" spans="7:11">
      <c r="G652" s="250"/>
      <c r="H652" s="250"/>
      <c r="I652" s="250"/>
      <c r="J652" s="250"/>
      <c r="K652" s="250"/>
    </row>
    <row r="653" spans="7:11">
      <c r="G653" s="250"/>
      <c r="H653" s="250"/>
      <c r="I653" s="250"/>
      <c r="J653" s="250"/>
      <c r="K653" s="250"/>
    </row>
    <row r="654" spans="7:11">
      <c r="G654" s="250"/>
      <c r="H654" s="250"/>
      <c r="I654" s="250"/>
      <c r="J654" s="250"/>
      <c r="K654" s="250"/>
    </row>
    <row r="655" spans="7:11">
      <c r="G655" s="250"/>
      <c r="H655" s="250"/>
      <c r="I655" s="250"/>
      <c r="J655" s="250"/>
      <c r="K655" s="250"/>
    </row>
    <row r="656" spans="7:11">
      <c r="G656" s="250"/>
      <c r="H656" s="250"/>
      <c r="I656" s="250"/>
      <c r="J656" s="250"/>
      <c r="K656" s="250"/>
    </row>
    <row r="657" spans="7:11">
      <c r="G657" s="250"/>
      <c r="H657" s="250"/>
      <c r="I657" s="250"/>
      <c r="J657" s="250"/>
      <c r="K657" s="250"/>
    </row>
    <row r="658" spans="7:11">
      <c r="G658" s="250"/>
      <c r="H658" s="250"/>
      <c r="I658" s="250"/>
      <c r="J658" s="250"/>
      <c r="K658" s="250"/>
    </row>
    <row r="659" spans="7:11">
      <c r="G659" s="250"/>
      <c r="H659" s="250"/>
      <c r="I659" s="250"/>
      <c r="J659" s="250"/>
      <c r="K659" s="250"/>
    </row>
    <row r="660" spans="7:11">
      <c r="G660" s="250"/>
      <c r="H660" s="250"/>
      <c r="I660" s="250"/>
      <c r="J660" s="250"/>
      <c r="K660" s="250"/>
    </row>
    <row r="661" spans="7:11">
      <c r="G661" s="250"/>
      <c r="H661" s="250"/>
      <c r="I661" s="250"/>
      <c r="J661" s="250"/>
      <c r="K661" s="250"/>
    </row>
    <row r="662" spans="7:11">
      <c r="G662" s="250"/>
      <c r="H662" s="250"/>
      <c r="I662" s="250"/>
      <c r="J662" s="250"/>
      <c r="K662" s="250"/>
    </row>
    <row r="663" spans="7:11">
      <c r="G663" s="250"/>
      <c r="H663" s="250"/>
      <c r="I663" s="250"/>
      <c r="J663" s="250"/>
      <c r="K663" s="250"/>
    </row>
    <row r="664" spans="7:11">
      <c r="G664" s="250"/>
      <c r="H664" s="250"/>
      <c r="I664" s="250"/>
      <c r="J664" s="250"/>
      <c r="K664" s="250"/>
    </row>
    <row r="665" spans="7:11">
      <c r="G665" s="250"/>
      <c r="H665" s="250"/>
      <c r="I665" s="250"/>
      <c r="J665" s="250"/>
      <c r="K665" s="250"/>
    </row>
    <row r="666" spans="7:11">
      <c r="G666" s="250"/>
      <c r="H666" s="250"/>
      <c r="I666" s="250"/>
      <c r="J666" s="250"/>
      <c r="K666" s="250"/>
    </row>
    <row r="667" spans="7:11">
      <c r="G667" s="250"/>
      <c r="H667" s="250"/>
      <c r="I667" s="250"/>
      <c r="J667" s="250"/>
      <c r="K667" s="250"/>
    </row>
    <row r="668" spans="7:11">
      <c r="G668" s="250"/>
      <c r="H668" s="250"/>
      <c r="I668" s="250"/>
      <c r="J668" s="250"/>
      <c r="K668" s="250"/>
    </row>
    <row r="669" spans="7:11">
      <c r="G669" s="250"/>
      <c r="H669" s="250"/>
      <c r="I669" s="250"/>
      <c r="J669" s="250"/>
      <c r="K669" s="250"/>
    </row>
    <row r="670" spans="7:11">
      <c r="G670" s="250"/>
      <c r="H670" s="250"/>
      <c r="I670" s="250"/>
      <c r="J670" s="250"/>
      <c r="K670" s="250"/>
    </row>
    <row r="671" spans="7:11">
      <c r="G671" s="250"/>
      <c r="H671" s="250"/>
      <c r="I671" s="250"/>
      <c r="J671" s="250"/>
      <c r="K671" s="250"/>
    </row>
    <row r="672" spans="7:11">
      <c r="G672" s="250"/>
      <c r="H672" s="250"/>
      <c r="I672" s="250"/>
      <c r="J672" s="250"/>
      <c r="K672" s="250"/>
    </row>
    <row r="673" spans="7:11">
      <c r="G673" s="250"/>
      <c r="H673" s="250"/>
      <c r="I673" s="250"/>
      <c r="J673" s="250"/>
      <c r="K673" s="250"/>
    </row>
    <row r="674" spans="7:11">
      <c r="G674" s="250"/>
      <c r="H674" s="250"/>
      <c r="I674" s="250"/>
      <c r="J674" s="250"/>
      <c r="K674" s="250"/>
    </row>
    <row r="675" spans="7:11">
      <c r="G675" s="250"/>
      <c r="H675" s="250"/>
      <c r="I675" s="250"/>
      <c r="J675" s="250"/>
      <c r="K675" s="250"/>
    </row>
    <row r="676" spans="7:11">
      <c r="G676" s="250"/>
      <c r="H676" s="250"/>
      <c r="I676" s="250"/>
      <c r="J676" s="250"/>
      <c r="K676" s="250"/>
    </row>
    <row r="677" spans="7:11">
      <c r="G677" s="250"/>
      <c r="H677" s="250"/>
      <c r="I677" s="250"/>
      <c r="J677" s="250"/>
      <c r="K677" s="250"/>
    </row>
    <row r="678" spans="7:11">
      <c r="G678" s="250"/>
      <c r="H678" s="250"/>
      <c r="I678" s="250"/>
      <c r="J678" s="250"/>
      <c r="K678" s="250"/>
    </row>
    <row r="679" spans="7:11">
      <c r="G679" s="250"/>
      <c r="H679" s="250"/>
      <c r="I679" s="250"/>
      <c r="J679" s="250"/>
      <c r="K679" s="250"/>
    </row>
    <row r="680" spans="7:11">
      <c r="G680" s="250"/>
      <c r="H680" s="250"/>
      <c r="I680" s="250"/>
      <c r="J680" s="250"/>
      <c r="K680" s="250"/>
    </row>
    <row r="681" spans="7:11">
      <c r="G681" s="250"/>
      <c r="H681" s="250"/>
      <c r="I681" s="250"/>
      <c r="J681" s="250"/>
      <c r="K681" s="250"/>
    </row>
    <row r="682" spans="7:11">
      <c r="G682" s="250"/>
      <c r="H682" s="250"/>
      <c r="I682" s="250"/>
      <c r="J682" s="250"/>
      <c r="K682" s="250"/>
    </row>
    <row r="683" spans="7:11">
      <c r="G683" s="250"/>
      <c r="H683" s="250"/>
      <c r="I683" s="250"/>
      <c r="J683" s="250"/>
      <c r="K683" s="250"/>
    </row>
    <row r="684" spans="7:11">
      <c r="G684" s="250"/>
      <c r="H684" s="250"/>
      <c r="I684" s="250"/>
      <c r="J684" s="250"/>
      <c r="K684" s="250"/>
    </row>
    <row r="685" spans="7:11">
      <c r="G685" s="250"/>
      <c r="H685" s="250"/>
      <c r="I685" s="250"/>
      <c r="J685" s="250"/>
      <c r="K685" s="250"/>
    </row>
    <row r="686" spans="7:11">
      <c r="G686" s="250"/>
      <c r="H686" s="250"/>
      <c r="I686" s="250"/>
      <c r="J686" s="250"/>
      <c r="K686" s="250"/>
    </row>
    <row r="687" spans="7:11">
      <c r="G687" s="250"/>
      <c r="H687" s="250"/>
      <c r="I687" s="250"/>
      <c r="J687" s="250"/>
      <c r="K687" s="250"/>
    </row>
    <row r="688" spans="7:11">
      <c r="G688" s="250"/>
      <c r="H688" s="250"/>
      <c r="I688" s="250"/>
      <c r="J688" s="250"/>
      <c r="K688" s="250"/>
    </row>
    <row r="689" spans="7:11">
      <c r="G689" s="250"/>
      <c r="H689" s="250"/>
      <c r="I689" s="250"/>
      <c r="J689" s="250"/>
      <c r="K689" s="250"/>
    </row>
    <row r="690" spans="7:11">
      <c r="G690" s="250"/>
      <c r="H690" s="250"/>
      <c r="I690" s="250"/>
      <c r="J690" s="250"/>
      <c r="K690" s="250"/>
    </row>
    <row r="691" spans="7:11">
      <c r="G691" s="250"/>
      <c r="H691" s="250"/>
      <c r="I691" s="250"/>
      <c r="J691" s="250"/>
      <c r="K691" s="250"/>
    </row>
    <row r="692" spans="7:11">
      <c r="G692" s="250"/>
      <c r="H692" s="250"/>
      <c r="I692" s="250"/>
      <c r="J692" s="250"/>
      <c r="K692" s="250"/>
    </row>
    <row r="693" spans="7:11">
      <c r="G693" s="250"/>
      <c r="H693" s="250"/>
      <c r="I693" s="250"/>
      <c r="J693" s="250"/>
      <c r="K693" s="250"/>
    </row>
    <row r="694" spans="7:11">
      <c r="G694" s="250"/>
      <c r="H694" s="250"/>
      <c r="I694" s="250"/>
      <c r="J694" s="250"/>
      <c r="K694" s="250"/>
    </row>
    <row r="695" spans="7:11">
      <c r="G695" s="250"/>
      <c r="H695" s="250"/>
      <c r="I695" s="250"/>
      <c r="J695" s="250"/>
      <c r="K695" s="250"/>
    </row>
    <row r="696" spans="7:11">
      <c r="G696" s="250"/>
      <c r="H696" s="250"/>
      <c r="I696" s="250"/>
      <c r="J696" s="250"/>
      <c r="K696" s="250"/>
    </row>
    <row r="697" spans="7:11">
      <c r="G697" s="250"/>
      <c r="H697" s="250"/>
      <c r="I697" s="250"/>
      <c r="J697" s="250"/>
      <c r="K697" s="250"/>
    </row>
    <row r="698" spans="7:11">
      <c r="G698" s="250"/>
      <c r="H698" s="250"/>
      <c r="I698" s="250"/>
      <c r="J698" s="250"/>
      <c r="K698" s="250"/>
    </row>
    <row r="699" spans="7:11">
      <c r="G699" s="250"/>
      <c r="H699" s="250"/>
      <c r="I699" s="250"/>
      <c r="J699" s="250"/>
      <c r="K699" s="250"/>
    </row>
    <row r="700" spans="7:11">
      <c r="G700" s="250"/>
      <c r="H700" s="250"/>
      <c r="I700" s="250"/>
      <c r="J700" s="250"/>
      <c r="K700" s="250"/>
    </row>
    <row r="701" spans="7:11">
      <c r="G701" s="250"/>
      <c r="H701" s="250"/>
      <c r="I701" s="250"/>
      <c r="J701" s="250"/>
      <c r="K701" s="250"/>
    </row>
    <row r="702" spans="7:11">
      <c r="G702" s="250"/>
      <c r="H702" s="250"/>
      <c r="I702" s="250"/>
      <c r="J702" s="250"/>
      <c r="K702" s="250"/>
    </row>
    <row r="703" spans="7:11">
      <c r="G703" s="250"/>
      <c r="H703" s="250"/>
      <c r="I703" s="250"/>
      <c r="J703" s="250"/>
      <c r="K703" s="250"/>
    </row>
    <row r="704" spans="7:11">
      <c r="G704" s="250"/>
      <c r="H704" s="250"/>
      <c r="I704" s="250"/>
      <c r="J704" s="250"/>
      <c r="K704" s="250"/>
    </row>
    <row r="705" spans="7:11">
      <c r="G705" s="250"/>
      <c r="H705" s="250"/>
      <c r="I705" s="250"/>
      <c r="J705" s="250"/>
      <c r="K705" s="250"/>
    </row>
    <row r="706" spans="7:11">
      <c r="G706" s="250"/>
      <c r="H706" s="250"/>
      <c r="I706" s="250"/>
      <c r="J706" s="250"/>
      <c r="K706" s="250"/>
    </row>
    <row r="707" spans="7:11">
      <c r="G707" s="250"/>
      <c r="H707" s="250"/>
      <c r="I707" s="250"/>
      <c r="J707" s="250"/>
      <c r="K707" s="250"/>
    </row>
    <row r="708" spans="7:11">
      <c r="G708" s="250"/>
      <c r="H708" s="250"/>
      <c r="I708" s="250"/>
      <c r="J708" s="250"/>
      <c r="K708" s="250"/>
    </row>
    <row r="709" spans="7:11">
      <c r="G709" s="250"/>
      <c r="H709" s="250"/>
      <c r="I709" s="250"/>
      <c r="J709" s="250"/>
      <c r="K709" s="250"/>
    </row>
    <row r="710" spans="7:11">
      <c r="G710" s="250"/>
      <c r="H710" s="250"/>
      <c r="I710" s="250"/>
      <c r="J710" s="250"/>
      <c r="K710" s="250"/>
    </row>
    <row r="711" spans="7:11">
      <c r="G711" s="250"/>
      <c r="H711" s="250"/>
      <c r="I711" s="250"/>
      <c r="J711" s="250"/>
      <c r="K711" s="250"/>
    </row>
    <row r="712" spans="7:11">
      <c r="G712" s="250"/>
      <c r="H712" s="250"/>
      <c r="I712" s="250"/>
      <c r="J712" s="250"/>
      <c r="K712" s="250"/>
    </row>
    <row r="713" spans="7:11">
      <c r="G713" s="250"/>
      <c r="H713" s="250"/>
      <c r="I713" s="250"/>
      <c r="J713" s="250"/>
      <c r="K713" s="250"/>
    </row>
    <row r="714" spans="7:11">
      <c r="G714" s="250"/>
      <c r="H714" s="250"/>
      <c r="I714" s="250"/>
      <c r="J714" s="250"/>
      <c r="K714" s="250"/>
    </row>
    <row r="715" spans="7:11">
      <c r="G715" s="250"/>
      <c r="H715" s="250"/>
      <c r="I715" s="250"/>
      <c r="J715" s="250"/>
      <c r="K715" s="250"/>
    </row>
    <row r="716" spans="7:11">
      <c r="G716" s="250"/>
      <c r="H716" s="250"/>
      <c r="I716" s="250"/>
      <c r="J716" s="250"/>
      <c r="K716" s="250"/>
    </row>
    <row r="717" spans="7:11">
      <c r="G717" s="250"/>
      <c r="H717" s="250"/>
      <c r="I717" s="250"/>
      <c r="J717" s="250"/>
      <c r="K717" s="250"/>
    </row>
    <row r="718" spans="7:11">
      <c r="G718" s="250"/>
      <c r="H718" s="250"/>
      <c r="I718" s="250"/>
      <c r="J718" s="250"/>
      <c r="K718" s="250"/>
    </row>
    <row r="719" spans="7:11">
      <c r="G719" s="250"/>
      <c r="H719" s="250"/>
      <c r="I719" s="250"/>
      <c r="J719" s="250"/>
      <c r="K719" s="250"/>
    </row>
    <row r="720" spans="7:11">
      <c r="G720" s="250"/>
      <c r="H720" s="250"/>
      <c r="I720" s="250"/>
      <c r="J720" s="250"/>
      <c r="K720" s="250"/>
    </row>
    <row r="721" spans="7:11">
      <c r="G721" s="250"/>
      <c r="H721" s="250"/>
      <c r="I721" s="250"/>
      <c r="J721" s="250"/>
      <c r="K721" s="250"/>
    </row>
    <row r="722" spans="7:11">
      <c r="G722" s="250"/>
      <c r="H722" s="250"/>
      <c r="I722" s="250"/>
      <c r="J722" s="250"/>
      <c r="K722" s="250"/>
    </row>
    <row r="723" spans="7:11">
      <c r="G723" s="250"/>
      <c r="H723" s="250"/>
      <c r="I723" s="250"/>
      <c r="J723" s="250"/>
      <c r="K723" s="250"/>
    </row>
    <row r="724" spans="7:11">
      <c r="G724" s="250"/>
      <c r="H724" s="250"/>
      <c r="I724" s="250"/>
      <c r="J724" s="250"/>
      <c r="K724" s="250"/>
    </row>
    <row r="725" spans="7:11">
      <c r="G725" s="250"/>
      <c r="H725" s="250"/>
      <c r="I725" s="250"/>
      <c r="J725" s="250"/>
      <c r="K725" s="250"/>
    </row>
    <row r="726" spans="7:11">
      <c r="G726" s="250"/>
      <c r="H726" s="250"/>
      <c r="I726" s="250"/>
      <c r="J726" s="250"/>
      <c r="K726" s="250"/>
    </row>
    <row r="727" spans="7:11">
      <c r="G727" s="250"/>
      <c r="H727" s="250"/>
      <c r="I727" s="250"/>
      <c r="J727" s="250"/>
      <c r="K727" s="250"/>
    </row>
    <row r="728" spans="7:11">
      <c r="G728" s="250"/>
      <c r="H728" s="250"/>
      <c r="I728" s="250"/>
      <c r="J728" s="250"/>
      <c r="K728" s="250"/>
    </row>
    <row r="729" spans="7:11">
      <c r="G729" s="250"/>
      <c r="H729" s="250"/>
      <c r="I729" s="250"/>
      <c r="J729" s="250"/>
      <c r="K729" s="250"/>
    </row>
    <row r="730" spans="7:11">
      <c r="G730" s="250"/>
      <c r="H730" s="250"/>
      <c r="I730" s="250"/>
      <c r="J730" s="250"/>
      <c r="K730" s="250"/>
    </row>
    <row r="731" spans="7:11">
      <c r="G731" s="250"/>
      <c r="H731" s="250"/>
      <c r="I731" s="250"/>
      <c r="J731" s="250"/>
      <c r="K731" s="250"/>
    </row>
    <row r="732" spans="7:11">
      <c r="G732" s="250"/>
      <c r="H732" s="250"/>
      <c r="I732" s="250"/>
      <c r="J732" s="250"/>
      <c r="K732" s="250"/>
    </row>
    <row r="733" spans="7:11">
      <c r="G733" s="250"/>
      <c r="H733" s="250"/>
      <c r="I733" s="250"/>
      <c r="J733" s="250"/>
      <c r="K733" s="250"/>
    </row>
    <row r="734" spans="7:11">
      <c r="G734" s="250"/>
      <c r="H734" s="250"/>
      <c r="I734" s="250"/>
      <c r="J734" s="250"/>
      <c r="K734" s="250"/>
    </row>
    <row r="735" spans="7:11">
      <c r="G735" s="250"/>
      <c r="H735" s="250"/>
      <c r="I735" s="250"/>
      <c r="J735" s="250"/>
      <c r="K735" s="250"/>
    </row>
    <row r="736" spans="7:11">
      <c r="G736" s="250"/>
      <c r="H736" s="250"/>
      <c r="I736" s="250"/>
      <c r="J736" s="250"/>
      <c r="K736" s="250"/>
    </row>
    <row r="737" spans="7:11">
      <c r="G737" s="250"/>
      <c r="H737" s="250"/>
      <c r="I737" s="250"/>
      <c r="J737" s="250"/>
      <c r="K737" s="250"/>
    </row>
    <row r="738" spans="7:11">
      <c r="G738" s="250"/>
      <c r="H738" s="250"/>
      <c r="I738" s="250"/>
      <c r="J738" s="250"/>
      <c r="K738" s="250"/>
    </row>
    <row r="739" spans="7:11">
      <c r="G739" s="250"/>
      <c r="H739" s="250"/>
      <c r="I739" s="250"/>
      <c r="J739" s="250"/>
      <c r="K739" s="250"/>
    </row>
    <row r="740" spans="7:11">
      <c r="G740" s="250"/>
      <c r="H740" s="250"/>
      <c r="I740" s="250"/>
      <c r="J740" s="250"/>
      <c r="K740" s="250"/>
    </row>
    <row r="741" spans="7:11">
      <c r="G741" s="250"/>
      <c r="H741" s="250"/>
      <c r="I741" s="250"/>
      <c r="J741" s="250"/>
      <c r="K741" s="250"/>
    </row>
    <row r="742" spans="7:11">
      <c r="G742" s="250"/>
      <c r="H742" s="250"/>
      <c r="I742" s="250"/>
      <c r="J742" s="250"/>
      <c r="K742" s="250"/>
    </row>
    <row r="743" spans="7:11">
      <c r="G743" s="250"/>
      <c r="H743" s="250"/>
      <c r="I743" s="250"/>
      <c r="J743" s="250"/>
      <c r="K743" s="250"/>
    </row>
    <row r="744" spans="7:11">
      <c r="I744" s="250"/>
      <c r="J744" s="250"/>
      <c r="K744" s="250"/>
    </row>
  </sheetData>
  <sheetProtection password="D64E"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7"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7" customWidth="1"/>
    <col min="9" max="9" width="10.42578125" style="31" bestFit="1" customWidth="1"/>
    <col min="10" max="10" width="12.28515625" style="31" customWidth="1"/>
    <col min="11" max="11" width="10.7109375" style="31" customWidth="1"/>
    <col min="12" max="16384" width="8.85546875" style="31"/>
  </cols>
  <sheetData>
    <row r="1" spans="1:17" s="212" customFormat="1" ht="16.149999999999999" customHeight="1">
      <c r="A1" s="919" t="str">
        <f>CONCATENATE("PART III C  - HUD INSURED LOAN","  -  ",'Part I-Project Information'!$O$4," ",'Part I-Project Information'!$F$23,", ",'Part I-Project Information'!$F$26,", ",'Part I-Project Information'!$J$27," County")</f>
        <v>PART III C  - HUD INSURED LOAN  -  2013-011 Mountain View Senior Residences, Stone Mountain, DeKalb County</v>
      </c>
      <c r="B1" s="920"/>
      <c r="C1" s="920"/>
      <c r="D1" s="920"/>
      <c r="E1" s="920"/>
      <c r="F1" s="921"/>
      <c r="G1" s="208"/>
      <c r="H1" s="208"/>
      <c r="I1" s="208"/>
      <c r="J1" s="208"/>
      <c r="K1" s="208"/>
      <c r="L1" s="208"/>
      <c r="M1" s="208"/>
      <c r="N1" s="208"/>
      <c r="O1" s="208"/>
      <c r="P1" s="208"/>
      <c r="Q1" s="208"/>
    </row>
    <row r="2" spans="1:17">
      <c r="A2" s="16"/>
      <c r="B2" s="235"/>
      <c r="C2" s="235"/>
      <c r="D2" s="235"/>
    </row>
    <row r="3" spans="1:17" ht="15.6" customHeight="1">
      <c r="A3" s="928" t="s">
        <v>236</v>
      </c>
      <c r="B3" s="928"/>
      <c r="C3" s="928"/>
      <c r="D3" s="928"/>
      <c r="E3" s="928"/>
      <c r="F3" s="928"/>
      <c r="G3" s="286"/>
      <c r="H3" s="286"/>
    </row>
    <row r="4" spans="1:17">
      <c r="A4" s="16"/>
      <c r="B4" s="235"/>
      <c r="C4" s="235"/>
      <c r="D4" s="235"/>
    </row>
    <row r="5" spans="1:17" ht="13.15" customHeight="1">
      <c r="A5" s="31" t="s">
        <v>2982</v>
      </c>
      <c r="D5" s="278"/>
      <c r="E5" s="931" t="s">
        <v>1353</v>
      </c>
      <c r="F5" s="932"/>
      <c r="G5" s="197"/>
    </row>
    <row r="6" spans="1:17">
      <c r="E6" s="932"/>
      <c r="F6" s="932"/>
      <c r="G6" s="197"/>
    </row>
    <row r="7" spans="1:17">
      <c r="A7" s="31" t="s">
        <v>3244</v>
      </c>
      <c r="C7" s="31" t="s">
        <v>3245</v>
      </c>
      <c r="D7" s="279"/>
      <c r="E7" s="932"/>
      <c r="F7" s="932"/>
      <c r="G7" s="197"/>
    </row>
    <row r="8" spans="1:17">
      <c r="C8" s="31" t="s">
        <v>3246</v>
      </c>
      <c r="D8" s="279"/>
      <c r="E8" s="932"/>
      <c r="F8" s="932"/>
      <c r="G8" s="197"/>
    </row>
    <row r="9" spans="1:17">
      <c r="C9" s="31" t="s">
        <v>3247</v>
      </c>
      <c r="D9" s="279"/>
      <c r="E9" s="932"/>
      <c r="F9" s="932"/>
      <c r="G9" s="197"/>
    </row>
    <row r="10" spans="1:17">
      <c r="C10" s="31" t="s">
        <v>3260</v>
      </c>
      <c r="D10" s="287">
        <f>D7+D8+D9</f>
        <v>0</v>
      </c>
      <c r="E10" s="932"/>
      <c r="F10" s="932"/>
      <c r="G10" s="197"/>
    </row>
    <row r="11" spans="1:17">
      <c r="F11" s="197"/>
      <c r="G11" s="197"/>
    </row>
    <row r="12" spans="1:17">
      <c r="A12" s="31" t="s">
        <v>2408</v>
      </c>
      <c r="D12" s="277"/>
      <c r="E12" s="31" t="s">
        <v>2849</v>
      </c>
      <c r="F12" s="197"/>
      <c r="G12" s="197"/>
    </row>
    <row r="13" spans="1:17">
      <c r="D13" s="245"/>
      <c r="F13" s="197"/>
      <c r="G13" s="197"/>
    </row>
    <row r="14" spans="1:17">
      <c r="A14" s="31" t="s">
        <v>3249</v>
      </c>
      <c r="D14" s="276"/>
      <c r="E14" s="31" t="s">
        <v>3250</v>
      </c>
      <c r="F14" s="288"/>
    </row>
    <row r="15" spans="1:17">
      <c r="D15" s="265"/>
      <c r="F15" s="288"/>
    </row>
    <row r="16" spans="1:17">
      <c r="A16" s="31" t="s">
        <v>3251</v>
      </c>
      <c r="D16" s="276"/>
      <c r="E16" s="31" t="s">
        <v>3250</v>
      </c>
      <c r="F16" s="288"/>
    </row>
    <row r="17" spans="1:10">
      <c r="D17" s="245"/>
      <c r="F17" s="288"/>
    </row>
    <row r="18" spans="1:10">
      <c r="A18" s="31" t="s">
        <v>1326</v>
      </c>
      <c r="D18" s="289" t="e">
        <f>PMT(D10/12,D16*12,-D5,0,0)*12</f>
        <v>#NUM!</v>
      </c>
      <c r="E18" s="31" t="s">
        <v>1953</v>
      </c>
      <c r="F18" s="288"/>
    </row>
    <row r="19" spans="1:10">
      <c r="D19" s="245"/>
      <c r="F19" s="288"/>
    </row>
    <row r="20" spans="1:10">
      <c r="A20" s="31" t="s">
        <v>1954</v>
      </c>
      <c r="D20" s="245" t="e">
        <f>D18/12</f>
        <v>#NUM!</v>
      </c>
      <c r="E20" s="31" t="s">
        <v>1953</v>
      </c>
      <c r="F20" s="288"/>
    </row>
    <row r="24" spans="1:10" ht="18" customHeight="1">
      <c r="A24" s="929" t="s">
        <v>2409</v>
      </c>
      <c r="B24" s="929"/>
      <c r="C24" s="929"/>
      <c r="D24" s="929"/>
      <c r="E24" s="929"/>
      <c r="F24" s="929"/>
      <c r="J24" s="290"/>
    </row>
    <row r="25" spans="1:10">
      <c r="C25" s="245"/>
      <c r="J25" s="290"/>
    </row>
    <row r="26" spans="1:10">
      <c r="A26" s="125"/>
      <c r="B26" s="97"/>
      <c r="C26" s="933" t="s">
        <v>2981</v>
      </c>
      <c r="D26" s="285"/>
      <c r="E26" s="97"/>
      <c r="F26" s="933" t="s">
        <v>2981</v>
      </c>
      <c r="J26" s="290"/>
    </row>
    <row r="27" spans="1:10">
      <c r="A27" s="291" t="s">
        <v>3261</v>
      </c>
      <c r="B27" s="86" t="s">
        <v>1429</v>
      </c>
      <c r="C27" s="934"/>
      <c r="D27" s="292" t="s">
        <v>3261</v>
      </c>
      <c r="E27" s="86" t="s">
        <v>1429</v>
      </c>
      <c r="F27" s="934"/>
      <c r="J27" s="290"/>
    </row>
    <row r="28" spans="1:10">
      <c r="A28" s="293">
        <v>1</v>
      </c>
      <c r="B28" s="328">
        <f>IF(A28&gt;D14,0,E55*$D$12)</f>
        <v>0</v>
      </c>
      <c r="C28" s="328">
        <f>IF(A28&gt;$D$14,0,$D$18+B28)</f>
        <v>0</v>
      </c>
      <c r="D28" s="294">
        <v>21</v>
      </c>
      <c r="E28" s="328">
        <f>IF(D28&gt;$D$14,0,E295*$D$12)</f>
        <v>0</v>
      </c>
      <c r="F28" s="328">
        <f>IF(D28&gt;$D$14,0,$D$18+E28)</f>
        <v>0</v>
      </c>
      <c r="J28" s="290"/>
    </row>
    <row r="29" spans="1:10">
      <c r="A29" s="293">
        <v>2</v>
      </c>
      <c r="B29" s="329">
        <f>IF(A29&gt;D14,0,E67*$D$12)</f>
        <v>0</v>
      </c>
      <c r="C29" s="328">
        <f t="shared" ref="C29:C47" si="0">IF(A29&gt;$D$14,0,$D$18+B29)</f>
        <v>0</v>
      </c>
      <c r="D29" s="294">
        <v>22</v>
      </c>
      <c r="E29" s="328">
        <f>IF(D29&gt;$D$14,0,E307*$D$12)</f>
        <v>0</v>
      </c>
      <c r="F29" s="328">
        <f t="shared" ref="F29:F47" si="1">IF(D29&gt;$D$14,0,$D$18+E29)</f>
        <v>0</v>
      </c>
      <c r="J29" s="290"/>
    </row>
    <row r="30" spans="1:10">
      <c r="A30" s="293">
        <v>3</v>
      </c>
      <c r="B30" s="328">
        <f>IF(A30&gt;D14,0,E79*$D$12)</f>
        <v>0</v>
      </c>
      <c r="C30" s="328">
        <f t="shared" si="0"/>
        <v>0</v>
      </c>
      <c r="D30" s="294">
        <v>23</v>
      </c>
      <c r="E30" s="328">
        <f>IF(D30&gt;$D$14,0,E319*$D$12)</f>
        <v>0</v>
      </c>
      <c r="F30" s="328">
        <f t="shared" si="1"/>
        <v>0</v>
      </c>
      <c r="J30" s="290"/>
    </row>
    <row r="31" spans="1:10">
      <c r="A31" s="293">
        <v>4</v>
      </c>
      <c r="B31" s="328">
        <f>IF(A31&gt;D14,0,E91*$D$12)</f>
        <v>0</v>
      </c>
      <c r="C31" s="328">
        <f t="shared" si="0"/>
        <v>0</v>
      </c>
      <c r="D31" s="294">
        <v>24</v>
      </c>
      <c r="E31" s="328">
        <f>IF(D31&gt;$D$14,0,E331*$D$12)</f>
        <v>0</v>
      </c>
      <c r="F31" s="328">
        <f t="shared" si="1"/>
        <v>0</v>
      </c>
      <c r="J31" s="290"/>
    </row>
    <row r="32" spans="1:10">
      <c r="A32" s="293">
        <v>5</v>
      </c>
      <c r="B32" s="328">
        <f>IF(A32&gt;D14,0,E103*$D$12)</f>
        <v>0</v>
      </c>
      <c r="C32" s="330">
        <f t="shared" si="0"/>
        <v>0</v>
      </c>
      <c r="D32" s="294">
        <v>25</v>
      </c>
      <c r="E32" s="328">
        <f>IF(D32&gt;$D$14,0,E343*$D$12)</f>
        <v>0</v>
      </c>
      <c r="F32" s="330">
        <f t="shared" si="1"/>
        <v>0</v>
      </c>
      <c r="J32" s="290"/>
    </row>
    <row r="33" spans="1:10">
      <c r="A33" s="295">
        <v>6</v>
      </c>
      <c r="B33" s="331">
        <f>IF(A33&gt;D14,0,E115*$D$12)</f>
        <v>0</v>
      </c>
      <c r="C33" s="328">
        <f t="shared" si="0"/>
        <v>0</v>
      </c>
      <c r="D33" s="296">
        <v>26</v>
      </c>
      <c r="E33" s="331">
        <f>IF(D33&gt;$D$14,0,E355*$D$12)</f>
        <v>0</v>
      </c>
      <c r="F33" s="328">
        <f t="shared" si="1"/>
        <v>0</v>
      </c>
      <c r="J33" s="290"/>
    </row>
    <row r="34" spans="1:10">
      <c r="A34" s="297">
        <v>7</v>
      </c>
      <c r="B34" s="332">
        <f>IF(A34&gt;D14,0,E127*$D$12)</f>
        <v>0</v>
      </c>
      <c r="C34" s="328">
        <f t="shared" si="0"/>
        <v>0</v>
      </c>
      <c r="D34" s="294">
        <v>27</v>
      </c>
      <c r="E34" s="332">
        <f>IF(D34&gt;$D$14,0,E367*$D$12)</f>
        <v>0</v>
      </c>
      <c r="F34" s="328">
        <f t="shared" si="1"/>
        <v>0</v>
      </c>
      <c r="J34" s="290"/>
    </row>
    <row r="35" spans="1:10">
      <c r="A35" s="297">
        <v>8</v>
      </c>
      <c r="B35" s="332">
        <f>IF(A35&gt;D14,0,E139*$D$12)</f>
        <v>0</v>
      </c>
      <c r="C35" s="328">
        <f t="shared" si="0"/>
        <v>0</v>
      </c>
      <c r="D35" s="294">
        <v>28</v>
      </c>
      <c r="E35" s="332">
        <f>IF(D35&gt;$D$14,0,E379*$D$12)</f>
        <v>0</v>
      </c>
      <c r="F35" s="328">
        <f t="shared" si="1"/>
        <v>0</v>
      </c>
      <c r="J35" s="290"/>
    </row>
    <row r="36" spans="1:10">
      <c r="A36" s="297">
        <v>9</v>
      </c>
      <c r="B36" s="332">
        <f>IF(A36&gt;D14,0,E151*$D$12)</f>
        <v>0</v>
      </c>
      <c r="C36" s="328">
        <f t="shared" si="0"/>
        <v>0</v>
      </c>
      <c r="D36" s="294">
        <v>29</v>
      </c>
      <c r="E36" s="332">
        <f>IF(D36&gt;$D$14,0,E391*$D$12)</f>
        <v>0</v>
      </c>
      <c r="F36" s="328">
        <f t="shared" si="1"/>
        <v>0</v>
      </c>
      <c r="J36" s="290"/>
    </row>
    <row r="37" spans="1:10">
      <c r="A37" s="298">
        <v>10</v>
      </c>
      <c r="B37" s="330">
        <f>IF(A37&gt;D14,0,E163*$D$12)</f>
        <v>0</v>
      </c>
      <c r="C37" s="330">
        <f t="shared" si="0"/>
        <v>0</v>
      </c>
      <c r="D37" s="299">
        <v>30</v>
      </c>
      <c r="E37" s="330">
        <f>IF(D37&gt;$D$14,0,E403*$D$12)</f>
        <v>0</v>
      </c>
      <c r="F37" s="330">
        <f t="shared" si="1"/>
        <v>0</v>
      </c>
      <c r="J37" s="290"/>
    </row>
    <row r="38" spans="1:10">
      <c r="A38" s="300">
        <v>11</v>
      </c>
      <c r="B38" s="328">
        <f>IF(A38&gt;D14,0,E175*$D$12)</f>
        <v>0</v>
      </c>
      <c r="C38" s="328">
        <f t="shared" si="0"/>
        <v>0</v>
      </c>
      <c r="D38" s="294">
        <v>31</v>
      </c>
      <c r="E38" s="328">
        <f>IF(D38&gt;$D$14,0,E415*$D$12)</f>
        <v>0</v>
      </c>
      <c r="F38" s="328">
        <f t="shared" si="1"/>
        <v>0</v>
      </c>
      <c r="J38" s="290"/>
    </row>
    <row r="39" spans="1:10">
      <c r="A39" s="300">
        <v>12</v>
      </c>
      <c r="B39" s="328">
        <f>IF(A39&gt;D14,0,E187*$D$12)</f>
        <v>0</v>
      </c>
      <c r="C39" s="328">
        <f t="shared" si="0"/>
        <v>0</v>
      </c>
      <c r="D39" s="294">
        <v>32</v>
      </c>
      <c r="E39" s="328">
        <f>IF(D39&gt;$D$14,0,E427*$D$12)</f>
        <v>0</v>
      </c>
      <c r="F39" s="328">
        <f t="shared" si="1"/>
        <v>0</v>
      </c>
      <c r="J39" s="290"/>
    </row>
    <row r="40" spans="1:10">
      <c r="A40" s="300">
        <v>13</v>
      </c>
      <c r="B40" s="328">
        <f>IF(A40&gt;D14,0,E199*$D$12)</f>
        <v>0</v>
      </c>
      <c r="C40" s="328">
        <f t="shared" si="0"/>
        <v>0</v>
      </c>
      <c r="D40" s="294">
        <v>33</v>
      </c>
      <c r="E40" s="328">
        <f>IF(D40&gt;$D$14,0,E439*$D$12)</f>
        <v>0</v>
      </c>
      <c r="F40" s="328">
        <f t="shared" si="1"/>
        <v>0</v>
      </c>
      <c r="J40" s="290"/>
    </row>
    <row r="41" spans="1:10">
      <c r="A41" s="300">
        <v>14</v>
      </c>
      <c r="B41" s="328">
        <f>IF(A41&gt;D14,0,E211*$D$12)</f>
        <v>0</v>
      </c>
      <c r="C41" s="328">
        <f t="shared" si="0"/>
        <v>0</v>
      </c>
      <c r="D41" s="294">
        <v>34</v>
      </c>
      <c r="E41" s="328">
        <f>IF(D41&gt;$D$14,0,E451*$D$12)</f>
        <v>0</v>
      </c>
      <c r="F41" s="328">
        <f t="shared" si="1"/>
        <v>0</v>
      </c>
      <c r="J41" s="290"/>
    </row>
    <row r="42" spans="1:10">
      <c r="A42" s="300">
        <v>15</v>
      </c>
      <c r="B42" s="328">
        <f>IF(A42&gt;D14,0,E223*$D$12)</f>
        <v>0</v>
      </c>
      <c r="C42" s="330">
        <f t="shared" si="0"/>
        <v>0</v>
      </c>
      <c r="D42" s="294">
        <v>35</v>
      </c>
      <c r="E42" s="328">
        <f>IF(D42&gt;$D$14,0,E463*$D$12)</f>
        <v>0</v>
      </c>
      <c r="F42" s="330">
        <f t="shared" si="1"/>
        <v>0</v>
      </c>
      <c r="J42" s="290"/>
    </row>
    <row r="43" spans="1:10">
      <c r="A43" s="301">
        <v>16</v>
      </c>
      <c r="B43" s="331">
        <f>IF(A43&gt;D14,0,E235*$D$12)</f>
        <v>0</v>
      </c>
      <c r="C43" s="328">
        <f t="shared" si="0"/>
        <v>0</v>
      </c>
      <c r="D43" s="296">
        <v>36</v>
      </c>
      <c r="E43" s="331">
        <f>IF(D43&gt;$D$14,0,E475*$D$12)</f>
        <v>0</v>
      </c>
      <c r="F43" s="328">
        <f t="shared" si="1"/>
        <v>0</v>
      </c>
      <c r="J43" s="290"/>
    </row>
    <row r="44" spans="1:10">
      <c r="A44" s="297">
        <v>17</v>
      </c>
      <c r="B44" s="332">
        <f>IF(A44&gt;D14,0,E247*$D$12)</f>
        <v>0</v>
      </c>
      <c r="C44" s="328">
        <f t="shared" si="0"/>
        <v>0</v>
      </c>
      <c r="D44" s="294">
        <v>37</v>
      </c>
      <c r="E44" s="332">
        <f>IF(D44&gt;$D$14,0,E487*$D$12)</f>
        <v>0</v>
      </c>
      <c r="F44" s="328">
        <f t="shared" si="1"/>
        <v>0</v>
      </c>
      <c r="J44" s="290"/>
    </row>
    <row r="45" spans="1:10">
      <c r="A45" s="297">
        <v>18</v>
      </c>
      <c r="B45" s="332">
        <f>IF(A45&gt;D14,0,E259*$D$12)</f>
        <v>0</v>
      </c>
      <c r="C45" s="328">
        <f t="shared" si="0"/>
        <v>0</v>
      </c>
      <c r="D45" s="294">
        <v>38</v>
      </c>
      <c r="E45" s="332">
        <f>IF(D45&gt;$D$14,0,E499*$D$12)</f>
        <v>0</v>
      </c>
      <c r="F45" s="328">
        <f t="shared" si="1"/>
        <v>0</v>
      </c>
      <c r="J45" s="290"/>
    </row>
    <row r="46" spans="1:10">
      <c r="A46" s="297">
        <v>19</v>
      </c>
      <c r="B46" s="332">
        <f>IF(A46&gt;D14,0,E271*$D$12)</f>
        <v>0</v>
      </c>
      <c r="C46" s="328">
        <f t="shared" si="0"/>
        <v>0</v>
      </c>
      <c r="D46" s="294">
        <v>39</v>
      </c>
      <c r="E46" s="332">
        <f>IF(D46&gt;$D$14,0,E511*$D$12)</f>
        <v>0</v>
      </c>
      <c r="F46" s="328">
        <f t="shared" si="1"/>
        <v>0</v>
      </c>
      <c r="J46" s="290"/>
    </row>
    <row r="47" spans="1:10">
      <c r="A47" s="298">
        <v>20</v>
      </c>
      <c r="B47" s="330">
        <f>IF(A47&gt;D14,0,E283*$D$12)</f>
        <v>0</v>
      </c>
      <c r="C47" s="330">
        <f t="shared" si="0"/>
        <v>0</v>
      </c>
      <c r="D47" s="299">
        <v>40</v>
      </c>
      <c r="E47" s="330">
        <f>IF(D47&gt;$D$14,0,E523*$D$12)</f>
        <v>0</v>
      </c>
      <c r="F47" s="330">
        <f t="shared" si="1"/>
        <v>0</v>
      </c>
      <c r="J47" s="290"/>
    </row>
    <row r="48" spans="1:10">
      <c r="C48" s="245"/>
      <c r="J48" s="290"/>
    </row>
    <row r="49" spans="1:10">
      <c r="C49" s="245"/>
      <c r="J49" s="290"/>
    </row>
    <row r="50" spans="1:10" ht="13.9" customHeight="1">
      <c r="A50" s="926" t="str">
        <f>CONCATENATE('Part I-Project Information'!$O$4," ",'Part I-Project Information'!$F$23,", ",'Part I-Project Information'!$F$26,", ",'Part I-Project Information'!$J$27," County")</f>
        <v>2013-011 Mountain View Senior Residences, Stone Mountain, DeKalb County</v>
      </c>
      <c r="B50" s="926"/>
      <c r="C50" s="926"/>
      <c r="D50" s="926"/>
      <c r="E50" s="926"/>
      <c r="F50" s="926"/>
      <c r="G50" s="272"/>
      <c r="H50" s="272"/>
    </row>
    <row r="51" spans="1:10" ht="15">
      <c r="A51" s="927" t="s">
        <v>3252</v>
      </c>
      <c r="B51" s="927"/>
      <c r="C51" s="927"/>
      <c r="D51" s="927"/>
      <c r="E51" s="927"/>
      <c r="F51" s="927"/>
      <c r="G51" s="302"/>
      <c r="H51" s="302"/>
      <c r="I51" s="302"/>
      <c r="J51" s="302"/>
    </row>
    <row r="52" spans="1:10" ht="5.45" customHeight="1">
      <c r="C52" s="245"/>
      <c r="D52" s="245"/>
      <c r="G52" s="250"/>
      <c r="H52" s="244"/>
      <c r="I52" s="250"/>
    </row>
    <row r="53" spans="1:10">
      <c r="A53" s="248" t="s">
        <v>3253</v>
      </c>
      <c r="B53" s="248" t="s">
        <v>3254</v>
      </c>
      <c r="C53" s="248" t="s">
        <v>1728</v>
      </c>
      <c r="D53" s="248" t="s">
        <v>3255</v>
      </c>
      <c r="E53" s="248" t="s">
        <v>3256</v>
      </c>
      <c r="F53" s="280" t="s">
        <v>3261</v>
      </c>
      <c r="G53" s="303"/>
      <c r="H53" s="303"/>
      <c r="I53" s="303"/>
    </row>
    <row r="54" spans="1:10" ht="3.6" customHeight="1">
      <c r="F54" s="97"/>
      <c r="G54" s="250"/>
      <c r="H54" s="244"/>
      <c r="I54" s="250"/>
    </row>
    <row r="55" spans="1:10">
      <c r="A55" s="31" t="s">
        <v>3257</v>
      </c>
      <c r="E55" s="245">
        <f>D5</f>
        <v>0</v>
      </c>
      <c r="F55" s="97"/>
      <c r="G55" s="250"/>
      <c r="H55" s="244"/>
      <c r="I55" s="250"/>
    </row>
    <row r="56" spans="1:10">
      <c r="A56" s="304">
        <v>1</v>
      </c>
      <c r="B56" s="256">
        <f t="shared" ref="B56:B119" si="2">IF(A56&gt;12*$D$14,0,$D$20)</f>
        <v>0</v>
      </c>
      <c r="C56" s="256">
        <f t="shared" ref="C56:C119" si="3">IF(A56&gt;12*$D$14,0,E55*$D$10/12)</f>
        <v>0</v>
      </c>
      <c r="D56" s="256">
        <f t="shared" ref="D56:D119" si="4">IF(A56&gt;12*$D$14,0,B56-C56)</f>
        <v>0</v>
      </c>
      <c r="E56" s="256">
        <f t="shared" ref="E56:E119" si="5">IF(A56&gt;12*$D$14,0,E55-D56)</f>
        <v>0</v>
      </c>
      <c r="F56" s="255"/>
      <c r="G56" s="305"/>
      <c r="H56" s="264"/>
      <c r="I56" s="250"/>
    </row>
    <row r="57" spans="1:10">
      <c r="A57" s="304">
        <v>2</v>
      </c>
      <c r="B57" s="256">
        <f t="shared" si="2"/>
        <v>0</v>
      </c>
      <c r="C57" s="256">
        <f t="shared" si="3"/>
        <v>0</v>
      </c>
      <c r="D57" s="256">
        <f t="shared" si="4"/>
        <v>0</v>
      </c>
      <c r="E57" s="256">
        <f t="shared" si="5"/>
        <v>0</v>
      </c>
      <c r="F57" s="255"/>
      <c r="G57" s="305"/>
      <c r="H57" s="264"/>
      <c r="I57" s="250"/>
    </row>
    <row r="58" spans="1:10">
      <c r="A58" s="304">
        <v>3</v>
      </c>
      <c r="B58" s="256">
        <f t="shared" si="2"/>
        <v>0</v>
      </c>
      <c r="C58" s="256">
        <f t="shared" si="3"/>
        <v>0</v>
      </c>
      <c r="D58" s="256">
        <f t="shared" si="4"/>
        <v>0</v>
      </c>
      <c r="E58" s="256">
        <f t="shared" si="5"/>
        <v>0</v>
      </c>
      <c r="F58" s="255"/>
      <c r="G58" s="305"/>
      <c r="H58" s="264"/>
      <c r="I58" s="250"/>
    </row>
    <row r="59" spans="1:10">
      <c r="A59" s="304">
        <v>4</v>
      </c>
      <c r="B59" s="256">
        <f t="shared" si="2"/>
        <v>0</v>
      </c>
      <c r="C59" s="256">
        <f t="shared" si="3"/>
        <v>0</v>
      </c>
      <c r="D59" s="256">
        <f t="shared" si="4"/>
        <v>0</v>
      </c>
      <c r="E59" s="256">
        <f t="shared" si="5"/>
        <v>0</v>
      </c>
      <c r="F59" s="255"/>
      <c r="G59" s="305"/>
      <c r="H59" s="264"/>
      <c r="I59" s="250"/>
    </row>
    <row r="60" spans="1:10">
      <c r="A60" s="304">
        <v>5</v>
      </c>
      <c r="B60" s="256">
        <f t="shared" si="2"/>
        <v>0</v>
      </c>
      <c r="C60" s="256">
        <f t="shared" si="3"/>
        <v>0</v>
      </c>
      <c r="D60" s="256">
        <f t="shared" si="4"/>
        <v>0</v>
      </c>
      <c r="E60" s="256">
        <f t="shared" si="5"/>
        <v>0</v>
      </c>
      <c r="F60" s="255"/>
      <c r="G60" s="305"/>
      <c r="H60" s="264"/>
      <c r="I60" s="250"/>
    </row>
    <row r="61" spans="1:10">
      <c r="A61" s="304">
        <v>6</v>
      </c>
      <c r="B61" s="256">
        <f t="shared" si="2"/>
        <v>0</v>
      </c>
      <c r="C61" s="256">
        <f t="shared" si="3"/>
        <v>0</v>
      </c>
      <c r="D61" s="256">
        <f t="shared" si="4"/>
        <v>0</v>
      </c>
      <c r="E61" s="256">
        <f t="shared" si="5"/>
        <v>0</v>
      </c>
      <c r="F61" s="255"/>
      <c r="G61" s="305"/>
      <c r="H61" s="264"/>
      <c r="I61" s="250"/>
    </row>
    <row r="62" spans="1:10">
      <c r="A62" s="304">
        <v>7</v>
      </c>
      <c r="B62" s="256">
        <f t="shared" si="2"/>
        <v>0</v>
      </c>
      <c r="C62" s="256">
        <f t="shared" si="3"/>
        <v>0</v>
      </c>
      <c r="D62" s="256">
        <f t="shared" si="4"/>
        <v>0</v>
      </c>
      <c r="E62" s="256">
        <f t="shared" si="5"/>
        <v>0</v>
      </c>
      <c r="F62" s="255"/>
      <c r="G62" s="305"/>
      <c r="H62" s="264"/>
      <c r="I62" s="250"/>
    </row>
    <row r="63" spans="1:10">
      <c r="A63" s="304">
        <v>8</v>
      </c>
      <c r="B63" s="256">
        <f t="shared" si="2"/>
        <v>0</v>
      </c>
      <c r="C63" s="256">
        <f t="shared" si="3"/>
        <v>0</v>
      </c>
      <c r="D63" s="256">
        <f t="shared" si="4"/>
        <v>0</v>
      </c>
      <c r="E63" s="256">
        <f t="shared" si="5"/>
        <v>0</v>
      </c>
      <c r="F63" s="255"/>
      <c r="G63" s="305"/>
      <c r="H63" s="264"/>
      <c r="I63" s="250"/>
    </row>
    <row r="64" spans="1:10">
      <c r="A64" s="304">
        <v>9</v>
      </c>
      <c r="B64" s="256">
        <f t="shared" si="2"/>
        <v>0</v>
      </c>
      <c r="C64" s="256">
        <f t="shared" si="3"/>
        <v>0</v>
      </c>
      <c r="D64" s="256">
        <f t="shared" si="4"/>
        <v>0</v>
      </c>
      <c r="E64" s="256">
        <f t="shared" si="5"/>
        <v>0</v>
      </c>
      <c r="F64" s="255"/>
      <c r="G64" s="305"/>
      <c r="H64" s="264"/>
      <c r="I64" s="250"/>
    </row>
    <row r="65" spans="1:9">
      <c r="A65" s="304">
        <v>10</v>
      </c>
      <c r="B65" s="256">
        <f t="shared" si="2"/>
        <v>0</v>
      </c>
      <c r="C65" s="256">
        <f t="shared" si="3"/>
        <v>0</v>
      </c>
      <c r="D65" s="256">
        <f t="shared" si="4"/>
        <v>0</v>
      </c>
      <c r="E65" s="256">
        <f t="shared" si="5"/>
        <v>0</v>
      </c>
      <c r="F65" s="255"/>
      <c r="G65" s="250"/>
      <c r="H65" s="244"/>
      <c r="I65" s="250"/>
    </row>
    <row r="66" spans="1:9">
      <c r="A66" s="304">
        <v>11</v>
      </c>
      <c r="B66" s="256">
        <f t="shared" si="2"/>
        <v>0</v>
      </c>
      <c r="C66" s="256">
        <f t="shared" si="3"/>
        <v>0</v>
      </c>
      <c r="D66" s="256">
        <f t="shared" si="4"/>
        <v>0</v>
      </c>
      <c r="E66" s="256">
        <f t="shared" si="5"/>
        <v>0</v>
      </c>
      <c r="F66" s="255"/>
      <c r="G66" s="250"/>
      <c r="H66" s="244"/>
      <c r="I66" s="250"/>
    </row>
    <row r="67" spans="1:9">
      <c r="A67" s="304">
        <v>12</v>
      </c>
      <c r="B67" s="256">
        <f t="shared" si="2"/>
        <v>0</v>
      </c>
      <c r="C67" s="256">
        <f t="shared" si="3"/>
        <v>0</v>
      </c>
      <c r="D67" s="256">
        <f t="shared" si="4"/>
        <v>0</v>
      </c>
      <c r="E67" s="256">
        <f t="shared" si="5"/>
        <v>0</v>
      </c>
      <c r="F67" s="255">
        <v>1</v>
      </c>
      <c r="G67" s="305"/>
      <c r="H67" s="264"/>
      <c r="I67" s="305"/>
    </row>
    <row r="68" spans="1:9">
      <c r="A68" s="304">
        <v>13</v>
      </c>
      <c r="B68" s="256">
        <f t="shared" si="2"/>
        <v>0</v>
      </c>
      <c r="C68" s="256">
        <f t="shared" si="3"/>
        <v>0</v>
      </c>
      <c r="D68" s="256">
        <f t="shared" si="4"/>
        <v>0</v>
      </c>
      <c r="E68" s="256">
        <f t="shared" si="5"/>
        <v>0</v>
      </c>
      <c r="F68" s="255"/>
      <c r="G68" s="250"/>
      <c r="H68" s="244"/>
      <c r="I68" s="305"/>
    </row>
    <row r="69" spans="1:9">
      <c r="A69" s="304">
        <v>14</v>
      </c>
      <c r="B69" s="256">
        <f t="shared" si="2"/>
        <v>0</v>
      </c>
      <c r="C69" s="256">
        <f t="shared" si="3"/>
        <v>0</v>
      </c>
      <c r="D69" s="256">
        <f t="shared" si="4"/>
        <v>0</v>
      </c>
      <c r="E69" s="256">
        <f t="shared" si="5"/>
        <v>0</v>
      </c>
      <c r="F69" s="255"/>
      <c r="G69" s="250"/>
      <c r="H69" s="244"/>
      <c r="I69" s="250"/>
    </row>
    <row r="70" spans="1:9">
      <c r="A70" s="304">
        <v>15</v>
      </c>
      <c r="B70" s="256">
        <f t="shared" si="2"/>
        <v>0</v>
      </c>
      <c r="C70" s="256">
        <f t="shared" si="3"/>
        <v>0</v>
      </c>
      <c r="D70" s="256">
        <f t="shared" si="4"/>
        <v>0</v>
      </c>
      <c r="E70" s="256">
        <f t="shared" si="5"/>
        <v>0</v>
      </c>
      <c r="F70" s="255"/>
      <c r="G70" s="250"/>
      <c r="H70" s="244"/>
      <c r="I70" s="250"/>
    </row>
    <row r="71" spans="1:9">
      <c r="A71" s="304">
        <v>16</v>
      </c>
      <c r="B71" s="256">
        <f t="shared" si="2"/>
        <v>0</v>
      </c>
      <c r="C71" s="256">
        <f t="shared" si="3"/>
        <v>0</v>
      </c>
      <c r="D71" s="256">
        <f t="shared" si="4"/>
        <v>0</v>
      </c>
      <c r="E71" s="256">
        <f t="shared" si="5"/>
        <v>0</v>
      </c>
      <c r="F71" s="255"/>
      <c r="G71" s="250"/>
      <c r="H71" s="244"/>
      <c r="I71" s="250"/>
    </row>
    <row r="72" spans="1:9">
      <c r="A72" s="304">
        <v>17</v>
      </c>
      <c r="B72" s="256">
        <f t="shared" si="2"/>
        <v>0</v>
      </c>
      <c r="C72" s="256">
        <f t="shared" si="3"/>
        <v>0</v>
      </c>
      <c r="D72" s="256">
        <f t="shared" si="4"/>
        <v>0</v>
      </c>
      <c r="E72" s="256">
        <f t="shared" si="5"/>
        <v>0</v>
      </c>
      <c r="F72" s="255"/>
      <c r="G72" s="250"/>
      <c r="H72" s="244"/>
      <c r="I72" s="250"/>
    </row>
    <row r="73" spans="1:9">
      <c r="A73" s="304">
        <v>18</v>
      </c>
      <c r="B73" s="256">
        <f t="shared" si="2"/>
        <v>0</v>
      </c>
      <c r="C73" s="256">
        <f t="shared" si="3"/>
        <v>0</v>
      </c>
      <c r="D73" s="256">
        <f t="shared" si="4"/>
        <v>0</v>
      </c>
      <c r="E73" s="256">
        <f t="shared" si="5"/>
        <v>0</v>
      </c>
      <c r="F73" s="255"/>
      <c r="G73" s="305"/>
      <c r="H73" s="264"/>
      <c r="I73" s="250"/>
    </row>
    <row r="74" spans="1:9">
      <c r="A74" s="304">
        <v>19</v>
      </c>
      <c r="B74" s="256">
        <f t="shared" si="2"/>
        <v>0</v>
      </c>
      <c r="C74" s="256">
        <f t="shared" si="3"/>
        <v>0</v>
      </c>
      <c r="D74" s="256">
        <f t="shared" si="4"/>
        <v>0</v>
      </c>
      <c r="E74" s="256">
        <f t="shared" si="5"/>
        <v>0</v>
      </c>
      <c r="F74" s="255"/>
      <c r="G74" s="305"/>
      <c r="H74" s="264"/>
      <c r="I74" s="250"/>
    </row>
    <row r="75" spans="1:9">
      <c r="A75" s="304">
        <v>20</v>
      </c>
      <c r="B75" s="256">
        <f t="shared" si="2"/>
        <v>0</v>
      </c>
      <c r="C75" s="256">
        <f t="shared" si="3"/>
        <v>0</v>
      </c>
      <c r="D75" s="256">
        <f t="shared" si="4"/>
        <v>0</v>
      </c>
      <c r="E75" s="256">
        <f t="shared" si="5"/>
        <v>0</v>
      </c>
      <c r="F75" s="255"/>
      <c r="G75" s="305"/>
      <c r="H75" s="264"/>
      <c r="I75" s="250"/>
    </row>
    <row r="76" spans="1:9">
      <c r="A76" s="304">
        <v>21</v>
      </c>
      <c r="B76" s="256">
        <f t="shared" si="2"/>
        <v>0</v>
      </c>
      <c r="C76" s="256">
        <f t="shared" si="3"/>
        <v>0</v>
      </c>
      <c r="D76" s="256">
        <f t="shared" si="4"/>
        <v>0</v>
      </c>
      <c r="E76" s="256">
        <f t="shared" si="5"/>
        <v>0</v>
      </c>
      <c r="F76" s="255"/>
      <c r="G76" s="305"/>
      <c r="H76" s="264"/>
      <c r="I76" s="250"/>
    </row>
    <row r="77" spans="1:9">
      <c r="A77" s="304">
        <v>22</v>
      </c>
      <c r="B77" s="256">
        <f t="shared" si="2"/>
        <v>0</v>
      </c>
      <c r="C77" s="256">
        <f t="shared" si="3"/>
        <v>0</v>
      </c>
      <c r="D77" s="256">
        <f t="shared" si="4"/>
        <v>0</v>
      </c>
      <c r="E77" s="256">
        <f t="shared" si="5"/>
        <v>0</v>
      </c>
      <c r="F77" s="255"/>
      <c r="G77" s="250"/>
      <c r="H77" s="244"/>
      <c r="I77" s="250"/>
    </row>
    <row r="78" spans="1:9">
      <c r="A78" s="304">
        <v>23</v>
      </c>
      <c r="B78" s="256">
        <f t="shared" si="2"/>
        <v>0</v>
      </c>
      <c r="C78" s="256">
        <f t="shared" si="3"/>
        <v>0</v>
      </c>
      <c r="D78" s="256">
        <f t="shared" si="4"/>
        <v>0</v>
      </c>
      <c r="E78" s="256">
        <f t="shared" si="5"/>
        <v>0</v>
      </c>
      <c r="F78" s="255"/>
      <c r="G78" s="250"/>
      <c r="H78" s="244"/>
      <c r="I78" s="250"/>
    </row>
    <row r="79" spans="1:9">
      <c r="A79" s="304">
        <v>24</v>
      </c>
      <c r="B79" s="256">
        <f t="shared" si="2"/>
        <v>0</v>
      </c>
      <c r="C79" s="256">
        <f t="shared" si="3"/>
        <v>0</v>
      </c>
      <c r="D79" s="256">
        <f t="shared" si="4"/>
        <v>0</v>
      </c>
      <c r="E79" s="256">
        <f t="shared" si="5"/>
        <v>0</v>
      </c>
      <c r="F79" s="255">
        <v>2</v>
      </c>
      <c r="G79" s="305"/>
      <c r="H79" s="264"/>
      <c r="I79" s="305"/>
    </row>
    <row r="80" spans="1:9">
      <c r="A80" s="304">
        <v>25</v>
      </c>
      <c r="B80" s="256">
        <f t="shared" si="2"/>
        <v>0</v>
      </c>
      <c r="C80" s="256">
        <f t="shared" si="3"/>
        <v>0</v>
      </c>
      <c r="D80" s="256">
        <f t="shared" si="4"/>
        <v>0</v>
      </c>
      <c r="E80" s="256">
        <f t="shared" si="5"/>
        <v>0</v>
      </c>
      <c r="F80" s="255"/>
      <c r="G80" s="250"/>
      <c r="H80" s="244"/>
      <c r="I80" s="305"/>
    </row>
    <row r="81" spans="1:9">
      <c r="A81" s="304">
        <v>26</v>
      </c>
      <c r="B81" s="256">
        <f t="shared" si="2"/>
        <v>0</v>
      </c>
      <c r="C81" s="256">
        <f t="shared" si="3"/>
        <v>0</v>
      </c>
      <c r="D81" s="256">
        <f t="shared" si="4"/>
        <v>0</v>
      </c>
      <c r="E81" s="256">
        <f t="shared" si="5"/>
        <v>0</v>
      </c>
      <c r="F81" s="255"/>
      <c r="G81" s="250"/>
      <c r="H81" s="244"/>
      <c r="I81" s="250"/>
    </row>
    <row r="82" spans="1:9">
      <c r="A82" s="304">
        <v>27</v>
      </c>
      <c r="B82" s="256">
        <f t="shared" si="2"/>
        <v>0</v>
      </c>
      <c r="C82" s="256">
        <f t="shared" si="3"/>
        <v>0</v>
      </c>
      <c r="D82" s="256">
        <f t="shared" si="4"/>
        <v>0</v>
      </c>
      <c r="E82" s="256">
        <f t="shared" si="5"/>
        <v>0</v>
      </c>
      <c r="F82" s="255"/>
      <c r="G82" s="250"/>
      <c r="H82" s="244"/>
      <c r="I82" s="250"/>
    </row>
    <row r="83" spans="1:9">
      <c r="A83" s="304">
        <v>28</v>
      </c>
      <c r="B83" s="256">
        <f t="shared" si="2"/>
        <v>0</v>
      </c>
      <c r="C83" s="256">
        <f t="shared" si="3"/>
        <v>0</v>
      </c>
      <c r="D83" s="256">
        <f t="shared" si="4"/>
        <v>0</v>
      </c>
      <c r="E83" s="256">
        <f t="shared" si="5"/>
        <v>0</v>
      </c>
      <c r="F83" s="255"/>
      <c r="G83" s="250"/>
      <c r="H83" s="244"/>
      <c r="I83" s="250"/>
    </row>
    <row r="84" spans="1:9">
      <c r="A84" s="304">
        <v>29</v>
      </c>
      <c r="B84" s="256">
        <f t="shared" si="2"/>
        <v>0</v>
      </c>
      <c r="C84" s="256">
        <f t="shared" si="3"/>
        <v>0</v>
      </c>
      <c r="D84" s="256">
        <f t="shared" si="4"/>
        <v>0</v>
      </c>
      <c r="E84" s="256">
        <f t="shared" si="5"/>
        <v>0</v>
      </c>
      <c r="F84" s="255"/>
      <c r="G84" s="250"/>
      <c r="H84" s="244"/>
      <c r="I84" s="250"/>
    </row>
    <row r="85" spans="1:9">
      <c r="A85" s="304">
        <v>30</v>
      </c>
      <c r="B85" s="256">
        <f t="shared" si="2"/>
        <v>0</v>
      </c>
      <c r="C85" s="256">
        <f t="shared" si="3"/>
        <v>0</v>
      </c>
      <c r="D85" s="256">
        <f t="shared" si="4"/>
        <v>0</v>
      </c>
      <c r="E85" s="256">
        <f t="shared" si="5"/>
        <v>0</v>
      </c>
      <c r="F85" s="255"/>
      <c r="G85" s="305"/>
      <c r="H85" s="264"/>
      <c r="I85" s="250"/>
    </row>
    <row r="86" spans="1:9">
      <c r="A86" s="304">
        <v>31</v>
      </c>
      <c r="B86" s="256">
        <f t="shared" si="2"/>
        <v>0</v>
      </c>
      <c r="C86" s="256">
        <f t="shared" si="3"/>
        <v>0</v>
      </c>
      <c r="D86" s="256">
        <f t="shared" si="4"/>
        <v>0</v>
      </c>
      <c r="E86" s="256">
        <f t="shared" si="5"/>
        <v>0</v>
      </c>
      <c r="F86" s="255"/>
      <c r="G86" s="250"/>
      <c r="H86" s="244"/>
      <c r="I86" s="250"/>
    </row>
    <row r="87" spans="1:9">
      <c r="A87" s="304">
        <v>32</v>
      </c>
      <c r="B87" s="256">
        <f t="shared" si="2"/>
        <v>0</v>
      </c>
      <c r="C87" s="256">
        <f t="shared" si="3"/>
        <v>0</v>
      </c>
      <c r="D87" s="256">
        <f t="shared" si="4"/>
        <v>0</v>
      </c>
      <c r="E87" s="256">
        <f t="shared" si="5"/>
        <v>0</v>
      </c>
      <c r="F87" s="255"/>
      <c r="G87" s="250"/>
      <c r="H87" s="244"/>
      <c r="I87" s="250"/>
    </row>
    <row r="88" spans="1:9">
      <c r="A88" s="304">
        <v>33</v>
      </c>
      <c r="B88" s="256">
        <f t="shared" si="2"/>
        <v>0</v>
      </c>
      <c r="C88" s="256">
        <f t="shared" si="3"/>
        <v>0</v>
      </c>
      <c r="D88" s="256">
        <f t="shared" si="4"/>
        <v>0</v>
      </c>
      <c r="E88" s="256">
        <f t="shared" si="5"/>
        <v>0</v>
      </c>
      <c r="F88" s="255"/>
      <c r="G88" s="250"/>
      <c r="H88" s="244"/>
      <c r="I88" s="250"/>
    </row>
    <row r="89" spans="1:9">
      <c r="A89" s="304">
        <v>34</v>
      </c>
      <c r="B89" s="256">
        <f t="shared" si="2"/>
        <v>0</v>
      </c>
      <c r="C89" s="256">
        <f t="shared" si="3"/>
        <v>0</v>
      </c>
      <c r="D89" s="256">
        <f t="shared" si="4"/>
        <v>0</v>
      </c>
      <c r="E89" s="256">
        <f t="shared" si="5"/>
        <v>0</v>
      </c>
      <c r="F89" s="255"/>
      <c r="G89" s="250"/>
      <c r="H89" s="244"/>
      <c r="I89" s="250"/>
    </row>
    <row r="90" spans="1:9">
      <c r="A90" s="304">
        <v>35</v>
      </c>
      <c r="B90" s="256">
        <f t="shared" si="2"/>
        <v>0</v>
      </c>
      <c r="C90" s="256">
        <f t="shared" si="3"/>
        <v>0</v>
      </c>
      <c r="D90" s="256">
        <f t="shared" si="4"/>
        <v>0</v>
      </c>
      <c r="E90" s="256">
        <f t="shared" si="5"/>
        <v>0</v>
      </c>
      <c r="F90" s="255"/>
      <c r="G90" s="250"/>
      <c r="H90" s="244"/>
      <c r="I90" s="250"/>
    </row>
    <row r="91" spans="1:9">
      <c r="A91" s="304">
        <v>36</v>
      </c>
      <c r="B91" s="256">
        <f t="shared" si="2"/>
        <v>0</v>
      </c>
      <c r="C91" s="256">
        <f t="shared" si="3"/>
        <v>0</v>
      </c>
      <c r="D91" s="256">
        <f t="shared" si="4"/>
        <v>0</v>
      </c>
      <c r="E91" s="256">
        <f t="shared" si="5"/>
        <v>0</v>
      </c>
      <c r="F91" s="255">
        <v>3</v>
      </c>
      <c r="G91" s="305"/>
      <c r="H91" s="264"/>
      <c r="I91" s="305"/>
    </row>
    <row r="92" spans="1:9">
      <c r="A92" s="304">
        <v>37</v>
      </c>
      <c r="B92" s="256">
        <f t="shared" si="2"/>
        <v>0</v>
      </c>
      <c r="C92" s="256">
        <f t="shared" si="3"/>
        <v>0</v>
      </c>
      <c r="D92" s="256">
        <f t="shared" si="4"/>
        <v>0</v>
      </c>
      <c r="E92" s="256">
        <f t="shared" si="5"/>
        <v>0</v>
      </c>
      <c r="F92" s="255"/>
      <c r="G92" s="250"/>
      <c r="H92" s="244"/>
      <c r="I92" s="305"/>
    </row>
    <row r="93" spans="1:9">
      <c r="A93" s="304">
        <v>38</v>
      </c>
      <c r="B93" s="256">
        <f t="shared" si="2"/>
        <v>0</v>
      </c>
      <c r="C93" s="256">
        <f t="shared" si="3"/>
        <v>0</v>
      </c>
      <c r="D93" s="256">
        <f t="shared" si="4"/>
        <v>0</v>
      </c>
      <c r="E93" s="256">
        <f t="shared" si="5"/>
        <v>0</v>
      </c>
      <c r="F93" s="255"/>
      <c r="G93" s="250"/>
      <c r="H93" s="244"/>
      <c r="I93" s="250"/>
    </row>
    <row r="94" spans="1:9">
      <c r="A94" s="304">
        <v>39</v>
      </c>
      <c r="B94" s="256">
        <f t="shared" si="2"/>
        <v>0</v>
      </c>
      <c r="C94" s="256">
        <f t="shared" si="3"/>
        <v>0</v>
      </c>
      <c r="D94" s="256">
        <f t="shared" si="4"/>
        <v>0</v>
      </c>
      <c r="E94" s="256">
        <f t="shared" si="5"/>
        <v>0</v>
      </c>
      <c r="F94" s="255"/>
      <c r="G94" s="250"/>
      <c r="H94" s="244"/>
      <c r="I94" s="250"/>
    </row>
    <row r="95" spans="1:9">
      <c r="A95" s="304">
        <v>40</v>
      </c>
      <c r="B95" s="256">
        <f t="shared" si="2"/>
        <v>0</v>
      </c>
      <c r="C95" s="256">
        <f t="shared" si="3"/>
        <v>0</v>
      </c>
      <c r="D95" s="256">
        <f t="shared" si="4"/>
        <v>0</v>
      </c>
      <c r="E95" s="256">
        <f t="shared" si="5"/>
        <v>0</v>
      </c>
      <c r="F95" s="255"/>
      <c r="G95" s="250"/>
      <c r="H95" s="244"/>
      <c r="I95" s="250"/>
    </row>
    <row r="96" spans="1:9">
      <c r="A96" s="304">
        <v>41</v>
      </c>
      <c r="B96" s="256">
        <f t="shared" si="2"/>
        <v>0</v>
      </c>
      <c r="C96" s="256">
        <f t="shared" si="3"/>
        <v>0</v>
      </c>
      <c r="D96" s="256">
        <f t="shared" si="4"/>
        <v>0</v>
      </c>
      <c r="E96" s="256">
        <f t="shared" si="5"/>
        <v>0</v>
      </c>
      <c r="F96" s="255"/>
      <c r="G96" s="250"/>
      <c r="H96" s="244"/>
      <c r="I96" s="250"/>
    </row>
    <row r="97" spans="1:9">
      <c r="A97" s="304">
        <v>42</v>
      </c>
      <c r="B97" s="256">
        <f t="shared" si="2"/>
        <v>0</v>
      </c>
      <c r="C97" s="256">
        <f t="shared" si="3"/>
        <v>0</v>
      </c>
      <c r="D97" s="256">
        <f t="shared" si="4"/>
        <v>0</v>
      </c>
      <c r="E97" s="256">
        <f t="shared" si="5"/>
        <v>0</v>
      </c>
      <c r="F97" s="255"/>
      <c r="G97" s="305"/>
      <c r="H97" s="264"/>
      <c r="I97" s="250"/>
    </row>
    <row r="98" spans="1:9">
      <c r="A98" s="304">
        <v>43</v>
      </c>
      <c r="B98" s="256">
        <f t="shared" si="2"/>
        <v>0</v>
      </c>
      <c r="C98" s="256">
        <f t="shared" si="3"/>
        <v>0</v>
      </c>
      <c r="D98" s="256">
        <f t="shared" si="4"/>
        <v>0</v>
      </c>
      <c r="E98" s="256">
        <f t="shared" si="5"/>
        <v>0</v>
      </c>
      <c r="F98" s="255"/>
      <c r="G98" s="250"/>
      <c r="H98" s="244"/>
      <c r="I98" s="250"/>
    </row>
    <row r="99" spans="1:9">
      <c r="A99" s="304">
        <v>44</v>
      </c>
      <c r="B99" s="256">
        <f t="shared" si="2"/>
        <v>0</v>
      </c>
      <c r="C99" s="256">
        <f t="shared" si="3"/>
        <v>0</v>
      </c>
      <c r="D99" s="256">
        <f t="shared" si="4"/>
        <v>0</v>
      </c>
      <c r="E99" s="256">
        <f t="shared" si="5"/>
        <v>0</v>
      </c>
      <c r="F99" s="255"/>
      <c r="G99" s="250"/>
      <c r="H99" s="244"/>
      <c r="I99" s="250"/>
    </row>
    <row r="100" spans="1:9">
      <c r="A100" s="304">
        <v>45</v>
      </c>
      <c r="B100" s="256">
        <f t="shared" si="2"/>
        <v>0</v>
      </c>
      <c r="C100" s="256">
        <f t="shared" si="3"/>
        <v>0</v>
      </c>
      <c r="D100" s="256">
        <f t="shared" si="4"/>
        <v>0</v>
      </c>
      <c r="E100" s="256">
        <f t="shared" si="5"/>
        <v>0</v>
      </c>
      <c r="F100" s="255"/>
      <c r="G100" s="250"/>
      <c r="H100" s="244"/>
      <c r="I100" s="250"/>
    </row>
    <row r="101" spans="1:9">
      <c r="A101" s="304">
        <v>46</v>
      </c>
      <c r="B101" s="256">
        <f t="shared" si="2"/>
        <v>0</v>
      </c>
      <c r="C101" s="256">
        <f t="shared" si="3"/>
        <v>0</v>
      </c>
      <c r="D101" s="256">
        <f t="shared" si="4"/>
        <v>0</v>
      </c>
      <c r="E101" s="256">
        <f t="shared" si="5"/>
        <v>0</v>
      </c>
      <c r="F101" s="255"/>
      <c r="G101" s="250"/>
      <c r="H101" s="244"/>
      <c r="I101" s="250"/>
    </row>
    <row r="102" spans="1:9">
      <c r="A102" s="304">
        <v>47</v>
      </c>
      <c r="B102" s="256">
        <f t="shared" si="2"/>
        <v>0</v>
      </c>
      <c r="C102" s="256">
        <f t="shared" si="3"/>
        <v>0</v>
      </c>
      <c r="D102" s="256">
        <f t="shared" si="4"/>
        <v>0</v>
      </c>
      <c r="E102" s="256">
        <f t="shared" si="5"/>
        <v>0</v>
      </c>
      <c r="F102" s="255"/>
      <c r="G102" s="250"/>
      <c r="H102" s="244"/>
      <c r="I102" s="250"/>
    </row>
    <row r="103" spans="1:9">
      <c r="A103" s="304">
        <v>48</v>
      </c>
      <c r="B103" s="256">
        <f t="shared" si="2"/>
        <v>0</v>
      </c>
      <c r="C103" s="256">
        <f t="shared" si="3"/>
        <v>0</v>
      </c>
      <c r="D103" s="256">
        <f t="shared" si="4"/>
        <v>0</v>
      </c>
      <c r="E103" s="256">
        <f t="shared" si="5"/>
        <v>0</v>
      </c>
      <c r="F103" s="255">
        <v>4</v>
      </c>
      <c r="G103" s="305"/>
      <c r="H103" s="264"/>
      <c r="I103" s="305"/>
    </row>
    <row r="104" spans="1:9">
      <c r="A104" s="304">
        <v>49</v>
      </c>
      <c r="B104" s="256">
        <f t="shared" si="2"/>
        <v>0</v>
      </c>
      <c r="C104" s="256">
        <f t="shared" si="3"/>
        <v>0</v>
      </c>
      <c r="D104" s="256">
        <f t="shared" si="4"/>
        <v>0</v>
      </c>
      <c r="E104" s="256">
        <f t="shared" si="5"/>
        <v>0</v>
      </c>
      <c r="F104" s="255"/>
      <c r="G104" s="250"/>
      <c r="H104" s="244"/>
      <c r="I104" s="305"/>
    </row>
    <row r="105" spans="1:9">
      <c r="A105" s="304">
        <v>50</v>
      </c>
      <c r="B105" s="256">
        <f t="shared" si="2"/>
        <v>0</v>
      </c>
      <c r="C105" s="256">
        <f t="shared" si="3"/>
        <v>0</v>
      </c>
      <c r="D105" s="256">
        <f t="shared" si="4"/>
        <v>0</v>
      </c>
      <c r="E105" s="256">
        <f t="shared" si="5"/>
        <v>0</v>
      </c>
      <c r="F105" s="255"/>
      <c r="G105" s="250"/>
      <c r="H105" s="244"/>
      <c r="I105" s="250"/>
    </row>
    <row r="106" spans="1:9">
      <c r="A106" s="304">
        <v>51</v>
      </c>
      <c r="B106" s="256">
        <f t="shared" si="2"/>
        <v>0</v>
      </c>
      <c r="C106" s="256">
        <f t="shared" si="3"/>
        <v>0</v>
      </c>
      <c r="D106" s="256">
        <f t="shared" si="4"/>
        <v>0</v>
      </c>
      <c r="E106" s="256">
        <f t="shared" si="5"/>
        <v>0</v>
      </c>
      <c r="F106" s="255"/>
      <c r="G106" s="250"/>
      <c r="H106" s="244"/>
      <c r="I106" s="250"/>
    </row>
    <row r="107" spans="1:9">
      <c r="A107" s="304">
        <v>52</v>
      </c>
      <c r="B107" s="256">
        <f t="shared" si="2"/>
        <v>0</v>
      </c>
      <c r="C107" s="256">
        <f t="shared" si="3"/>
        <v>0</v>
      </c>
      <c r="D107" s="256">
        <f t="shared" si="4"/>
        <v>0</v>
      </c>
      <c r="E107" s="256">
        <f t="shared" si="5"/>
        <v>0</v>
      </c>
      <c r="F107" s="255"/>
      <c r="G107" s="250"/>
      <c r="H107" s="244"/>
      <c r="I107" s="250"/>
    </row>
    <row r="108" spans="1:9">
      <c r="A108" s="304">
        <v>53</v>
      </c>
      <c r="B108" s="256">
        <f t="shared" si="2"/>
        <v>0</v>
      </c>
      <c r="C108" s="256">
        <f t="shared" si="3"/>
        <v>0</v>
      </c>
      <c r="D108" s="256">
        <f t="shared" si="4"/>
        <v>0</v>
      </c>
      <c r="E108" s="256">
        <f t="shared" si="5"/>
        <v>0</v>
      </c>
      <c r="F108" s="255"/>
      <c r="G108" s="250"/>
      <c r="H108" s="244"/>
      <c r="I108" s="250"/>
    </row>
    <row r="109" spans="1:9">
      <c r="A109" s="304">
        <v>54</v>
      </c>
      <c r="B109" s="256">
        <f t="shared" si="2"/>
        <v>0</v>
      </c>
      <c r="C109" s="256">
        <f t="shared" si="3"/>
        <v>0</v>
      </c>
      <c r="D109" s="256">
        <f t="shared" si="4"/>
        <v>0</v>
      </c>
      <c r="E109" s="256">
        <f t="shared" si="5"/>
        <v>0</v>
      </c>
      <c r="F109" s="255"/>
      <c r="G109" s="305"/>
      <c r="H109" s="264"/>
      <c r="I109" s="250"/>
    </row>
    <row r="110" spans="1:9">
      <c r="A110" s="304">
        <v>55</v>
      </c>
      <c r="B110" s="256">
        <f t="shared" si="2"/>
        <v>0</v>
      </c>
      <c r="C110" s="256">
        <f t="shared" si="3"/>
        <v>0</v>
      </c>
      <c r="D110" s="256">
        <f t="shared" si="4"/>
        <v>0</v>
      </c>
      <c r="E110" s="256">
        <f t="shared" si="5"/>
        <v>0</v>
      </c>
      <c r="F110" s="255"/>
      <c r="G110" s="250"/>
      <c r="H110" s="244"/>
      <c r="I110" s="250"/>
    </row>
    <row r="111" spans="1:9">
      <c r="A111" s="304">
        <v>56</v>
      </c>
      <c r="B111" s="256">
        <f t="shared" si="2"/>
        <v>0</v>
      </c>
      <c r="C111" s="256">
        <f t="shared" si="3"/>
        <v>0</v>
      </c>
      <c r="D111" s="256">
        <f t="shared" si="4"/>
        <v>0</v>
      </c>
      <c r="E111" s="256">
        <f t="shared" si="5"/>
        <v>0</v>
      </c>
      <c r="F111" s="255"/>
      <c r="G111" s="250"/>
      <c r="H111" s="244"/>
      <c r="I111" s="250"/>
    </row>
    <row r="112" spans="1:9">
      <c r="A112" s="304">
        <v>57</v>
      </c>
      <c r="B112" s="256">
        <f t="shared" si="2"/>
        <v>0</v>
      </c>
      <c r="C112" s="256">
        <f t="shared" si="3"/>
        <v>0</v>
      </c>
      <c r="D112" s="256">
        <f t="shared" si="4"/>
        <v>0</v>
      </c>
      <c r="E112" s="256">
        <f t="shared" si="5"/>
        <v>0</v>
      </c>
      <c r="F112" s="255"/>
      <c r="G112" s="250"/>
      <c r="H112" s="244"/>
      <c r="I112" s="250"/>
    </row>
    <row r="113" spans="1:9">
      <c r="A113" s="304">
        <v>58</v>
      </c>
      <c r="B113" s="256">
        <f t="shared" si="2"/>
        <v>0</v>
      </c>
      <c r="C113" s="256">
        <f t="shared" si="3"/>
        <v>0</v>
      </c>
      <c r="D113" s="256">
        <f t="shared" si="4"/>
        <v>0</v>
      </c>
      <c r="E113" s="256">
        <f t="shared" si="5"/>
        <v>0</v>
      </c>
      <c r="F113" s="255"/>
      <c r="G113" s="250"/>
      <c r="H113" s="244"/>
      <c r="I113" s="250"/>
    </row>
    <row r="114" spans="1:9">
      <c r="A114" s="304">
        <v>59</v>
      </c>
      <c r="B114" s="256">
        <f t="shared" si="2"/>
        <v>0</v>
      </c>
      <c r="C114" s="256">
        <f t="shared" si="3"/>
        <v>0</v>
      </c>
      <c r="D114" s="256">
        <f t="shared" si="4"/>
        <v>0</v>
      </c>
      <c r="E114" s="256">
        <f t="shared" si="5"/>
        <v>0</v>
      </c>
      <c r="F114" s="255"/>
      <c r="G114" s="250"/>
      <c r="H114" s="244"/>
      <c r="I114" s="250"/>
    </row>
    <row r="115" spans="1:9">
      <c r="A115" s="304">
        <v>60</v>
      </c>
      <c r="B115" s="256">
        <f t="shared" si="2"/>
        <v>0</v>
      </c>
      <c r="C115" s="256">
        <f t="shared" si="3"/>
        <v>0</v>
      </c>
      <c r="D115" s="256">
        <f t="shared" si="4"/>
        <v>0</v>
      </c>
      <c r="E115" s="256">
        <f t="shared" si="5"/>
        <v>0</v>
      </c>
      <c r="F115" s="255"/>
      <c r="G115" s="305"/>
      <c r="H115" s="264"/>
      <c r="I115" s="305"/>
    </row>
    <row r="116" spans="1:9">
      <c r="A116" s="304">
        <v>61</v>
      </c>
      <c r="B116" s="256">
        <f t="shared" si="2"/>
        <v>0</v>
      </c>
      <c r="C116" s="256">
        <f t="shared" si="3"/>
        <v>0</v>
      </c>
      <c r="D116" s="256">
        <f t="shared" si="4"/>
        <v>0</v>
      </c>
      <c r="E116" s="256">
        <f t="shared" si="5"/>
        <v>0</v>
      </c>
      <c r="F116" s="255"/>
      <c r="G116" s="250"/>
      <c r="H116" s="244"/>
      <c r="I116" s="305"/>
    </row>
    <row r="117" spans="1:9">
      <c r="A117" s="304">
        <v>62</v>
      </c>
      <c r="B117" s="256">
        <f t="shared" si="2"/>
        <v>0</v>
      </c>
      <c r="C117" s="256">
        <f t="shared" si="3"/>
        <v>0</v>
      </c>
      <c r="D117" s="256">
        <f t="shared" si="4"/>
        <v>0</v>
      </c>
      <c r="E117" s="256">
        <f t="shared" si="5"/>
        <v>0</v>
      </c>
      <c r="F117" s="255">
        <v>5</v>
      </c>
      <c r="G117" s="250"/>
      <c r="H117" s="244"/>
      <c r="I117" s="250"/>
    </row>
    <row r="118" spans="1:9">
      <c r="A118" s="304">
        <v>63</v>
      </c>
      <c r="B118" s="256">
        <f t="shared" si="2"/>
        <v>0</v>
      </c>
      <c r="C118" s="256">
        <f t="shared" si="3"/>
        <v>0</v>
      </c>
      <c r="D118" s="256">
        <f t="shared" si="4"/>
        <v>0</v>
      </c>
      <c r="E118" s="256">
        <f t="shared" si="5"/>
        <v>0</v>
      </c>
      <c r="F118" s="255"/>
      <c r="G118" s="250"/>
      <c r="H118" s="244"/>
      <c r="I118" s="250"/>
    </row>
    <row r="119" spans="1:9">
      <c r="A119" s="304">
        <v>64</v>
      </c>
      <c r="B119" s="256">
        <f t="shared" si="2"/>
        <v>0</v>
      </c>
      <c r="C119" s="256">
        <f t="shared" si="3"/>
        <v>0</v>
      </c>
      <c r="D119" s="256">
        <f t="shared" si="4"/>
        <v>0</v>
      </c>
      <c r="E119" s="256">
        <f t="shared" si="5"/>
        <v>0</v>
      </c>
      <c r="F119" s="255"/>
      <c r="G119" s="250"/>
      <c r="H119" s="244"/>
      <c r="I119" s="250"/>
    </row>
    <row r="120" spans="1:9">
      <c r="A120" s="304">
        <v>65</v>
      </c>
      <c r="B120" s="256">
        <f t="shared" ref="B120:B183" si="6">IF(A120&gt;12*$D$14,0,$D$20)</f>
        <v>0</v>
      </c>
      <c r="C120" s="256">
        <f t="shared" ref="C120:C183" si="7">IF(A120&gt;12*$D$14,0,E119*$D$10/12)</f>
        <v>0</v>
      </c>
      <c r="D120" s="256">
        <f t="shared" ref="D120:D183" si="8">IF(A120&gt;12*$D$14,0,B120-C120)</f>
        <v>0</v>
      </c>
      <c r="E120" s="256">
        <f t="shared" ref="E120:E183" si="9">IF(A120&gt;12*$D$14,0,E119-D120)</f>
        <v>0</v>
      </c>
      <c r="F120" s="255"/>
      <c r="G120" s="250"/>
      <c r="H120" s="244"/>
      <c r="I120" s="250"/>
    </row>
    <row r="121" spans="1:9">
      <c r="A121" s="304">
        <v>66</v>
      </c>
      <c r="B121" s="256">
        <f t="shared" si="6"/>
        <v>0</v>
      </c>
      <c r="C121" s="256">
        <f t="shared" si="7"/>
        <v>0</v>
      </c>
      <c r="D121" s="256">
        <f t="shared" si="8"/>
        <v>0</v>
      </c>
      <c r="E121" s="256">
        <f t="shared" si="9"/>
        <v>0</v>
      </c>
      <c r="F121" s="255"/>
      <c r="G121" s="305"/>
      <c r="H121" s="264"/>
      <c r="I121" s="250"/>
    </row>
    <row r="122" spans="1:9">
      <c r="A122" s="304">
        <v>67</v>
      </c>
      <c r="B122" s="256">
        <f t="shared" si="6"/>
        <v>0</v>
      </c>
      <c r="C122" s="256">
        <f t="shared" si="7"/>
        <v>0</v>
      </c>
      <c r="D122" s="256">
        <f t="shared" si="8"/>
        <v>0</v>
      </c>
      <c r="E122" s="256">
        <f t="shared" si="9"/>
        <v>0</v>
      </c>
      <c r="F122" s="255"/>
      <c r="G122" s="250"/>
      <c r="H122" s="244"/>
      <c r="I122" s="250"/>
    </row>
    <row r="123" spans="1:9">
      <c r="A123" s="304">
        <v>68</v>
      </c>
      <c r="B123" s="256">
        <f t="shared" si="6"/>
        <v>0</v>
      </c>
      <c r="C123" s="256">
        <f t="shared" si="7"/>
        <v>0</v>
      </c>
      <c r="D123" s="256">
        <f t="shared" si="8"/>
        <v>0</v>
      </c>
      <c r="E123" s="256">
        <f t="shared" si="9"/>
        <v>0</v>
      </c>
      <c r="F123" s="255"/>
      <c r="G123" s="250"/>
      <c r="H123" s="244"/>
      <c r="I123" s="250"/>
    </row>
    <row r="124" spans="1:9">
      <c r="A124" s="304">
        <v>69</v>
      </c>
      <c r="B124" s="256">
        <f t="shared" si="6"/>
        <v>0</v>
      </c>
      <c r="C124" s="256">
        <f t="shared" si="7"/>
        <v>0</v>
      </c>
      <c r="D124" s="256">
        <f t="shared" si="8"/>
        <v>0</v>
      </c>
      <c r="E124" s="256">
        <f t="shared" si="9"/>
        <v>0</v>
      </c>
      <c r="F124" s="255"/>
      <c r="G124" s="250"/>
      <c r="H124" s="244"/>
      <c r="I124" s="250"/>
    </row>
    <row r="125" spans="1:9">
      <c r="A125" s="304">
        <v>70</v>
      </c>
      <c r="B125" s="256">
        <f t="shared" si="6"/>
        <v>0</v>
      </c>
      <c r="C125" s="256">
        <f t="shared" si="7"/>
        <v>0</v>
      </c>
      <c r="D125" s="256">
        <f t="shared" si="8"/>
        <v>0</v>
      </c>
      <c r="E125" s="256">
        <f t="shared" si="9"/>
        <v>0</v>
      </c>
      <c r="F125" s="255"/>
      <c r="G125" s="250"/>
      <c r="H125" s="244"/>
      <c r="I125" s="250"/>
    </row>
    <row r="126" spans="1:9">
      <c r="A126" s="304">
        <v>71</v>
      </c>
      <c r="B126" s="256">
        <f t="shared" si="6"/>
        <v>0</v>
      </c>
      <c r="C126" s="256">
        <f t="shared" si="7"/>
        <v>0</v>
      </c>
      <c r="D126" s="256">
        <f t="shared" si="8"/>
        <v>0</v>
      </c>
      <c r="E126" s="256">
        <f t="shared" si="9"/>
        <v>0</v>
      </c>
      <c r="F126" s="255"/>
      <c r="G126" s="250"/>
      <c r="H126" s="244"/>
      <c r="I126" s="250"/>
    </row>
    <row r="127" spans="1:9">
      <c r="A127" s="304">
        <v>72</v>
      </c>
      <c r="B127" s="256">
        <f t="shared" si="6"/>
        <v>0</v>
      </c>
      <c r="C127" s="256">
        <f t="shared" si="7"/>
        <v>0</v>
      </c>
      <c r="D127" s="256">
        <f t="shared" si="8"/>
        <v>0</v>
      </c>
      <c r="E127" s="256">
        <f t="shared" si="9"/>
        <v>0</v>
      </c>
      <c r="F127" s="255"/>
      <c r="G127" s="305"/>
      <c r="H127" s="264"/>
      <c r="I127" s="305"/>
    </row>
    <row r="128" spans="1:9">
      <c r="A128" s="304">
        <v>73</v>
      </c>
      <c r="B128" s="256">
        <f t="shared" si="6"/>
        <v>0</v>
      </c>
      <c r="C128" s="256">
        <f t="shared" si="7"/>
        <v>0</v>
      </c>
      <c r="D128" s="256">
        <f t="shared" si="8"/>
        <v>0</v>
      </c>
      <c r="E128" s="256">
        <f t="shared" si="9"/>
        <v>0</v>
      </c>
      <c r="F128" s="255"/>
      <c r="G128" s="250"/>
      <c r="H128" s="244"/>
      <c r="I128" s="305"/>
    </row>
    <row r="129" spans="1:9">
      <c r="A129" s="304">
        <v>74</v>
      </c>
      <c r="B129" s="256">
        <f t="shared" si="6"/>
        <v>0</v>
      </c>
      <c r="C129" s="256">
        <f t="shared" si="7"/>
        <v>0</v>
      </c>
      <c r="D129" s="256">
        <f t="shared" si="8"/>
        <v>0</v>
      </c>
      <c r="E129" s="256">
        <f t="shared" si="9"/>
        <v>0</v>
      </c>
      <c r="F129" s="255">
        <v>6</v>
      </c>
      <c r="G129" s="250"/>
      <c r="H129" s="244"/>
      <c r="I129" s="250"/>
    </row>
    <row r="130" spans="1:9">
      <c r="A130" s="304">
        <v>75</v>
      </c>
      <c r="B130" s="256">
        <f t="shared" si="6"/>
        <v>0</v>
      </c>
      <c r="C130" s="256">
        <f t="shared" si="7"/>
        <v>0</v>
      </c>
      <c r="D130" s="256">
        <f t="shared" si="8"/>
        <v>0</v>
      </c>
      <c r="E130" s="256">
        <f t="shared" si="9"/>
        <v>0</v>
      </c>
      <c r="F130" s="255"/>
      <c r="G130" s="250"/>
      <c r="H130" s="244"/>
      <c r="I130" s="250"/>
    </row>
    <row r="131" spans="1:9">
      <c r="A131" s="304">
        <v>76</v>
      </c>
      <c r="B131" s="256">
        <f t="shared" si="6"/>
        <v>0</v>
      </c>
      <c r="C131" s="256">
        <f t="shared" si="7"/>
        <v>0</v>
      </c>
      <c r="D131" s="256">
        <f t="shared" si="8"/>
        <v>0</v>
      </c>
      <c r="E131" s="256">
        <f t="shared" si="9"/>
        <v>0</v>
      </c>
      <c r="F131" s="255"/>
      <c r="G131" s="250"/>
      <c r="H131" s="244"/>
      <c r="I131" s="250"/>
    </row>
    <row r="132" spans="1:9">
      <c r="A132" s="304">
        <v>77</v>
      </c>
      <c r="B132" s="256">
        <f t="shared" si="6"/>
        <v>0</v>
      </c>
      <c r="C132" s="256">
        <f t="shared" si="7"/>
        <v>0</v>
      </c>
      <c r="D132" s="256">
        <f t="shared" si="8"/>
        <v>0</v>
      </c>
      <c r="E132" s="256">
        <f t="shared" si="9"/>
        <v>0</v>
      </c>
      <c r="F132" s="255"/>
      <c r="G132" s="250"/>
      <c r="H132" s="244"/>
      <c r="I132" s="250"/>
    </row>
    <row r="133" spans="1:9">
      <c r="A133" s="304">
        <v>78</v>
      </c>
      <c r="B133" s="256">
        <f t="shared" si="6"/>
        <v>0</v>
      </c>
      <c r="C133" s="256">
        <f t="shared" si="7"/>
        <v>0</v>
      </c>
      <c r="D133" s="256">
        <f t="shared" si="8"/>
        <v>0</v>
      </c>
      <c r="E133" s="256">
        <f t="shared" si="9"/>
        <v>0</v>
      </c>
      <c r="F133" s="255"/>
      <c r="G133" s="305"/>
      <c r="H133" s="264"/>
      <c r="I133" s="250"/>
    </row>
    <row r="134" spans="1:9">
      <c r="A134" s="304">
        <v>79</v>
      </c>
      <c r="B134" s="256">
        <f t="shared" si="6"/>
        <v>0</v>
      </c>
      <c r="C134" s="256">
        <f t="shared" si="7"/>
        <v>0</v>
      </c>
      <c r="D134" s="256">
        <f t="shared" si="8"/>
        <v>0</v>
      </c>
      <c r="E134" s="256">
        <f t="shared" si="9"/>
        <v>0</v>
      </c>
      <c r="F134" s="255"/>
      <c r="G134" s="250"/>
      <c r="H134" s="244"/>
      <c r="I134" s="250"/>
    </row>
    <row r="135" spans="1:9">
      <c r="A135" s="304">
        <v>80</v>
      </c>
      <c r="B135" s="256">
        <f t="shared" si="6"/>
        <v>0</v>
      </c>
      <c r="C135" s="256">
        <f t="shared" si="7"/>
        <v>0</v>
      </c>
      <c r="D135" s="256">
        <f t="shared" si="8"/>
        <v>0</v>
      </c>
      <c r="E135" s="256">
        <f t="shared" si="9"/>
        <v>0</v>
      </c>
      <c r="F135" s="255"/>
      <c r="G135" s="250"/>
      <c r="H135" s="244"/>
      <c r="I135" s="250"/>
    </row>
    <row r="136" spans="1:9">
      <c r="A136" s="304">
        <v>81</v>
      </c>
      <c r="B136" s="256">
        <f t="shared" si="6"/>
        <v>0</v>
      </c>
      <c r="C136" s="256">
        <f t="shared" si="7"/>
        <v>0</v>
      </c>
      <c r="D136" s="256">
        <f t="shared" si="8"/>
        <v>0</v>
      </c>
      <c r="E136" s="256">
        <f t="shared" si="9"/>
        <v>0</v>
      </c>
      <c r="F136" s="255"/>
      <c r="G136" s="250"/>
      <c r="H136" s="244"/>
      <c r="I136" s="250"/>
    </row>
    <row r="137" spans="1:9">
      <c r="A137" s="304">
        <v>82</v>
      </c>
      <c r="B137" s="256">
        <f t="shared" si="6"/>
        <v>0</v>
      </c>
      <c r="C137" s="256">
        <f t="shared" si="7"/>
        <v>0</v>
      </c>
      <c r="D137" s="256">
        <f t="shared" si="8"/>
        <v>0</v>
      </c>
      <c r="E137" s="256">
        <f t="shared" si="9"/>
        <v>0</v>
      </c>
      <c r="F137" s="255"/>
      <c r="G137" s="250"/>
      <c r="H137" s="244"/>
      <c r="I137" s="250"/>
    </row>
    <row r="138" spans="1:9">
      <c r="A138" s="304">
        <v>83</v>
      </c>
      <c r="B138" s="256">
        <f t="shared" si="6"/>
        <v>0</v>
      </c>
      <c r="C138" s="256">
        <f t="shared" si="7"/>
        <v>0</v>
      </c>
      <c r="D138" s="256">
        <f t="shared" si="8"/>
        <v>0</v>
      </c>
      <c r="E138" s="256">
        <f t="shared" si="9"/>
        <v>0</v>
      </c>
      <c r="F138" s="255"/>
      <c r="G138" s="250"/>
      <c r="H138" s="244"/>
      <c r="I138" s="250"/>
    </row>
    <row r="139" spans="1:9">
      <c r="A139" s="304">
        <v>84</v>
      </c>
      <c r="B139" s="256">
        <f t="shared" si="6"/>
        <v>0</v>
      </c>
      <c r="C139" s="256">
        <f t="shared" si="7"/>
        <v>0</v>
      </c>
      <c r="D139" s="256">
        <f t="shared" si="8"/>
        <v>0</v>
      </c>
      <c r="E139" s="256">
        <f t="shared" si="9"/>
        <v>0</v>
      </c>
      <c r="F139" s="255">
        <v>7</v>
      </c>
      <c r="G139" s="305"/>
      <c r="H139" s="264"/>
      <c r="I139" s="305"/>
    </row>
    <row r="140" spans="1:9">
      <c r="A140" s="304">
        <v>85</v>
      </c>
      <c r="B140" s="256">
        <f t="shared" si="6"/>
        <v>0</v>
      </c>
      <c r="C140" s="256">
        <f t="shared" si="7"/>
        <v>0</v>
      </c>
      <c r="D140" s="256">
        <f t="shared" si="8"/>
        <v>0</v>
      </c>
      <c r="E140" s="256">
        <f t="shared" si="9"/>
        <v>0</v>
      </c>
      <c r="F140" s="255"/>
      <c r="G140" s="250"/>
      <c r="H140" s="244"/>
      <c r="I140" s="305"/>
    </row>
    <row r="141" spans="1:9">
      <c r="A141" s="304">
        <v>86</v>
      </c>
      <c r="B141" s="256">
        <f t="shared" si="6"/>
        <v>0</v>
      </c>
      <c r="C141" s="256">
        <f t="shared" si="7"/>
        <v>0</v>
      </c>
      <c r="D141" s="256">
        <f t="shared" si="8"/>
        <v>0</v>
      </c>
      <c r="E141" s="256">
        <f t="shared" si="9"/>
        <v>0</v>
      </c>
      <c r="F141" s="255"/>
      <c r="G141" s="250"/>
      <c r="H141" s="244"/>
      <c r="I141" s="250"/>
    </row>
    <row r="142" spans="1:9">
      <c r="A142" s="304">
        <v>87</v>
      </c>
      <c r="B142" s="256">
        <f t="shared" si="6"/>
        <v>0</v>
      </c>
      <c r="C142" s="256">
        <f t="shared" si="7"/>
        <v>0</v>
      </c>
      <c r="D142" s="256">
        <f t="shared" si="8"/>
        <v>0</v>
      </c>
      <c r="E142" s="256">
        <f t="shared" si="9"/>
        <v>0</v>
      </c>
      <c r="F142" s="255"/>
      <c r="G142" s="250"/>
      <c r="H142" s="244"/>
      <c r="I142" s="250"/>
    </row>
    <row r="143" spans="1:9">
      <c r="A143" s="304">
        <v>88</v>
      </c>
      <c r="B143" s="256">
        <f t="shared" si="6"/>
        <v>0</v>
      </c>
      <c r="C143" s="256">
        <f t="shared" si="7"/>
        <v>0</v>
      </c>
      <c r="D143" s="256">
        <f t="shared" si="8"/>
        <v>0</v>
      </c>
      <c r="E143" s="256">
        <f t="shared" si="9"/>
        <v>0</v>
      </c>
      <c r="F143" s="255"/>
      <c r="G143" s="250"/>
      <c r="H143" s="244"/>
      <c r="I143" s="250"/>
    </row>
    <row r="144" spans="1:9">
      <c r="A144" s="304">
        <v>89</v>
      </c>
      <c r="B144" s="256">
        <f t="shared" si="6"/>
        <v>0</v>
      </c>
      <c r="C144" s="256">
        <f t="shared" si="7"/>
        <v>0</v>
      </c>
      <c r="D144" s="256">
        <f t="shared" si="8"/>
        <v>0</v>
      </c>
      <c r="E144" s="256">
        <f t="shared" si="9"/>
        <v>0</v>
      </c>
      <c r="F144" s="255"/>
      <c r="G144" s="250"/>
      <c r="H144" s="244"/>
      <c r="I144" s="250"/>
    </row>
    <row r="145" spans="1:9">
      <c r="A145" s="304">
        <v>90</v>
      </c>
      <c r="B145" s="256">
        <f t="shared" si="6"/>
        <v>0</v>
      </c>
      <c r="C145" s="256">
        <f t="shared" si="7"/>
        <v>0</v>
      </c>
      <c r="D145" s="256">
        <f t="shared" si="8"/>
        <v>0</v>
      </c>
      <c r="E145" s="256">
        <f t="shared" si="9"/>
        <v>0</v>
      </c>
      <c r="F145" s="255"/>
      <c r="G145" s="305"/>
      <c r="H145" s="264"/>
      <c r="I145" s="250"/>
    </row>
    <row r="146" spans="1:9">
      <c r="A146" s="304">
        <v>91</v>
      </c>
      <c r="B146" s="256">
        <f t="shared" si="6"/>
        <v>0</v>
      </c>
      <c r="C146" s="256">
        <f t="shared" si="7"/>
        <v>0</v>
      </c>
      <c r="D146" s="256">
        <f t="shared" si="8"/>
        <v>0</v>
      </c>
      <c r="E146" s="256">
        <f t="shared" si="9"/>
        <v>0</v>
      </c>
      <c r="F146" s="255"/>
      <c r="G146" s="250"/>
      <c r="H146" s="244"/>
      <c r="I146" s="250"/>
    </row>
    <row r="147" spans="1:9">
      <c r="A147" s="304">
        <v>92</v>
      </c>
      <c r="B147" s="256">
        <f t="shared" si="6"/>
        <v>0</v>
      </c>
      <c r="C147" s="256">
        <f t="shared" si="7"/>
        <v>0</v>
      </c>
      <c r="D147" s="256">
        <f t="shared" si="8"/>
        <v>0</v>
      </c>
      <c r="E147" s="256">
        <f t="shared" si="9"/>
        <v>0</v>
      </c>
      <c r="F147" s="255"/>
      <c r="G147" s="250"/>
      <c r="H147" s="244"/>
      <c r="I147" s="250"/>
    </row>
    <row r="148" spans="1:9">
      <c r="A148" s="304">
        <v>93</v>
      </c>
      <c r="B148" s="256">
        <f t="shared" si="6"/>
        <v>0</v>
      </c>
      <c r="C148" s="256">
        <f t="shared" si="7"/>
        <v>0</v>
      </c>
      <c r="D148" s="256">
        <f t="shared" si="8"/>
        <v>0</v>
      </c>
      <c r="E148" s="256">
        <f t="shared" si="9"/>
        <v>0</v>
      </c>
      <c r="F148" s="255"/>
      <c r="G148" s="250"/>
      <c r="H148" s="244"/>
      <c r="I148" s="250"/>
    </row>
    <row r="149" spans="1:9">
      <c r="A149" s="304">
        <v>94</v>
      </c>
      <c r="B149" s="256">
        <f t="shared" si="6"/>
        <v>0</v>
      </c>
      <c r="C149" s="256">
        <f t="shared" si="7"/>
        <v>0</v>
      </c>
      <c r="D149" s="256">
        <f t="shared" si="8"/>
        <v>0</v>
      </c>
      <c r="E149" s="256">
        <f t="shared" si="9"/>
        <v>0</v>
      </c>
      <c r="F149" s="255"/>
      <c r="G149" s="250"/>
      <c r="H149" s="244"/>
      <c r="I149" s="250"/>
    </row>
    <row r="150" spans="1:9">
      <c r="A150" s="304">
        <v>95</v>
      </c>
      <c r="B150" s="256">
        <f t="shared" si="6"/>
        <v>0</v>
      </c>
      <c r="C150" s="256">
        <f t="shared" si="7"/>
        <v>0</v>
      </c>
      <c r="D150" s="256">
        <f t="shared" si="8"/>
        <v>0</v>
      </c>
      <c r="E150" s="256">
        <f t="shared" si="9"/>
        <v>0</v>
      </c>
      <c r="F150" s="255"/>
      <c r="G150" s="250"/>
      <c r="H150" s="244"/>
      <c r="I150" s="250"/>
    </row>
    <row r="151" spans="1:9">
      <c r="A151" s="304">
        <v>96</v>
      </c>
      <c r="B151" s="256">
        <f t="shared" si="6"/>
        <v>0</v>
      </c>
      <c r="C151" s="256">
        <f t="shared" si="7"/>
        <v>0</v>
      </c>
      <c r="D151" s="256">
        <f t="shared" si="8"/>
        <v>0</v>
      </c>
      <c r="E151" s="256">
        <f t="shared" si="9"/>
        <v>0</v>
      </c>
      <c r="F151" s="255">
        <v>8</v>
      </c>
      <c r="G151" s="305"/>
      <c r="H151" s="264"/>
      <c r="I151" s="305"/>
    </row>
    <row r="152" spans="1:9">
      <c r="A152" s="304">
        <v>97</v>
      </c>
      <c r="B152" s="256">
        <f t="shared" si="6"/>
        <v>0</v>
      </c>
      <c r="C152" s="256">
        <f t="shared" si="7"/>
        <v>0</v>
      </c>
      <c r="D152" s="256">
        <f t="shared" si="8"/>
        <v>0</v>
      </c>
      <c r="E152" s="256">
        <f t="shared" si="9"/>
        <v>0</v>
      </c>
      <c r="F152" s="255"/>
      <c r="G152" s="250"/>
      <c r="H152" s="244"/>
      <c r="I152" s="305"/>
    </row>
    <row r="153" spans="1:9">
      <c r="A153" s="304">
        <v>98</v>
      </c>
      <c r="B153" s="256">
        <f t="shared" si="6"/>
        <v>0</v>
      </c>
      <c r="C153" s="256">
        <f t="shared" si="7"/>
        <v>0</v>
      </c>
      <c r="D153" s="256">
        <f t="shared" si="8"/>
        <v>0</v>
      </c>
      <c r="E153" s="256">
        <f t="shared" si="9"/>
        <v>0</v>
      </c>
      <c r="F153" s="255"/>
      <c r="G153" s="250"/>
      <c r="H153" s="244"/>
      <c r="I153" s="250"/>
    </row>
    <row r="154" spans="1:9">
      <c r="A154" s="304">
        <v>99</v>
      </c>
      <c r="B154" s="256">
        <f t="shared" si="6"/>
        <v>0</v>
      </c>
      <c r="C154" s="256">
        <f t="shared" si="7"/>
        <v>0</v>
      </c>
      <c r="D154" s="256">
        <f t="shared" si="8"/>
        <v>0</v>
      </c>
      <c r="E154" s="256">
        <f t="shared" si="9"/>
        <v>0</v>
      </c>
      <c r="F154" s="255"/>
      <c r="G154" s="250"/>
      <c r="H154" s="244"/>
      <c r="I154" s="250"/>
    </row>
    <row r="155" spans="1:9">
      <c r="A155" s="304">
        <v>100</v>
      </c>
      <c r="B155" s="256">
        <f t="shared" si="6"/>
        <v>0</v>
      </c>
      <c r="C155" s="256">
        <f t="shared" si="7"/>
        <v>0</v>
      </c>
      <c r="D155" s="256">
        <f t="shared" si="8"/>
        <v>0</v>
      </c>
      <c r="E155" s="256">
        <f t="shared" si="9"/>
        <v>0</v>
      </c>
      <c r="F155" s="255"/>
      <c r="G155" s="250"/>
      <c r="H155" s="244"/>
      <c r="I155" s="250"/>
    </row>
    <row r="156" spans="1:9">
      <c r="A156" s="304">
        <v>101</v>
      </c>
      <c r="B156" s="256">
        <f t="shared" si="6"/>
        <v>0</v>
      </c>
      <c r="C156" s="256">
        <f t="shared" si="7"/>
        <v>0</v>
      </c>
      <c r="D156" s="256">
        <f t="shared" si="8"/>
        <v>0</v>
      </c>
      <c r="E156" s="256">
        <f t="shared" si="9"/>
        <v>0</v>
      </c>
      <c r="F156" s="255"/>
      <c r="G156" s="250"/>
      <c r="H156" s="244"/>
      <c r="I156" s="250"/>
    </row>
    <row r="157" spans="1:9">
      <c r="A157" s="304">
        <v>102</v>
      </c>
      <c r="B157" s="256">
        <f t="shared" si="6"/>
        <v>0</v>
      </c>
      <c r="C157" s="256">
        <f t="shared" si="7"/>
        <v>0</v>
      </c>
      <c r="D157" s="256">
        <f t="shared" si="8"/>
        <v>0</v>
      </c>
      <c r="E157" s="256">
        <f t="shared" si="9"/>
        <v>0</v>
      </c>
      <c r="F157" s="255"/>
      <c r="G157" s="305"/>
      <c r="H157" s="264"/>
      <c r="I157" s="250"/>
    </row>
    <row r="158" spans="1:9">
      <c r="A158" s="304">
        <v>103</v>
      </c>
      <c r="B158" s="256">
        <f t="shared" si="6"/>
        <v>0</v>
      </c>
      <c r="C158" s="256">
        <f t="shared" si="7"/>
        <v>0</v>
      </c>
      <c r="D158" s="256">
        <f t="shared" si="8"/>
        <v>0</v>
      </c>
      <c r="E158" s="256">
        <f t="shared" si="9"/>
        <v>0</v>
      </c>
      <c r="F158" s="255"/>
      <c r="G158" s="250"/>
      <c r="H158" s="244"/>
      <c r="I158" s="250"/>
    </row>
    <row r="159" spans="1:9">
      <c r="A159" s="304">
        <v>104</v>
      </c>
      <c r="B159" s="256">
        <f t="shared" si="6"/>
        <v>0</v>
      </c>
      <c r="C159" s="256">
        <f t="shared" si="7"/>
        <v>0</v>
      </c>
      <c r="D159" s="256">
        <f t="shared" si="8"/>
        <v>0</v>
      </c>
      <c r="E159" s="256">
        <f t="shared" si="9"/>
        <v>0</v>
      </c>
      <c r="F159" s="255"/>
      <c r="G159" s="250"/>
      <c r="H159" s="244"/>
      <c r="I159" s="250"/>
    </row>
    <row r="160" spans="1:9">
      <c r="A160" s="304">
        <v>105</v>
      </c>
      <c r="B160" s="256">
        <f t="shared" si="6"/>
        <v>0</v>
      </c>
      <c r="C160" s="256">
        <f t="shared" si="7"/>
        <v>0</v>
      </c>
      <c r="D160" s="256">
        <f t="shared" si="8"/>
        <v>0</v>
      </c>
      <c r="E160" s="256">
        <f t="shared" si="9"/>
        <v>0</v>
      </c>
      <c r="F160" s="255"/>
      <c r="G160" s="250"/>
      <c r="H160" s="244"/>
      <c r="I160" s="250"/>
    </row>
    <row r="161" spans="1:9">
      <c r="A161" s="304">
        <v>106</v>
      </c>
      <c r="B161" s="256">
        <f t="shared" si="6"/>
        <v>0</v>
      </c>
      <c r="C161" s="256">
        <f t="shared" si="7"/>
        <v>0</v>
      </c>
      <c r="D161" s="256">
        <f t="shared" si="8"/>
        <v>0</v>
      </c>
      <c r="E161" s="256">
        <f t="shared" si="9"/>
        <v>0</v>
      </c>
      <c r="F161" s="255"/>
      <c r="G161" s="250"/>
      <c r="H161" s="244"/>
      <c r="I161" s="250"/>
    </row>
    <row r="162" spans="1:9">
      <c r="A162" s="304">
        <v>107</v>
      </c>
      <c r="B162" s="256">
        <f t="shared" si="6"/>
        <v>0</v>
      </c>
      <c r="C162" s="256">
        <f t="shared" si="7"/>
        <v>0</v>
      </c>
      <c r="D162" s="256">
        <f t="shared" si="8"/>
        <v>0</v>
      </c>
      <c r="E162" s="256">
        <f t="shared" si="9"/>
        <v>0</v>
      </c>
      <c r="F162" s="255"/>
      <c r="G162" s="250"/>
      <c r="H162" s="244"/>
      <c r="I162" s="250"/>
    </row>
    <row r="163" spans="1:9">
      <c r="A163" s="304">
        <v>108</v>
      </c>
      <c r="B163" s="256">
        <f t="shared" si="6"/>
        <v>0</v>
      </c>
      <c r="C163" s="256">
        <f t="shared" si="7"/>
        <v>0</v>
      </c>
      <c r="D163" s="256">
        <f t="shared" si="8"/>
        <v>0</v>
      </c>
      <c r="E163" s="256">
        <f t="shared" si="9"/>
        <v>0</v>
      </c>
      <c r="F163" s="255">
        <v>9</v>
      </c>
      <c r="G163" s="305"/>
      <c r="H163" s="264"/>
      <c r="I163" s="305"/>
    </row>
    <row r="164" spans="1:9">
      <c r="A164" s="304">
        <v>109</v>
      </c>
      <c r="B164" s="256">
        <f t="shared" si="6"/>
        <v>0</v>
      </c>
      <c r="C164" s="256">
        <f t="shared" si="7"/>
        <v>0</v>
      </c>
      <c r="D164" s="256">
        <f t="shared" si="8"/>
        <v>0</v>
      </c>
      <c r="E164" s="256">
        <f t="shared" si="9"/>
        <v>0</v>
      </c>
      <c r="F164" s="255"/>
      <c r="G164" s="250"/>
      <c r="H164" s="244"/>
      <c r="I164" s="305"/>
    </row>
    <row r="165" spans="1:9">
      <c r="A165" s="304">
        <v>110</v>
      </c>
      <c r="B165" s="256">
        <f t="shared" si="6"/>
        <v>0</v>
      </c>
      <c r="C165" s="256">
        <f t="shared" si="7"/>
        <v>0</v>
      </c>
      <c r="D165" s="256">
        <f t="shared" si="8"/>
        <v>0</v>
      </c>
      <c r="E165" s="256">
        <f t="shared" si="9"/>
        <v>0</v>
      </c>
      <c r="F165" s="255"/>
      <c r="G165" s="250"/>
      <c r="H165" s="244"/>
      <c r="I165" s="250"/>
    </row>
    <row r="166" spans="1:9">
      <c r="A166" s="304">
        <v>111</v>
      </c>
      <c r="B166" s="256">
        <f t="shared" si="6"/>
        <v>0</v>
      </c>
      <c r="C166" s="256">
        <f t="shared" si="7"/>
        <v>0</v>
      </c>
      <c r="D166" s="256">
        <f t="shared" si="8"/>
        <v>0</v>
      </c>
      <c r="E166" s="256">
        <f t="shared" si="9"/>
        <v>0</v>
      </c>
      <c r="F166" s="255"/>
      <c r="G166" s="250"/>
      <c r="H166" s="244"/>
      <c r="I166" s="250"/>
    </row>
    <row r="167" spans="1:9">
      <c r="A167" s="304">
        <v>112</v>
      </c>
      <c r="B167" s="256">
        <f t="shared" si="6"/>
        <v>0</v>
      </c>
      <c r="C167" s="256">
        <f t="shared" si="7"/>
        <v>0</v>
      </c>
      <c r="D167" s="256">
        <f t="shared" si="8"/>
        <v>0</v>
      </c>
      <c r="E167" s="256">
        <f t="shared" si="9"/>
        <v>0</v>
      </c>
      <c r="F167" s="255"/>
      <c r="G167" s="250"/>
      <c r="H167" s="244"/>
      <c r="I167" s="250"/>
    </row>
    <row r="168" spans="1:9">
      <c r="A168" s="304">
        <v>113</v>
      </c>
      <c r="B168" s="256">
        <f t="shared" si="6"/>
        <v>0</v>
      </c>
      <c r="C168" s="256">
        <f t="shared" si="7"/>
        <v>0</v>
      </c>
      <c r="D168" s="256">
        <f t="shared" si="8"/>
        <v>0</v>
      </c>
      <c r="E168" s="256">
        <f t="shared" si="9"/>
        <v>0</v>
      </c>
      <c r="F168" s="255"/>
      <c r="G168" s="250"/>
      <c r="H168" s="244"/>
      <c r="I168" s="250"/>
    </row>
    <row r="169" spans="1:9">
      <c r="A169" s="304">
        <v>114</v>
      </c>
      <c r="B169" s="256">
        <f t="shared" si="6"/>
        <v>0</v>
      </c>
      <c r="C169" s="256">
        <f t="shared" si="7"/>
        <v>0</v>
      </c>
      <c r="D169" s="256">
        <f t="shared" si="8"/>
        <v>0</v>
      </c>
      <c r="E169" s="256">
        <f t="shared" si="9"/>
        <v>0</v>
      </c>
      <c r="F169" s="255"/>
      <c r="G169" s="305"/>
      <c r="H169" s="264"/>
      <c r="I169" s="250"/>
    </row>
    <row r="170" spans="1:9">
      <c r="A170" s="304">
        <v>115</v>
      </c>
      <c r="B170" s="256">
        <f t="shared" si="6"/>
        <v>0</v>
      </c>
      <c r="C170" s="256">
        <f t="shared" si="7"/>
        <v>0</v>
      </c>
      <c r="D170" s="256">
        <f t="shared" si="8"/>
        <v>0</v>
      </c>
      <c r="E170" s="256">
        <f t="shared" si="9"/>
        <v>0</v>
      </c>
      <c r="F170" s="255"/>
      <c r="G170" s="250"/>
      <c r="H170" s="244"/>
      <c r="I170" s="250"/>
    </row>
    <row r="171" spans="1:9">
      <c r="A171" s="304">
        <v>116</v>
      </c>
      <c r="B171" s="256">
        <f t="shared" si="6"/>
        <v>0</v>
      </c>
      <c r="C171" s="256">
        <f t="shared" si="7"/>
        <v>0</v>
      </c>
      <c r="D171" s="256">
        <f t="shared" si="8"/>
        <v>0</v>
      </c>
      <c r="E171" s="256">
        <f t="shared" si="9"/>
        <v>0</v>
      </c>
      <c r="F171" s="255"/>
      <c r="G171" s="250"/>
      <c r="H171" s="244"/>
      <c r="I171" s="250"/>
    </row>
    <row r="172" spans="1:9">
      <c r="A172" s="304">
        <v>117</v>
      </c>
      <c r="B172" s="256">
        <f t="shared" si="6"/>
        <v>0</v>
      </c>
      <c r="C172" s="256">
        <f t="shared" si="7"/>
        <v>0</v>
      </c>
      <c r="D172" s="256">
        <f t="shared" si="8"/>
        <v>0</v>
      </c>
      <c r="E172" s="256">
        <f t="shared" si="9"/>
        <v>0</v>
      </c>
      <c r="F172" s="255"/>
      <c r="G172" s="250"/>
      <c r="H172" s="244"/>
      <c r="I172" s="250"/>
    </row>
    <row r="173" spans="1:9">
      <c r="A173" s="304">
        <v>118</v>
      </c>
      <c r="B173" s="256">
        <f t="shared" si="6"/>
        <v>0</v>
      </c>
      <c r="C173" s="256">
        <f t="shared" si="7"/>
        <v>0</v>
      </c>
      <c r="D173" s="256">
        <f t="shared" si="8"/>
        <v>0</v>
      </c>
      <c r="E173" s="256">
        <f t="shared" si="9"/>
        <v>0</v>
      </c>
      <c r="F173" s="255"/>
      <c r="G173" s="250"/>
      <c r="H173" s="244"/>
      <c r="I173" s="250"/>
    </row>
    <row r="174" spans="1:9">
      <c r="A174" s="304">
        <v>119</v>
      </c>
      <c r="B174" s="256">
        <f t="shared" si="6"/>
        <v>0</v>
      </c>
      <c r="C174" s="256">
        <f t="shared" si="7"/>
        <v>0</v>
      </c>
      <c r="D174" s="256">
        <f t="shared" si="8"/>
        <v>0</v>
      </c>
      <c r="E174" s="256">
        <f t="shared" si="9"/>
        <v>0</v>
      </c>
      <c r="F174" s="255"/>
      <c r="G174" s="250"/>
      <c r="H174" s="244"/>
      <c r="I174" s="250"/>
    </row>
    <row r="175" spans="1:9">
      <c r="A175" s="304">
        <v>120</v>
      </c>
      <c r="B175" s="256">
        <f t="shared" si="6"/>
        <v>0</v>
      </c>
      <c r="C175" s="256">
        <f t="shared" si="7"/>
        <v>0</v>
      </c>
      <c r="D175" s="256">
        <f t="shared" si="8"/>
        <v>0</v>
      </c>
      <c r="E175" s="256">
        <f t="shared" si="9"/>
        <v>0</v>
      </c>
      <c r="F175" s="255">
        <v>10</v>
      </c>
      <c r="G175" s="305"/>
      <c r="H175" s="264"/>
      <c r="I175" s="305"/>
    </row>
    <row r="176" spans="1:9">
      <c r="A176" s="304">
        <v>121</v>
      </c>
      <c r="B176" s="256">
        <f t="shared" si="6"/>
        <v>0</v>
      </c>
      <c r="C176" s="256">
        <f t="shared" si="7"/>
        <v>0</v>
      </c>
      <c r="D176" s="256">
        <f t="shared" si="8"/>
        <v>0</v>
      </c>
      <c r="E176" s="256">
        <f t="shared" si="9"/>
        <v>0</v>
      </c>
      <c r="F176" s="255"/>
      <c r="G176" s="250"/>
      <c r="H176" s="244"/>
      <c r="I176" s="305"/>
    </row>
    <row r="177" spans="1:9">
      <c r="A177" s="304">
        <v>122</v>
      </c>
      <c r="B177" s="256">
        <f t="shared" si="6"/>
        <v>0</v>
      </c>
      <c r="C177" s="256">
        <f t="shared" si="7"/>
        <v>0</v>
      </c>
      <c r="D177" s="256">
        <f t="shared" si="8"/>
        <v>0</v>
      </c>
      <c r="E177" s="256">
        <f t="shared" si="9"/>
        <v>0</v>
      </c>
      <c r="F177" s="255"/>
      <c r="G177" s="250"/>
      <c r="H177" s="244"/>
      <c r="I177" s="250"/>
    </row>
    <row r="178" spans="1:9">
      <c r="A178" s="304">
        <v>123</v>
      </c>
      <c r="B178" s="256">
        <f t="shared" si="6"/>
        <v>0</v>
      </c>
      <c r="C178" s="256">
        <f t="shared" si="7"/>
        <v>0</v>
      </c>
      <c r="D178" s="256">
        <f t="shared" si="8"/>
        <v>0</v>
      </c>
      <c r="E178" s="256">
        <f t="shared" si="9"/>
        <v>0</v>
      </c>
      <c r="F178" s="255"/>
      <c r="G178" s="250"/>
      <c r="H178" s="244"/>
      <c r="I178" s="250"/>
    </row>
    <row r="179" spans="1:9">
      <c r="A179" s="304">
        <v>124</v>
      </c>
      <c r="B179" s="256">
        <f t="shared" si="6"/>
        <v>0</v>
      </c>
      <c r="C179" s="256">
        <f t="shared" si="7"/>
        <v>0</v>
      </c>
      <c r="D179" s="256">
        <f t="shared" si="8"/>
        <v>0</v>
      </c>
      <c r="E179" s="256">
        <f t="shared" si="9"/>
        <v>0</v>
      </c>
      <c r="F179" s="255"/>
      <c r="G179" s="250"/>
      <c r="H179" s="244"/>
      <c r="I179" s="250"/>
    </row>
    <row r="180" spans="1:9">
      <c r="A180" s="304">
        <v>125</v>
      </c>
      <c r="B180" s="256">
        <f t="shared" si="6"/>
        <v>0</v>
      </c>
      <c r="C180" s="256">
        <f t="shared" si="7"/>
        <v>0</v>
      </c>
      <c r="D180" s="256">
        <f t="shared" si="8"/>
        <v>0</v>
      </c>
      <c r="E180" s="256">
        <f t="shared" si="9"/>
        <v>0</v>
      </c>
      <c r="F180" s="255"/>
      <c r="G180" s="250"/>
      <c r="H180" s="244"/>
      <c r="I180" s="250"/>
    </row>
    <row r="181" spans="1:9">
      <c r="A181" s="304">
        <v>126</v>
      </c>
      <c r="B181" s="256">
        <f t="shared" si="6"/>
        <v>0</v>
      </c>
      <c r="C181" s="256">
        <f t="shared" si="7"/>
        <v>0</v>
      </c>
      <c r="D181" s="256">
        <f t="shared" si="8"/>
        <v>0</v>
      </c>
      <c r="E181" s="256">
        <f t="shared" si="9"/>
        <v>0</v>
      </c>
      <c r="F181" s="255"/>
      <c r="G181" s="305"/>
      <c r="H181" s="264"/>
      <c r="I181" s="250"/>
    </row>
    <row r="182" spans="1:9">
      <c r="A182" s="304">
        <v>127</v>
      </c>
      <c r="B182" s="256">
        <f t="shared" si="6"/>
        <v>0</v>
      </c>
      <c r="C182" s="256">
        <f t="shared" si="7"/>
        <v>0</v>
      </c>
      <c r="D182" s="256">
        <f t="shared" si="8"/>
        <v>0</v>
      </c>
      <c r="E182" s="256">
        <f t="shared" si="9"/>
        <v>0</v>
      </c>
      <c r="F182" s="255"/>
      <c r="G182" s="250"/>
      <c r="H182" s="244"/>
      <c r="I182" s="250"/>
    </row>
    <row r="183" spans="1:9">
      <c r="A183" s="304">
        <v>128</v>
      </c>
      <c r="B183" s="256">
        <f t="shared" si="6"/>
        <v>0</v>
      </c>
      <c r="C183" s="256">
        <f t="shared" si="7"/>
        <v>0</v>
      </c>
      <c r="D183" s="256">
        <f t="shared" si="8"/>
        <v>0</v>
      </c>
      <c r="E183" s="256">
        <f t="shared" si="9"/>
        <v>0</v>
      </c>
      <c r="F183" s="255"/>
      <c r="G183" s="250"/>
      <c r="H183" s="244"/>
      <c r="I183" s="250"/>
    </row>
    <row r="184" spans="1:9">
      <c r="A184" s="304">
        <v>129</v>
      </c>
      <c r="B184" s="256">
        <f t="shared" ref="B184:B247" si="10">IF(A184&gt;12*$D$14,0,$D$20)</f>
        <v>0</v>
      </c>
      <c r="C184" s="256">
        <f t="shared" ref="C184:C247" si="11">IF(A184&gt;12*$D$14,0,E183*$D$10/12)</f>
        <v>0</v>
      </c>
      <c r="D184" s="256">
        <f t="shared" ref="D184:D247" si="12">IF(A184&gt;12*$D$14,0,B184-C184)</f>
        <v>0</v>
      </c>
      <c r="E184" s="256">
        <f t="shared" ref="E184:E247" si="13">IF(A184&gt;12*$D$14,0,E183-D184)</f>
        <v>0</v>
      </c>
      <c r="F184" s="255"/>
      <c r="G184" s="250"/>
      <c r="H184" s="244"/>
      <c r="I184" s="250"/>
    </row>
    <row r="185" spans="1:9">
      <c r="A185" s="304">
        <v>130</v>
      </c>
      <c r="B185" s="256">
        <f t="shared" si="10"/>
        <v>0</v>
      </c>
      <c r="C185" s="256">
        <f t="shared" si="11"/>
        <v>0</v>
      </c>
      <c r="D185" s="256">
        <f t="shared" si="12"/>
        <v>0</v>
      </c>
      <c r="E185" s="256">
        <f t="shared" si="13"/>
        <v>0</v>
      </c>
      <c r="F185" s="255"/>
      <c r="G185" s="250"/>
      <c r="H185" s="244"/>
      <c r="I185" s="250"/>
    </row>
    <row r="186" spans="1:9">
      <c r="A186" s="304">
        <v>131</v>
      </c>
      <c r="B186" s="256">
        <f t="shared" si="10"/>
        <v>0</v>
      </c>
      <c r="C186" s="256">
        <f t="shared" si="11"/>
        <v>0</v>
      </c>
      <c r="D186" s="256">
        <f t="shared" si="12"/>
        <v>0</v>
      </c>
      <c r="E186" s="256">
        <f t="shared" si="13"/>
        <v>0</v>
      </c>
      <c r="F186" s="255"/>
      <c r="G186" s="250"/>
      <c r="H186" s="244"/>
      <c r="I186" s="250"/>
    </row>
    <row r="187" spans="1:9">
      <c r="A187" s="304">
        <v>132</v>
      </c>
      <c r="B187" s="256">
        <f t="shared" si="10"/>
        <v>0</v>
      </c>
      <c r="C187" s="256">
        <f t="shared" si="11"/>
        <v>0</v>
      </c>
      <c r="D187" s="256">
        <f t="shared" si="12"/>
        <v>0</v>
      </c>
      <c r="E187" s="256">
        <f t="shared" si="13"/>
        <v>0</v>
      </c>
      <c r="F187" s="255">
        <v>11</v>
      </c>
      <c r="G187" s="305"/>
      <c r="H187" s="264"/>
      <c r="I187" s="305"/>
    </row>
    <row r="188" spans="1:9">
      <c r="A188" s="304">
        <v>133</v>
      </c>
      <c r="B188" s="256">
        <f t="shared" si="10"/>
        <v>0</v>
      </c>
      <c r="C188" s="256">
        <f t="shared" si="11"/>
        <v>0</v>
      </c>
      <c r="D188" s="256">
        <f t="shared" si="12"/>
        <v>0</v>
      </c>
      <c r="E188" s="256">
        <f t="shared" si="13"/>
        <v>0</v>
      </c>
      <c r="F188" s="255"/>
      <c r="G188" s="250"/>
      <c r="H188" s="244"/>
      <c r="I188" s="305"/>
    </row>
    <row r="189" spans="1:9">
      <c r="A189" s="304">
        <v>134</v>
      </c>
      <c r="B189" s="256">
        <f t="shared" si="10"/>
        <v>0</v>
      </c>
      <c r="C189" s="256">
        <f t="shared" si="11"/>
        <v>0</v>
      </c>
      <c r="D189" s="256">
        <f t="shared" si="12"/>
        <v>0</v>
      </c>
      <c r="E189" s="256">
        <f t="shared" si="13"/>
        <v>0</v>
      </c>
      <c r="F189" s="255"/>
      <c r="G189" s="250"/>
      <c r="H189" s="244"/>
      <c r="I189" s="250"/>
    </row>
    <row r="190" spans="1:9">
      <c r="A190" s="304">
        <v>135</v>
      </c>
      <c r="B190" s="256">
        <f t="shared" si="10"/>
        <v>0</v>
      </c>
      <c r="C190" s="256">
        <f t="shared" si="11"/>
        <v>0</v>
      </c>
      <c r="D190" s="256">
        <f t="shared" si="12"/>
        <v>0</v>
      </c>
      <c r="E190" s="256">
        <f t="shared" si="13"/>
        <v>0</v>
      </c>
      <c r="F190" s="255"/>
      <c r="G190" s="250"/>
      <c r="H190" s="244"/>
      <c r="I190" s="250"/>
    </row>
    <row r="191" spans="1:9">
      <c r="A191" s="304">
        <v>136</v>
      </c>
      <c r="B191" s="256">
        <f t="shared" si="10"/>
        <v>0</v>
      </c>
      <c r="C191" s="256">
        <f t="shared" si="11"/>
        <v>0</v>
      </c>
      <c r="D191" s="256">
        <f t="shared" si="12"/>
        <v>0</v>
      </c>
      <c r="E191" s="256">
        <f t="shared" si="13"/>
        <v>0</v>
      </c>
      <c r="F191" s="255"/>
      <c r="G191" s="250"/>
      <c r="H191" s="244"/>
      <c r="I191" s="250"/>
    </row>
    <row r="192" spans="1:9">
      <c r="A192" s="304">
        <v>137</v>
      </c>
      <c r="B192" s="256">
        <f t="shared" si="10"/>
        <v>0</v>
      </c>
      <c r="C192" s="256">
        <f t="shared" si="11"/>
        <v>0</v>
      </c>
      <c r="D192" s="256">
        <f t="shared" si="12"/>
        <v>0</v>
      </c>
      <c r="E192" s="256">
        <f t="shared" si="13"/>
        <v>0</v>
      </c>
      <c r="F192" s="255"/>
      <c r="G192" s="250"/>
      <c r="H192" s="244"/>
      <c r="I192" s="250"/>
    </row>
    <row r="193" spans="1:9">
      <c r="A193" s="304">
        <v>138</v>
      </c>
      <c r="B193" s="256">
        <f t="shared" si="10"/>
        <v>0</v>
      </c>
      <c r="C193" s="256">
        <f t="shared" si="11"/>
        <v>0</v>
      </c>
      <c r="D193" s="256">
        <f t="shared" si="12"/>
        <v>0</v>
      </c>
      <c r="E193" s="256">
        <f t="shared" si="13"/>
        <v>0</v>
      </c>
      <c r="F193" s="255"/>
      <c r="G193" s="305"/>
      <c r="H193" s="264"/>
      <c r="I193" s="250"/>
    </row>
    <row r="194" spans="1:9">
      <c r="A194" s="304">
        <v>139</v>
      </c>
      <c r="B194" s="256">
        <f t="shared" si="10"/>
        <v>0</v>
      </c>
      <c r="C194" s="256">
        <f t="shared" si="11"/>
        <v>0</v>
      </c>
      <c r="D194" s="256">
        <f t="shared" si="12"/>
        <v>0</v>
      </c>
      <c r="E194" s="256">
        <f t="shared" si="13"/>
        <v>0</v>
      </c>
      <c r="F194" s="255"/>
      <c r="G194" s="250"/>
      <c r="H194" s="244"/>
      <c r="I194" s="250"/>
    </row>
    <row r="195" spans="1:9">
      <c r="A195" s="304">
        <v>140</v>
      </c>
      <c r="B195" s="256">
        <f t="shared" si="10"/>
        <v>0</v>
      </c>
      <c r="C195" s="256">
        <f t="shared" si="11"/>
        <v>0</v>
      </c>
      <c r="D195" s="256">
        <f t="shared" si="12"/>
        <v>0</v>
      </c>
      <c r="E195" s="256">
        <f t="shared" si="13"/>
        <v>0</v>
      </c>
      <c r="F195" s="255"/>
      <c r="G195" s="250"/>
      <c r="H195" s="244"/>
      <c r="I195" s="250"/>
    </row>
    <row r="196" spans="1:9">
      <c r="A196" s="304">
        <v>141</v>
      </c>
      <c r="B196" s="256">
        <f t="shared" si="10"/>
        <v>0</v>
      </c>
      <c r="C196" s="256">
        <f t="shared" si="11"/>
        <v>0</v>
      </c>
      <c r="D196" s="256">
        <f t="shared" si="12"/>
        <v>0</v>
      </c>
      <c r="E196" s="256">
        <f t="shared" si="13"/>
        <v>0</v>
      </c>
      <c r="F196" s="255"/>
      <c r="G196" s="250"/>
      <c r="H196" s="244"/>
      <c r="I196" s="250"/>
    </row>
    <row r="197" spans="1:9">
      <c r="A197" s="304">
        <v>142</v>
      </c>
      <c r="B197" s="256">
        <f t="shared" si="10"/>
        <v>0</v>
      </c>
      <c r="C197" s="256">
        <f t="shared" si="11"/>
        <v>0</v>
      </c>
      <c r="D197" s="256">
        <f t="shared" si="12"/>
        <v>0</v>
      </c>
      <c r="E197" s="256">
        <f t="shared" si="13"/>
        <v>0</v>
      </c>
      <c r="F197" s="255"/>
      <c r="G197" s="250"/>
      <c r="H197" s="244"/>
      <c r="I197" s="250"/>
    </row>
    <row r="198" spans="1:9">
      <c r="A198" s="304">
        <v>143</v>
      </c>
      <c r="B198" s="256">
        <f t="shared" si="10"/>
        <v>0</v>
      </c>
      <c r="C198" s="256">
        <f t="shared" si="11"/>
        <v>0</v>
      </c>
      <c r="D198" s="256">
        <f t="shared" si="12"/>
        <v>0</v>
      </c>
      <c r="E198" s="256">
        <f t="shared" si="13"/>
        <v>0</v>
      </c>
      <c r="F198" s="255"/>
      <c r="G198" s="250"/>
      <c r="H198" s="244"/>
      <c r="I198" s="250"/>
    </row>
    <row r="199" spans="1:9">
      <c r="A199" s="306">
        <v>144</v>
      </c>
      <c r="B199" s="256">
        <f t="shared" si="10"/>
        <v>0</v>
      </c>
      <c r="C199" s="256">
        <f t="shared" si="11"/>
        <v>0</v>
      </c>
      <c r="D199" s="256">
        <f t="shared" si="12"/>
        <v>0</v>
      </c>
      <c r="E199" s="256">
        <f t="shared" si="13"/>
        <v>0</v>
      </c>
      <c r="F199" s="257">
        <v>12</v>
      </c>
      <c r="G199" s="305"/>
      <c r="H199" s="264"/>
      <c r="I199" s="305"/>
    </row>
    <row r="200" spans="1:9">
      <c r="A200" s="304">
        <v>145</v>
      </c>
      <c r="B200" s="256">
        <f t="shared" si="10"/>
        <v>0</v>
      </c>
      <c r="C200" s="256">
        <f t="shared" si="11"/>
        <v>0</v>
      </c>
      <c r="D200" s="256">
        <f t="shared" si="12"/>
        <v>0</v>
      </c>
      <c r="E200" s="256">
        <f t="shared" si="13"/>
        <v>0</v>
      </c>
      <c r="F200" s="255"/>
      <c r="G200" s="250"/>
      <c r="H200" s="244"/>
      <c r="I200" s="305"/>
    </row>
    <row r="201" spans="1:9">
      <c r="A201" s="304">
        <v>146</v>
      </c>
      <c r="B201" s="256">
        <f t="shared" si="10"/>
        <v>0</v>
      </c>
      <c r="C201" s="256">
        <f t="shared" si="11"/>
        <v>0</v>
      </c>
      <c r="D201" s="256">
        <f t="shared" si="12"/>
        <v>0</v>
      </c>
      <c r="E201" s="256">
        <f t="shared" si="13"/>
        <v>0</v>
      </c>
      <c r="F201" s="255"/>
      <c r="G201" s="250"/>
      <c r="H201" s="244"/>
      <c r="I201" s="250"/>
    </row>
    <row r="202" spans="1:9">
      <c r="A202" s="304">
        <v>147</v>
      </c>
      <c r="B202" s="256">
        <f t="shared" si="10"/>
        <v>0</v>
      </c>
      <c r="C202" s="256">
        <f t="shared" si="11"/>
        <v>0</v>
      </c>
      <c r="D202" s="256">
        <f t="shared" si="12"/>
        <v>0</v>
      </c>
      <c r="E202" s="256">
        <f t="shared" si="13"/>
        <v>0</v>
      </c>
      <c r="F202" s="255"/>
      <c r="G202" s="250"/>
      <c r="H202" s="244"/>
      <c r="I202" s="250"/>
    </row>
    <row r="203" spans="1:9">
      <c r="A203" s="304">
        <v>148</v>
      </c>
      <c r="B203" s="256">
        <f t="shared" si="10"/>
        <v>0</v>
      </c>
      <c r="C203" s="256">
        <f t="shared" si="11"/>
        <v>0</v>
      </c>
      <c r="D203" s="256">
        <f t="shared" si="12"/>
        <v>0</v>
      </c>
      <c r="E203" s="256">
        <f t="shared" si="13"/>
        <v>0</v>
      </c>
      <c r="F203" s="255"/>
      <c r="G203" s="250"/>
      <c r="H203" s="244"/>
      <c r="I203" s="250"/>
    </row>
    <row r="204" spans="1:9">
      <c r="A204" s="304">
        <v>149</v>
      </c>
      <c r="B204" s="256">
        <f t="shared" si="10"/>
        <v>0</v>
      </c>
      <c r="C204" s="256">
        <f t="shared" si="11"/>
        <v>0</v>
      </c>
      <c r="D204" s="256">
        <f t="shared" si="12"/>
        <v>0</v>
      </c>
      <c r="E204" s="256">
        <f t="shared" si="13"/>
        <v>0</v>
      </c>
      <c r="F204" s="255"/>
      <c r="G204" s="250"/>
      <c r="H204" s="244"/>
      <c r="I204" s="250"/>
    </row>
    <row r="205" spans="1:9">
      <c r="A205" s="304">
        <v>150</v>
      </c>
      <c r="B205" s="256">
        <f t="shared" si="10"/>
        <v>0</v>
      </c>
      <c r="C205" s="256">
        <f t="shared" si="11"/>
        <v>0</v>
      </c>
      <c r="D205" s="256">
        <f t="shared" si="12"/>
        <v>0</v>
      </c>
      <c r="E205" s="256">
        <f t="shared" si="13"/>
        <v>0</v>
      </c>
      <c r="F205" s="255"/>
      <c r="G205" s="305"/>
      <c r="H205" s="264"/>
      <c r="I205" s="250"/>
    </row>
    <row r="206" spans="1:9">
      <c r="A206" s="304">
        <v>151</v>
      </c>
      <c r="B206" s="256">
        <f t="shared" si="10"/>
        <v>0</v>
      </c>
      <c r="C206" s="256">
        <f t="shared" si="11"/>
        <v>0</v>
      </c>
      <c r="D206" s="256">
        <f t="shared" si="12"/>
        <v>0</v>
      </c>
      <c r="E206" s="256">
        <f t="shared" si="13"/>
        <v>0</v>
      </c>
      <c r="F206" s="255"/>
      <c r="G206" s="250"/>
      <c r="H206" s="244"/>
      <c r="I206" s="250"/>
    </row>
    <row r="207" spans="1:9">
      <c r="A207" s="304">
        <v>152</v>
      </c>
      <c r="B207" s="256">
        <f t="shared" si="10"/>
        <v>0</v>
      </c>
      <c r="C207" s="256">
        <f t="shared" si="11"/>
        <v>0</v>
      </c>
      <c r="D207" s="256">
        <f t="shared" si="12"/>
        <v>0</v>
      </c>
      <c r="E207" s="256">
        <f t="shared" si="13"/>
        <v>0</v>
      </c>
      <c r="F207" s="255"/>
      <c r="G207" s="250"/>
      <c r="H207" s="244"/>
      <c r="I207" s="250"/>
    </row>
    <row r="208" spans="1:9">
      <c r="A208" s="304">
        <v>153</v>
      </c>
      <c r="B208" s="256">
        <f t="shared" si="10"/>
        <v>0</v>
      </c>
      <c r="C208" s="256">
        <f t="shared" si="11"/>
        <v>0</v>
      </c>
      <c r="D208" s="256">
        <f t="shared" si="12"/>
        <v>0</v>
      </c>
      <c r="E208" s="256">
        <f t="shared" si="13"/>
        <v>0</v>
      </c>
      <c r="F208" s="255"/>
      <c r="G208" s="250"/>
      <c r="H208" s="244"/>
      <c r="I208" s="250"/>
    </row>
    <row r="209" spans="1:9">
      <c r="A209" s="304">
        <v>154</v>
      </c>
      <c r="B209" s="256">
        <f t="shared" si="10"/>
        <v>0</v>
      </c>
      <c r="C209" s="256">
        <f t="shared" si="11"/>
        <v>0</v>
      </c>
      <c r="D209" s="256">
        <f t="shared" si="12"/>
        <v>0</v>
      </c>
      <c r="E209" s="256">
        <f t="shared" si="13"/>
        <v>0</v>
      </c>
      <c r="F209" s="255"/>
      <c r="G209" s="250"/>
      <c r="H209" s="244"/>
      <c r="I209" s="250"/>
    </row>
    <row r="210" spans="1:9">
      <c r="A210" s="304">
        <v>155</v>
      </c>
      <c r="B210" s="256">
        <f t="shared" si="10"/>
        <v>0</v>
      </c>
      <c r="C210" s="256">
        <f t="shared" si="11"/>
        <v>0</v>
      </c>
      <c r="D210" s="256">
        <f t="shared" si="12"/>
        <v>0</v>
      </c>
      <c r="E210" s="256">
        <f t="shared" si="13"/>
        <v>0</v>
      </c>
      <c r="F210" s="255"/>
      <c r="G210" s="250"/>
      <c r="H210" s="244"/>
      <c r="I210" s="250"/>
    </row>
    <row r="211" spans="1:9">
      <c r="A211" s="306">
        <v>156</v>
      </c>
      <c r="B211" s="256">
        <f t="shared" si="10"/>
        <v>0</v>
      </c>
      <c r="C211" s="256">
        <f t="shared" si="11"/>
        <v>0</v>
      </c>
      <c r="D211" s="256">
        <f t="shared" si="12"/>
        <v>0</v>
      </c>
      <c r="E211" s="256">
        <f t="shared" si="13"/>
        <v>0</v>
      </c>
      <c r="F211" s="257">
        <v>13</v>
      </c>
      <c r="G211" s="305"/>
      <c r="H211" s="264"/>
      <c r="I211" s="305"/>
    </row>
    <row r="212" spans="1:9">
      <c r="A212" s="304">
        <v>157</v>
      </c>
      <c r="B212" s="256">
        <f t="shared" si="10"/>
        <v>0</v>
      </c>
      <c r="C212" s="256">
        <f t="shared" si="11"/>
        <v>0</v>
      </c>
      <c r="D212" s="256">
        <f t="shared" si="12"/>
        <v>0</v>
      </c>
      <c r="E212" s="256">
        <f t="shared" si="13"/>
        <v>0</v>
      </c>
      <c r="F212" s="255"/>
      <c r="G212" s="250"/>
      <c r="H212" s="244"/>
      <c r="I212" s="305"/>
    </row>
    <row r="213" spans="1:9">
      <c r="A213" s="304">
        <v>158</v>
      </c>
      <c r="B213" s="256">
        <f t="shared" si="10"/>
        <v>0</v>
      </c>
      <c r="C213" s="256">
        <f t="shared" si="11"/>
        <v>0</v>
      </c>
      <c r="D213" s="256">
        <f t="shared" si="12"/>
        <v>0</v>
      </c>
      <c r="E213" s="256">
        <f t="shared" si="13"/>
        <v>0</v>
      </c>
      <c r="F213" s="255"/>
      <c r="G213" s="250"/>
      <c r="H213" s="244"/>
      <c r="I213" s="250"/>
    </row>
    <row r="214" spans="1:9">
      <c r="A214" s="304">
        <v>159</v>
      </c>
      <c r="B214" s="256">
        <f t="shared" si="10"/>
        <v>0</v>
      </c>
      <c r="C214" s="256">
        <f t="shared" si="11"/>
        <v>0</v>
      </c>
      <c r="D214" s="256">
        <f t="shared" si="12"/>
        <v>0</v>
      </c>
      <c r="E214" s="256">
        <f t="shared" si="13"/>
        <v>0</v>
      </c>
      <c r="F214" s="255"/>
      <c r="G214" s="250"/>
      <c r="H214" s="244"/>
      <c r="I214" s="250"/>
    </row>
    <row r="215" spans="1:9">
      <c r="A215" s="304">
        <v>160</v>
      </c>
      <c r="B215" s="256">
        <f t="shared" si="10"/>
        <v>0</v>
      </c>
      <c r="C215" s="256">
        <f t="shared" si="11"/>
        <v>0</v>
      </c>
      <c r="D215" s="256">
        <f t="shared" si="12"/>
        <v>0</v>
      </c>
      <c r="E215" s="256">
        <f t="shared" si="13"/>
        <v>0</v>
      </c>
      <c r="F215" s="255"/>
      <c r="G215" s="250"/>
      <c r="H215" s="244"/>
      <c r="I215" s="250"/>
    </row>
    <row r="216" spans="1:9">
      <c r="A216" s="304">
        <v>161</v>
      </c>
      <c r="B216" s="256">
        <f t="shared" si="10"/>
        <v>0</v>
      </c>
      <c r="C216" s="256">
        <f t="shared" si="11"/>
        <v>0</v>
      </c>
      <c r="D216" s="256">
        <f t="shared" si="12"/>
        <v>0</v>
      </c>
      <c r="E216" s="256">
        <f t="shared" si="13"/>
        <v>0</v>
      </c>
      <c r="F216" s="255"/>
      <c r="G216" s="250"/>
      <c r="H216" s="244"/>
      <c r="I216" s="250"/>
    </row>
    <row r="217" spans="1:9">
      <c r="A217" s="304">
        <v>162</v>
      </c>
      <c r="B217" s="256">
        <f t="shared" si="10"/>
        <v>0</v>
      </c>
      <c r="C217" s="256">
        <f t="shared" si="11"/>
        <v>0</v>
      </c>
      <c r="D217" s="256">
        <f t="shared" si="12"/>
        <v>0</v>
      </c>
      <c r="E217" s="256">
        <f t="shared" si="13"/>
        <v>0</v>
      </c>
      <c r="F217" s="255"/>
      <c r="G217" s="305"/>
      <c r="H217" s="264"/>
      <c r="I217" s="250"/>
    </row>
    <row r="218" spans="1:9">
      <c r="A218" s="304">
        <v>163</v>
      </c>
      <c r="B218" s="256">
        <f t="shared" si="10"/>
        <v>0</v>
      </c>
      <c r="C218" s="256">
        <f t="shared" si="11"/>
        <v>0</v>
      </c>
      <c r="D218" s="256">
        <f t="shared" si="12"/>
        <v>0</v>
      </c>
      <c r="E218" s="256">
        <f t="shared" si="13"/>
        <v>0</v>
      </c>
      <c r="F218" s="255"/>
      <c r="G218" s="250"/>
      <c r="H218" s="244"/>
      <c r="I218" s="250"/>
    </row>
    <row r="219" spans="1:9">
      <c r="A219" s="304">
        <v>164</v>
      </c>
      <c r="B219" s="256">
        <f t="shared" si="10"/>
        <v>0</v>
      </c>
      <c r="C219" s="256">
        <f t="shared" si="11"/>
        <v>0</v>
      </c>
      <c r="D219" s="256">
        <f t="shared" si="12"/>
        <v>0</v>
      </c>
      <c r="E219" s="256">
        <f t="shared" si="13"/>
        <v>0</v>
      </c>
      <c r="F219" s="255"/>
      <c r="G219" s="250"/>
      <c r="H219" s="244"/>
      <c r="I219" s="250"/>
    </row>
    <row r="220" spans="1:9">
      <c r="A220" s="304">
        <v>165</v>
      </c>
      <c r="B220" s="256">
        <f t="shared" si="10"/>
        <v>0</v>
      </c>
      <c r="C220" s="256">
        <f t="shared" si="11"/>
        <v>0</v>
      </c>
      <c r="D220" s="256">
        <f t="shared" si="12"/>
        <v>0</v>
      </c>
      <c r="E220" s="256">
        <f t="shared" si="13"/>
        <v>0</v>
      </c>
      <c r="F220" s="255"/>
      <c r="G220" s="250"/>
      <c r="H220" s="244"/>
      <c r="I220" s="250"/>
    </row>
    <row r="221" spans="1:9">
      <c r="A221" s="304">
        <v>166</v>
      </c>
      <c r="B221" s="256">
        <f t="shared" si="10"/>
        <v>0</v>
      </c>
      <c r="C221" s="256">
        <f t="shared" si="11"/>
        <v>0</v>
      </c>
      <c r="D221" s="256">
        <f t="shared" si="12"/>
        <v>0</v>
      </c>
      <c r="E221" s="256">
        <f t="shared" si="13"/>
        <v>0</v>
      </c>
      <c r="F221" s="255"/>
      <c r="G221" s="250"/>
      <c r="H221" s="244"/>
      <c r="I221" s="250"/>
    </row>
    <row r="222" spans="1:9">
      <c r="A222" s="304">
        <v>167</v>
      </c>
      <c r="B222" s="256">
        <f t="shared" si="10"/>
        <v>0</v>
      </c>
      <c r="C222" s="256">
        <f t="shared" si="11"/>
        <v>0</v>
      </c>
      <c r="D222" s="256">
        <f t="shared" si="12"/>
        <v>0</v>
      </c>
      <c r="E222" s="256">
        <f t="shared" si="13"/>
        <v>0</v>
      </c>
      <c r="F222" s="255"/>
      <c r="G222" s="250"/>
      <c r="H222" s="244"/>
      <c r="I222" s="250"/>
    </row>
    <row r="223" spans="1:9">
      <c r="A223" s="306">
        <v>168</v>
      </c>
      <c r="B223" s="256">
        <f t="shared" si="10"/>
        <v>0</v>
      </c>
      <c r="C223" s="256">
        <f t="shared" si="11"/>
        <v>0</v>
      </c>
      <c r="D223" s="256">
        <f t="shared" si="12"/>
        <v>0</v>
      </c>
      <c r="E223" s="256">
        <f t="shared" si="13"/>
        <v>0</v>
      </c>
      <c r="F223" s="257">
        <v>14</v>
      </c>
      <c r="G223" s="305"/>
      <c r="H223" s="264"/>
      <c r="I223" s="305"/>
    </row>
    <row r="224" spans="1:9">
      <c r="A224" s="304">
        <v>169</v>
      </c>
      <c r="B224" s="256">
        <f t="shared" si="10"/>
        <v>0</v>
      </c>
      <c r="C224" s="256">
        <f t="shared" si="11"/>
        <v>0</v>
      </c>
      <c r="D224" s="256">
        <f t="shared" si="12"/>
        <v>0</v>
      </c>
      <c r="E224" s="256">
        <f t="shared" si="13"/>
        <v>0</v>
      </c>
      <c r="F224" s="255"/>
      <c r="G224" s="250"/>
      <c r="H224" s="244"/>
      <c r="I224" s="305"/>
    </row>
    <row r="225" spans="1:9">
      <c r="A225" s="304">
        <v>170</v>
      </c>
      <c r="B225" s="256">
        <f t="shared" si="10"/>
        <v>0</v>
      </c>
      <c r="C225" s="256">
        <f t="shared" si="11"/>
        <v>0</v>
      </c>
      <c r="D225" s="256">
        <f t="shared" si="12"/>
        <v>0</v>
      </c>
      <c r="E225" s="256">
        <f t="shared" si="13"/>
        <v>0</v>
      </c>
      <c r="F225" s="255"/>
      <c r="G225" s="250"/>
      <c r="H225" s="244"/>
      <c r="I225" s="250"/>
    </row>
    <row r="226" spans="1:9">
      <c r="A226" s="304">
        <v>171</v>
      </c>
      <c r="B226" s="256">
        <f t="shared" si="10"/>
        <v>0</v>
      </c>
      <c r="C226" s="256">
        <f t="shared" si="11"/>
        <v>0</v>
      </c>
      <c r="D226" s="256">
        <f t="shared" si="12"/>
        <v>0</v>
      </c>
      <c r="E226" s="256">
        <f t="shared" si="13"/>
        <v>0</v>
      </c>
      <c r="F226" s="255"/>
      <c r="G226" s="250"/>
      <c r="H226" s="244"/>
      <c r="I226" s="250"/>
    </row>
    <row r="227" spans="1:9">
      <c r="A227" s="304">
        <v>172</v>
      </c>
      <c r="B227" s="256">
        <f t="shared" si="10"/>
        <v>0</v>
      </c>
      <c r="C227" s="256">
        <f t="shared" si="11"/>
        <v>0</v>
      </c>
      <c r="D227" s="256">
        <f t="shared" si="12"/>
        <v>0</v>
      </c>
      <c r="E227" s="256">
        <f t="shared" si="13"/>
        <v>0</v>
      </c>
      <c r="F227" s="255"/>
      <c r="G227" s="250"/>
      <c r="H227" s="244"/>
      <c r="I227" s="250"/>
    </row>
    <row r="228" spans="1:9">
      <c r="A228" s="304">
        <v>173</v>
      </c>
      <c r="B228" s="256">
        <f t="shared" si="10"/>
        <v>0</v>
      </c>
      <c r="C228" s="256">
        <f t="shared" si="11"/>
        <v>0</v>
      </c>
      <c r="D228" s="256">
        <f t="shared" si="12"/>
        <v>0</v>
      </c>
      <c r="E228" s="256">
        <f t="shared" si="13"/>
        <v>0</v>
      </c>
      <c r="F228" s="255"/>
      <c r="G228" s="250"/>
      <c r="H228" s="244"/>
      <c r="I228" s="250"/>
    </row>
    <row r="229" spans="1:9">
      <c r="A229" s="304">
        <v>174</v>
      </c>
      <c r="B229" s="256">
        <f t="shared" si="10"/>
        <v>0</v>
      </c>
      <c r="C229" s="256">
        <f t="shared" si="11"/>
        <v>0</v>
      </c>
      <c r="D229" s="256">
        <f t="shared" si="12"/>
        <v>0</v>
      </c>
      <c r="E229" s="256">
        <f t="shared" si="13"/>
        <v>0</v>
      </c>
      <c r="F229" s="255"/>
      <c r="G229" s="305"/>
      <c r="H229" s="264"/>
      <c r="I229" s="250"/>
    </row>
    <row r="230" spans="1:9">
      <c r="A230" s="304">
        <v>175</v>
      </c>
      <c r="B230" s="256">
        <f t="shared" si="10"/>
        <v>0</v>
      </c>
      <c r="C230" s="256">
        <f t="shared" si="11"/>
        <v>0</v>
      </c>
      <c r="D230" s="256">
        <f t="shared" si="12"/>
        <v>0</v>
      </c>
      <c r="E230" s="256">
        <f t="shared" si="13"/>
        <v>0</v>
      </c>
      <c r="F230" s="255"/>
      <c r="G230" s="250"/>
      <c r="H230" s="244"/>
      <c r="I230" s="250"/>
    </row>
    <row r="231" spans="1:9">
      <c r="A231" s="304">
        <v>176</v>
      </c>
      <c r="B231" s="256">
        <f t="shared" si="10"/>
        <v>0</v>
      </c>
      <c r="C231" s="256">
        <f t="shared" si="11"/>
        <v>0</v>
      </c>
      <c r="D231" s="256">
        <f t="shared" si="12"/>
        <v>0</v>
      </c>
      <c r="E231" s="256">
        <f t="shared" si="13"/>
        <v>0</v>
      </c>
      <c r="F231" s="255"/>
      <c r="G231" s="250"/>
      <c r="H231" s="244"/>
      <c r="I231" s="250"/>
    </row>
    <row r="232" spans="1:9">
      <c r="A232" s="304">
        <v>177</v>
      </c>
      <c r="B232" s="256">
        <f t="shared" si="10"/>
        <v>0</v>
      </c>
      <c r="C232" s="256">
        <f t="shared" si="11"/>
        <v>0</v>
      </c>
      <c r="D232" s="256">
        <f t="shared" si="12"/>
        <v>0</v>
      </c>
      <c r="E232" s="256">
        <f t="shared" si="13"/>
        <v>0</v>
      </c>
      <c r="F232" s="255"/>
      <c r="G232" s="250"/>
      <c r="H232" s="244"/>
      <c r="I232" s="250"/>
    </row>
    <row r="233" spans="1:9">
      <c r="A233" s="304">
        <v>178</v>
      </c>
      <c r="B233" s="256">
        <f t="shared" si="10"/>
        <v>0</v>
      </c>
      <c r="C233" s="256">
        <f t="shared" si="11"/>
        <v>0</v>
      </c>
      <c r="D233" s="256">
        <f t="shared" si="12"/>
        <v>0</v>
      </c>
      <c r="E233" s="256">
        <f t="shared" si="13"/>
        <v>0</v>
      </c>
      <c r="F233" s="255"/>
      <c r="G233" s="250"/>
      <c r="H233" s="244"/>
      <c r="I233" s="250"/>
    </row>
    <row r="234" spans="1:9">
      <c r="A234" s="304">
        <v>179</v>
      </c>
      <c r="B234" s="256">
        <f t="shared" si="10"/>
        <v>0</v>
      </c>
      <c r="C234" s="256">
        <f t="shared" si="11"/>
        <v>0</v>
      </c>
      <c r="D234" s="256">
        <f t="shared" si="12"/>
        <v>0</v>
      </c>
      <c r="E234" s="256">
        <f t="shared" si="13"/>
        <v>0</v>
      </c>
      <c r="F234" s="255"/>
      <c r="G234" s="250"/>
      <c r="H234" s="244"/>
      <c r="I234" s="250"/>
    </row>
    <row r="235" spans="1:9">
      <c r="A235" s="306">
        <v>180</v>
      </c>
      <c r="B235" s="256">
        <f t="shared" si="10"/>
        <v>0</v>
      </c>
      <c r="C235" s="256">
        <f t="shared" si="11"/>
        <v>0</v>
      </c>
      <c r="D235" s="256">
        <f t="shared" si="12"/>
        <v>0</v>
      </c>
      <c r="E235" s="256">
        <f t="shared" si="13"/>
        <v>0</v>
      </c>
      <c r="F235" s="257">
        <v>15</v>
      </c>
      <c r="G235" s="305"/>
      <c r="H235" s="264"/>
      <c r="I235" s="305"/>
    </row>
    <row r="236" spans="1:9">
      <c r="A236" s="304">
        <v>181</v>
      </c>
      <c r="B236" s="256">
        <f t="shared" si="10"/>
        <v>0</v>
      </c>
      <c r="C236" s="256">
        <f t="shared" si="11"/>
        <v>0</v>
      </c>
      <c r="D236" s="256">
        <f t="shared" si="12"/>
        <v>0</v>
      </c>
      <c r="E236" s="256">
        <f t="shared" si="13"/>
        <v>0</v>
      </c>
      <c r="F236" s="255"/>
      <c r="G236" s="250"/>
      <c r="H236" s="244"/>
      <c r="I236" s="305"/>
    </row>
    <row r="237" spans="1:9">
      <c r="A237" s="306">
        <v>182</v>
      </c>
      <c r="B237" s="256">
        <f t="shared" si="10"/>
        <v>0</v>
      </c>
      <c r="C237" s="256">
        <f t="shared" si="11"/>
        <v>0</v>
      </c>
      <c r="D237" s="256">
        <f t="shared" si="12"/>
        <v>0</v>
      </c>
      <c r="E237" s="256">
        <f t="shared" si="13"/>
        <v>0</v>
      </c>
      <c r="F237" s="255"/>
      <c r="G237" s="250"/>
      <c r="H237" s="244"/>
      <c r="I237" s="250"/>
    </row>
    <row r="238" spans="1:9">
      <c r="A238" s="306">
        <v>183</v>
      </c>
      <c r="B238" s="256">
        <f t="shared" si="10"/>
        <v>0</v>
      </c>
      <c r="C238" s="256">
        <f t="shared" si="11"/>
        <v>0</v>
      </c>
      <c r="D238" s="256">
        <f t="shared" si="12"/>
        <v>0</v>
      </c>
      <c r="E238" s="256">
        <f t="shared" si="13"/>
        <v>0</v>
      </c>
      <c r="F238" s="255"/>
      <c r="G238" s="250"/>
      <c r="H238" s="244"/>
      <c r="I238" s="250"/>
    </row>
    <row r="239" spans="1:9">
      <c r="A239" s="306">
        <v>184</v>
      </c>
      <c r="B239" s="256">
        <f t="shared" si="10"/>
        <v>0</v>
      </c>
      <c r="C239" s="256">
        <f t="shared" si="11"/>
        <v>0</v>
      </c>
      <c r="D239" s="256">
        <f t="shared" si="12"/>
        <v>0</v>
      </c>
      <c r="E239" s="256">
        <f t="shared" si="13"/>
        <v>0</v>
      </c>
      <c r="F239" s="255"/>
      <c r="G239" s="250"/>
      <c r="H239" s="244"/>
      <c r="I239" s="250"/>
    </row>
    <row r="240" spans="1:9">
      <c r="A240" s="306">
        <v>185</v>
      </c>
      <c r="B240" s="256">
        <f t="shared" si="10"/>
        <v>0</v>
      </c>
      <c r="C240" s="256">
        <f t="shared" si="11"/>
        <v>0</v>
      </c>
      <c r="D240" s="256">
        <f t="shared" si="12"/>
        <v>0</v>
      </c>
      <c r="E240" s="256">
        <f t="shared" si="13"/>
        <v>0</v>
      </c>
      <c r="F240" s="255"/>
      <c r="G240" s="250"/>
      <c r="H240" s="244"/>
      <c r="I240" s="250"/>
    </row>
    <row r="241" spans="1:9">
      <c r="A241" s="306">
        <v>186</v>
      </c>
      <c r="B241" s="256">
        <f t="shared" si="10"/>
        <v>0</v>
      </c>
      <c r="C241" s="256">
        <f t="shared" si="11"/>
        <v>0</v>
      </c>
      <c r="D241" s="256">
        <f t="shared" si="12"/>
        <v>0</v>
      </c>
      <c r="E241" s="256">
        <f t="shared" si="13"/>
        <v>0</v>
      </c>
      <c r="F241" s="255"/>
      <c r="G241" s="305"/>
      <c r="H241" s="264"/>
      <c r="I241" s="250"/>
    </row>
    <row r="242" spans="1:9">
      <c r="A242" s="306">
        <v>187</v>
      </c>
      <c r="B242" s="256">
        <f t="shared" si="10"/>
        <v>0</v>
      </c>
      <c r="C242" s="256">
        <f t="shared" si="11"/>
        <v>0</v>
      </c>
      <c r="D242" s="256">
        <f t="shared" si="12"/>
        <v>0</v>
      </c>
      <c r="E242" s="256">
        <f t="shared" si="13"/>
        <v>0</v>
      </c>
      <c r="F242" s="255"/>
      <c r="G242" s="250"/>
      <c r="H242" s="244"/>
      <c r="I242" s="250"/>
    </row>
    <row r="243" spans="1:9">
      <c r="A243" s="306">
        <v>188</v>
      </c>
      <c r="B243" s="256">
        <f t="shared" si="10"/>
        <v>0</v>
      </c>
      <c r="C243" s="256">
        <f t="shared" si="11"/>
        <v>0</v>
      </c>
      <c r="D243" s="256">
        <f t="shared" si="12"/>
        <v>0</v>
      </c>
      <c r="E243" s="256">
        <f t="shared" si="13"/>
        <v>0</v>
      </c>
      <c r="F243" s="255"/>
      <c r="G243" s="250"/>
      <c r="H243" s="244"/>
      <c r="I243" s="250"/>
    </row>
    <row r="244" spans="1:9">
      <c r="A244" s="306">
        <v>189</v>
      </c>
      <c r="B244" s="256">
        <f t="shared" si="10"/>
        <v>0</v>
      </c>
      <c r="C244" s="256">
        <f t="shared" si="11"/>
        <v>0</v>
      </c>
      <c r="D244" s="256">
        <f t="shared" si="12"/>
        <v>0</v>
      </c>
      <c r="E244" s="256">
        <f t="shared" si="13"/>
        <v>0</v>
      </c>
      <c r="F244" s="255"/>
      <c r="G244" s="250"/>
      <c r="H244" s="244"/>
      <c r="I244" s="250"/>
    </row>
    <row r="245" spans="1:9">
      <c r="A245" s="306">
        <v>190</v>
      </c>
      <c r="B245" s="256">
        <f t="shared" si="10"/>
        <v>0</v>
      </c>
      <c r="C245" s="256">
        <f t="shared" si="11"/>
        <v>0</v>
      </c>
      <c r="D245" s="256">
        <f t="shared" si="12"/>
        <v>0</v>
      </c>
      <c r="E245" s="256">
        <f t="shared" si="13"/>
        <v>0</v>
      </c>
      <c r="F245" s="255"/>
      <c r="G245" s="250"/>
      <c r="H245" s="244"/>
      <c r="I245" s="250"/>
    </row>
    <row r="246" spans="1:9">
      <c r="A246" s="306">
        <v>191</v>
      </c>
      <c r="B246" s="256">
        <f t="shared" si="10"/>
        <v>0</v>
      </c>
      <c r="C246" s="256">
        <f t="shared" si="11"/>
        <v>0</v>
      </c>
      <c r="D246" s="256">
        <f t="shared" si="12"/>
        <v>0</v>
      </c>
      <c r="E246" s="256">
        <f t="shared" si="13"/>
        <v>0</v>
      </c>
      <c r="F246" s="255"/>
      <c r="G246" s="250"/>
      <c r="H246" s="244"/>
      <c r="I246" s="250"/>
    </row>
    <row r="247" spans="1:9">
      <c r="A247" s="306">
        <v>192</v>
      </c>
      <c r="B247" s="256">
        <f t="shared" si="10"/>
        <v>0</v>
      </c>
      <c r="C247" s="256">
        <f t="shared" si="11"/>
        <v>0</v>
      </c>
      <c r="D247" s="256">
        <f t="shared" si="12"/>
        <v>0</v>
      </c>
      <c r="E247" s="256">
        <f t="shared" si="13"/>
        <v>0</v>
      </c>
      <c r="F247" s="255">
        <v>16</v>
      </c>
      <c r="G247" s="305"/>
      <c r="H247" s="264"/>
      <c r="I247" s="305"/>
    </row>
    <row r="248" spans="1:9">
      <c r="A248" s="306">
        <v>193</v>
      </c>
      <c r="B248" s="256">
        <f t="shared" ref="B248:B311" si="14">IF(A248&gt;12*$D$14,0,$D$20)</f>
        <v>0</v>
      </c>
      <c r="C248" s="256">
        <f t="shared" ref="C248:C311" si="15">IF(A248&gt;12*$D$14,0,E247*$D$10/12)</f>
        <v>0</v>
      </c>
      <c r="D248" s="256">
        <f t="shared" ref="D248:D311" si="16">IF(A248&gt;12*$D$14,0,B248-C248)</f>
        <v>0</v>
      </c>
      <c r="E248" s="256">
        <f t="shared" ref="E248:E311" si="17">IF(A248&gt;12*$D$14,0,E247-D248)</f>
        <v>0</v>
      </c>
      <c r="F248" s="255"/>
      <c r="G248" s="250"/>
      <c r="H248" s="244"/>
      <c r="I248" s="305"/>
    </row>
    <row r="249" spans="1:9">
      <c r="A249" s="306">
        <v>194</v>
      </c>
      <c r="B249" s="256">
        <f t="shared" si="14"/>
        <v>0</v>
      </c>
      <c r="C249" s="256">
        <f t="shared" si="15"/>
        <v>0</v>
      </c>
      <c r="D249" s="256">
        <f t="shared" si="16"/>
        <v>0</v>
      </c>
      <c r="E249" s="256">
        <f t="shared" si="17"/>
        <v>0</v>
      </c>
      <c r="F249" s="255"/>
      <c r="G249" s="250"/>
      <c r="H249" s="244"/>
      <c r="I249" s="250"/>
    </row>
    <row r="250" spans="1:9">
      <c r="A250" s="306">
        <v>195</v>
      </c>
      <c r="B250" s="256">
        <f t="shared" si="14"/>
        <v>0</v>
      </c>
      <c r="C250" s="256">
        <f t="shared" si="15"/>
        <v>0</v>
      </c>
      <c r="D250" s="256">
        <f t="shared" si="16"/>
        <v>0</v>
      </c>
      <c r="E250" s="256">
        <f t="shared" si="17"/>
        <v>0</v>
      </c>
      <c r="F250" s="255"/>
      <c r="G250" s="250"/>
      <c r="H250" s="244"/>
      <c r="I250" s="250"/>
    </row>
    <row r="251" spans="1:9">
      <c r="A251" s="306">
        <v>196</v>
      </c>
      <c r="B251" s="256">
        <f t="shared" si="14"/>
        <v>0</v>
      </c>
      <c r="C251" s="256">
        <f t="shared" si="15"/>
        <v>0</v>
      </c>
      <c r="D251" s="256">
        <f t="shared" si="16"/>
        <v>0</v>
      </c>
      <c r="E251" s="256">
        <f t="shared" si="17"/>
        <v>0</v>
      </c>
      <c r="F251" s="255"/>
      <c r="G251" s="250"/>
      <c r="H251" s="244"/>
      <c r="I251" s="250"/>
    </row>
    <row r="252" spans="1:9">
      <c r="A252" s="306">
        <v>197</v>
      </c>
      <c r="B252" s="256">
        <f t="shared" si="14"/>
        <v>0</v>
      </c>
      <c r="C252" s="256">
        <f t="shared" si="15"/>
        <v>0</v>
      </c>
      <c r="D252" s="256">
        <f t="shared" si="16"/>
        <v>0</v>
      </c>
      <c r="E252" s="256">
        <f t="shared" si="17"/>
        <v>0</v>
      </c>
      <c r="F252" s="255"/>
      <c r="G252" s="250"/>
      <c r="H252" s="244"/>
      <c r="I252" s="250"/>
    </row>
    <row r="253" spans="1:9">
      <c r="A253" s="306">
        <v>198</v>
      </c>
      <c r="B253" s="256">
        <f t="shared" si="14"/>
        <v>0</v>
      </c>
      <c r="C253" s="256">
        <f t="shared" si="15"/>
        <v>0</v>
      </c>
      <c r="D253" s="256">
        <f t="shared" si="16"/>
        <v>0</v>
      </c>
      <c r="E253" s="256">
        <f t="shared" si="17"/>
        <v>0</v>
      </c>
      <c r="F253" s="255"/>
      <c r="G253" s="305"/>
      <c r="H253" s="264"/>
      <c r="I253" s="250"/>
    </row>
    <row r="254" spans="1:9">
      <c r="A254" s="306">
        <v>199</v>
      </c>
      <c r="B254" s="256">
        <f t="shared" si="14"/>
        <v>0</v>
      </c>
      <c r="C254" s="256">
        <f t="shared" si="15"/>
        <v>0</v>
      </c>
      <c r="D254" s="256">
        <f t="shared" si="16"/>
        <v>0</v>
      </c>
      <c r="E254" s="256">
        <f t="shared" si="17"/>
        <v>0</v>
      </c>
      <c r="F254" s="255"/>
      <c r="G254" s="250"/>
      <c r="H254" s="244"/>
      <c r="I254" s="250"/>
    </row>
    <row r="255" spans="1:9">
      <c r="A255" s="306">
        <v>200</v>
      </c>
      <c r="B255" s="256">
        <f t="shared" si="14"/>
        <v>0</v>
      </c>
      <c r="C255" s="256">
        <f t="shared" si="15"/>
        <v>0</v>
      </c>
      <c r="D255" s="256">
        <f t="shared" si="16"/>
        <v>0</v>
      </c>
      <c r="E255" s="256">
        <f t="shared" si="17"/>
        <v>0</v>
      </c>
      <c r="F255" s="255"/>
      <c r="G255" s="250"/>
      <c r="H255" s="244"/>
      <c r="I255" s="250"/>
    </row>
    <row r="256" spans="1:9">
      <c r="A256" s="306">
        <v>201</v>
      </c>
      <c r="B256" s="256">
        <f t="shared" si="14"/>
        <v>0</v>
      </c>
      <c r="C256" s="256">
        <f t="shared" si="15"/>
        <v>0</v>
      </c>
      <c r="D256" s="256">
        <f t="shared" si="16"/>
        <v>0</v>
      </c>
      <c r="E256" s="256">
        <f t="shared" si="17"/>
        <v>0</v>
      </c>
      <c r="F256" s="255"/>
      <c r="G256" s="250"/>
      <c r="H256" s="244"/>
      <c r="I256" s="250"/>
    </row>
    <row r="257" spans="1:9">
      <c r="A257" s="306">
        <v>202</v>
      </c>
      <c r="B257" s="256">
        <f t="shared" si="14"/>
        <v>0</v>
      </c>
      <c r="C257" s="256">
        <f t="shared" si="15"/>
        <v>0</v>
      </c>
      <c r="D257" s="256">
        <f t="shared" si="16"/>
        <v>0</v>
      </c>
      <c r="E257" s="256">
        <f t="shared" si="17"/>
        <v>0</v>
      </c>
      <c r="F257" s="255"/>
      <c r="G257" s="250"/>
      <c r="H257" s="244"/>
      <c r="I257" s="250"/>
    </row>
    <row r="258" spans="1:9">
      <c r="A258" s="306">
        <v>203</v>
      </c>
      <c r="B258" s="256">
        <f t="shared" si="14"/>
        <v>0</v>
      </c>
      <c r="C258" s="256">
        <f t="shared" si="15"/>
        <v>0</v>
      </c>
      <c r="D258" s="256">
        <f t="shared" si="16"/>
        <v>0</v>
      </c>
      <c r="E258" s="256">
        <f t="shared" si="17"/>
        <v>0</v>
      </c>
      <c r="F258" s="255"/>
      <c r="G258" s="250"/>
      <c r="H258" s="244"/>
      <c r="I258" s="250"/>
    </row>
    <row r="259" spans="1:9">
      <c r="A259" s="306">
        <v>204</v>
      </c>
      <c r="B259" s="256">
        <f t="shared" si="14"/>
        <v>0</v>
      </c>
      <c r="C259" s="256">
        <f t="shared" si="15"/>
        <v>0</v>
      </c>
      <c r="D259" s="256">
        <f t="shared" si="16"/>
        <v>0</v>
      </c>
      <c r="E259" s="256">
        <f t="shared" si="17"/>
        <v>0</v>
      </c>
      <c r="F259" s="255">
        <v>17</v>
      </c>
      <c r="G259" s="305"/>
      <c r="H259" s="264"/>
      <c r="I259" s="305"/>
    </row>
    <row r="260" spans="1:9">
      <c r="A260" s="306">
        <v>205</v>
      </c>
      <c r="B260" s="256">
        <f t="shared" si="14"/>
        <v>0</v>
      </c>
      <c r="C260" s="256">
        <f t="shared" si="15"/>
        <v>0</v>
      </c>
      <c r="D260" s="256">
        <f t="shared" si="16"/>
        <v>0</v>
      </c>
      <c r="E260" s="256">
        <f t="shared" si="17"/>
        <v>0</v>
      </c>
      <c r="F260" s="255"/>
      <c r="G260" s="250"/>
      <c r="H260" s="244"/>
      <c r="I260" s="305"/>
    </row>
    <row r="261" spans="1:9">
      <c r="A261" s="306">
        <v>206</v>
      </c>
      <c r="B261" s="256">
        <f t="shared" si="14"/>
        <v>0</v>
      </c>
      <c r="C261" s="256">
        <f t="shared" si="15"/>
        <v>0</v>
      </c>
      <c r="D261" s="256">
        <f t="shared" si="16"/>
        <v>0</v>
      </c>
      <c r="E261" s="256">
        <f t="shared" si="17"/>
        <v>0</v>
      </c>
      <c r="F261" s="255"/>
      <c r="G261" s="250"/>
      <c r="H261" s="244"/>
      <c r="I261" s="250"/>
    </row>
    <row r="262" spans="1:9">
      <c r="A262" s="306">
        <v>207</v>
      </c>
      <c r="B262" s="256">
        <f t="shared" si="14"/>
        <v>0</v>
      </c>
      <c r="C262" s="256">
        <f t="shared" si="15"/>
        <v>0</v>
      </c>
      <c r="D262" s="256">
        <f t="shared" si="16"/>
        <v>0</v>
      </c>
      <c r="E262" s="256">
        <f t="shared" si="17"/>
        <v>0</v>
      </c>
      <c r="F262" s="255"/>
      <c r="G262" s="250"/>
      <c r="H262" s="244"/>
      <c r="I262" s="250"/>
    </row>
    <row r="263" spans="1:9">
      <c r="A263" s="306">
        <v>208</v>
      </c>
      <c r="B263" s="256">
        <f t="shared" si="14"/>
        <v>0</v>
      </c>
      <c r="C263" s="256">
        <f t="shared" si="15"/>
        <v>0</v>
      </c>
      <c r="D263" s="256">
        <f t="shared" si="16"/>
        <v>0</v>
      </c>
      <c r="E263" s="256">
        <f t="shared" si="17"/>
        <v>0</v>
      </c>
      <c r="F263" s="255"/>
      <c r="G263" s="250"/>
      <c r="H263" s="244"/>
      <c r="I263" s="250"/>
    </row>
    <row r="264" spans="1:9">
      <c r="A264" s="306">
        <v>209</v>
      </c>
      <c r="B264" s="256">
        <f t="shared" si="14"/>
        <v>0</v>
      </c>
      <c r="C264" s="256">
        <f t="shared" si="15"/>
        <v>0</v>
      </c>
      <c r="D264" s="256">
        <f t="shared" si="16"/>
        <v>0</v>
      </c>
      <c r="E264" s="256">
        <f t="shared" si="17"/>
        <v>0</v>
      </c>
      <c r="F264" s="255"/>
      <c r="G264" s="250"/>
      <c r="H264" s="244"/>
      <c r="I264" s="250"/>
    </row>
    <row r="265" spans="1:9">
      <c r="A265" s="306">
        <v>210</v>
      </c>
      <c r="B265" s="256">
        <f t="shared" si="14"/>
        <v>0</v>
      </c>
      <c r="C265" s="256">
        <f t="shared" si="15"/>
        <v>0</v>
      </c>
      <c r="D265" s="256">
        <f t="shared" si="16"/>
        <v>0</v>
      </c>
      <c r="E265" s="256">
        <f t="shared" si="17"/>
        <v>0</v>
      </c>
      <c r="F265" s="255"/>
      <c r="G265" s="305"/>
      <c r="H265" s="264"/>
      <c r="I265" s="250"/>
    </row>
    <row r="266" spans="1:9">
      <c r="A266" s="306">
        <v>211</v>
      </c>
      <c r="B266" s="256">
        <f t="shared" si="14"/>
        <v>0</v>
      </c>
      <c r="C266" s="256">
        <f t="shared" si="15"/>
        <v>0</v>
      </c>
      <c r="D266" s="256">
        <f t="shared" si="16"/>
        <v>0</v>
      </c>
      <c r="E266" s="256">
        <f t="shared" si="17"/>
        <v>0</v>
      </c>
      <c r="F266" s="255"/>
      <c r="G266" s="250"/>
      <c r="H266" s="244"/>
      <c r="I266" s="250"/>
    </row>
    <row r="267" spans="1:9">
      <c r="A267" s="306">
        <v>212</v>
      </c>
      <c r="B267" s="256">
        <f t="shared" si="14"/>
        <v>0</v>
      </c>
      <c r="C267" s="256">
        <f t="shared" si="15"/>
        <v>0</v>
      </c>
      <c r="D267" s="256">
        <f t="shared" si="16"/>
        <v>0</v>
      </c>
      <c r="E267" s="256">
        <f t="shared" si="17"/>
        <v>0</v>
      </c>
      <c r="F267" s="255"/>
      <c r="G267" s="250"/>
      <c r="H267" s="244"/>
      <c r="I267" s="250"/>
    </row>
    <row r="268" spans="1:9">
      <c r="A268" s="306">
        <v>213</v>
      </c>
      <c r="B268" s="256">
        <f t="shared" si="14"/>
        <v>0</v>
      </c>
      <c r="C268" s="256">
        <f t="shared" si="15"/>
        <v>0</v>
      </c>
      <c r="D268" s="256">
        <f t="shared" si="16"/>
        <v>0</v>
      </c>
      <c r="E268" s="256">
        <f t="shared" si="17"/>
        <v>0</v>
      </c>
      <c r="F268" s="255"/>
      <c r="G268" s="250"/>
      <c r="H268" s="244"/>
      <c r="I268" s="250"/>
    </row>
    <row r="269" spans="1:9">
      <c r="A269" s="306">
        <v>214</v>
      </c>
      <c r="B269" s="256">
        <f t="shared" si="14"/>
        <v>0</v>
      </c>
      <c r="C269" s="256">
        <f t="shared" si="15"/>
        <v>0</v>
      </c>
      <c r="D269" s="256">
        <f t="shared" si="16"/>
        <v>0</v>
      </c>
      <c r="E269" s="256">
        <f t="shared" si="17"/>
        <v>0</v>
      </c>
      <c r="F269" s="255"/>
      <c r="G269" s="250"/>
      <c r="H269" s="244"/>
      <c r="I269" s="250"/>
    </row>
    <row r="270" spans="1:9">
      <c r="A270" s="306">
        <v>215</v>
      </c>
      <c r="B270" s="256">
        <f t="shared" si="14"/>
        <v>0</v>
      </c>
      <c r="C270" s="256">
        <f t="shared" si="15"/>
        <v>0</v>
      </c>
      <c r="D270" s="256">
        <f t="shared" si="16"/>
        <v>0</v>
      </c>
      <c r="E270" s="256">
        <f t="shared" si="17"/>
        <v>0</v>
      </c>
      <c r="F270" s="255"/>
      <c r="G270" s="250"/>
      <c r="H270" s="244"/>
      <c r="I270" s="250"/>
    </row>
    <row r="271" spans="1:9">
      <c r="A271" s="306">
        <v>216</v>
      </c>
      <c r="B271" s="256">
        <f t="shared" si="14"/>
        <v>0</v>
      </c>
      <c r="C271" s="256">
        <f t="shared" si="15"/>
        <v>0</v>
      </c>
      <c r="D271" s="256">
        <f t="shared" si="16"/>
        <v>0</v>
      </c>
      <c r="E271" s="256">
        <f t="shared" si="17"/>
        <v>0</v>
      </c>
      <c r="F271" s="255">
        <v>18</v>
      </c>
      <c r="G271" s="305"/>
      <c r="H271" s="264"/>
      <c r="I271" s="305"/>
    </row>
    <row r="272" spans="1:9">
      <c r="A272" s="306">
        <v>217</v>
      </c>
      <c r="B272" s="256">
        <f t="shared" si="14"/>
        <v>0</v>
      </c>
      <c r="C272" s="256">
        <f t="shared" si="15"/>
        <v>0</v>
      </c>
      <c r="D272" s="256">
        <f t="shared" si="16"/>
        <v>0</v>
      </c>
      <c r="E272" s="256">
        <f t="shared" si="17"/>
        <v>0</v>
      </c>
      <c r="F272" s="255"/>
      <c r="G272" s="250"/>
      <c r="H272" s="244"/>
      <c r="I272" s="305"/>
    </row>
    <row r="273" spans="1:9">
      <c r="A273" s="306">
        <v>218</v>
      </c>
      <c r="B273" s="256">
        <f t="shared" si="14"/>
        <v>0</v>
      </c>
      <c r="C273" s="256">
        <f t="shared" si="15"/>
        <v>0</v>
      </c>
      <c r="D273" s="256">
        <f t="shared" si="16"/>
        <v>0</v>
      </c>
      <c r="E273" s="256">
        <f t="shared" si="17"/>
        <v>0</v>
      </c>
      <c r="F273" s="255"/>
      <c r="G273" s="250"/>
      <c r="H273" s="244"/>
      <c r="I273" s="250"/>
    </row>
    <row r="274" spans="1:9">
      <c r="A274" s="306">
        <v>219</v>
      </c>
      <c r="B274" s="256">
        <f t="shared" si="14"/>
        <v>0</v>
      </c>
      <c r="C274" s="256">
        <f t="shared" si="15"/>
        <v>0</v>
      </c>
      <c r="D274" s="256">
        <f t="shared" si="16"/>
        <v>0</v>
      </c>
      <c r="E274" s="256">
        <f t="shared" si="17"/>
        <v>0</v>
      </c>
      <c r="F274" s="255"/>
      <c r="G274" s="250"/>
      <c r="H274" s="244"/>
      <c r="I274" s="250"/>
    </row>
    <row r="275" spans="1:9">
      <c r="A275" s="306">
        <v>220</v>
      </c>
      <c r="B275" s="256">
        <f t="shared" si="14"/>
        <v>0</v>
      </c>
      <c r="C275" s="256">
        <f t="shared" si="15"/>
        <v>0</v>
      </c>
      <c r="D275" s="256">
        <f t="shared" si="16"/>
        <v>0</v>
      </c>
      <c r="E275" s="256">
        <f t="shared" si="17"/>
        <v>0</v>
      </c>
      <c r="F275" s="255"/>
      <c r="G275" s="250"/>
      <c r="H275" s="244"/>
      <c r="I275" s="250"/>
    </row>
    <row r="276" spans="1:9">
      <c r="A276" s="306">
        <v>221</v>
      </c>
      <c r="B276" s="256">
        <f t="shared" si="14"/>
        <v>0</v>
      </c>
      <c r="C276" s="256">
        <f t="shared" si="15"/>
        <v>0</v>
      </c>
      <c r="D276" s="256">
        <f t="shared" si="16"/>
        <v>0</v>
      </c>
      <c r="E276" s="256">
        <f t="shared" si="17"/>
        <v>0</v>
      </c>
      <c r="F276" s="255"/>
      <c r="G276" s="250"/>
      <c r="H276" s="244"/>
      <c r="I276" s="250"/>
    </row>
    <row r="277" spans="1:9">
      <c r="A277" s="306">
        <v>222</v>
      </c>
      <c r="B277" s="256">
        <f t="shared" si="14"/>
        <v>0</v>
      </c>
      <c r="C277" s="256">
        <f t="shared" si="15"/>
        <v>0</v>
      </c>
      <c r="D277" s="256">
        <f t="shared" si="16"/>
        <v>0</v>
      </c>
      <c r="E277" s="256">
        <f t="shared" si="17"/>
        <v>0</v>
      </c>
      <c r="F277" s="255"/>
      <c r="G277" s="305"/>
      <c r="H277" s="264"/>
      <c r="I277" s="250"/>
    </row>
    <row r="278" spans="1:9">
      <c r="A278" s="306">
        <v>223</v>
      </c>
      <c r="B278" s="256">
        <f t="shared" si="14"/>
        <v>0</v>
      </c>
      <c r="C278" s="256">
        <f t="shared" si="15"/>
        <v>0</v>
      </c>
      <c r="D278" s="256">
        <f t="shared" si="16"/>
        <v>0</v>
      </c>
      <c r="E278" s="256">
        <f t="shared" si="17"/>
        <v>0</v>
      </c>
      <c r="F278" s="255"/>
      <c r="G278" s="250"/>
      <c r="H278" s="244"/>
      <c r="I278" s="250"/>
    </row>
    <row r="279" spans="1:9">
      <c r="A279" s="306">
        <v>224</v>
      </c>
      <c r="B279" s="256">
        <f t="shared" si="14"/>
        <v>0</v>
      </c>
      <c r="C279" s="256">
        <f t="shared" si="15"/>
        <v>0</v>
      </c>
      <c r="D279" s="256">
        <f t="shared" si="16"/>
        <v>0</v>
      </c>
      <c r="E279" s="256">
        <f t="shared" si="17"/>
        <v>0</v>
      </c>
      <c r="F279" s="255"/>
      <c r="G279" s="250"/>
      <c r="H279" s="244"/>
      <c r="I279" s="250"/>
    </row>
    <row r="280" spans="1:9">
      <c r="A280" s="306">
        <v>225</v>
      </c>
      <c r="B280" s="256">
        <f t="shared" si="14"/>
        <v>0</v>
      </c>
      <c r="C280" s="256">
        <f t="shared" si="15"/>
        <v>0</v>
      </c>
      <c r="D280" s="256">
        <f t="shared" si="16"/>
        <v>0</v>
      </c>
      <c r="E280" s="256">
        <f t="shared" si="17"/>
        <v>0</v>
      </c>
      <c r="F280" s="255"/>
      <c r="G280" s="250"/>
      <c r="H280" s="244"/>
      <c r="I280" s="250"/>
    </row>
    <row r="281" spans="1:9">
      <c r="A281" s="306">
        <v>226</v>
      </c>
      <c r="B281" s="256">
        <f t="shared" si="14"/>
        <v>0</v>
      </c>
      <c r="C281" s="256">
        <f t="shared" si="15"/>
        <v>0</v>
      </c>
      <c r="D281" s="256">
        <f t="shared" si="16"/>
        <v>0</v>
      </c>
      <c r="E281" s="256">
        <f t="shared" si="17"/>
        <v>0</v>
      </c>
      <c r="F281" s="255"/>
      <c r="G281" s="250"/>
      <c r="H281" s="244"/>
      <c r="I281" s="250"/>
    </row>
    <row r="282" spans="1:9">
      <c r="A282" s="306">
        <v>227</v>
      </c>
      <c r="B282" s="256">
        <f t="shared" si="14"/>
        <v>0</v>
      </c>
      <c r="C282" s="256">
        <f t="shared" si="15"/>
        <v>0</v>
      </c>
      <c r="D282" s="256">
        <f t="shared" si="16"/>
        <v>0</v>
      </c>
      <c r="E282" s="256">
        <f t="shared" si="17"/>
        <v>0</v>
      </c>
      <c r="F282" s="255"/>
      <c r="G282" s="250"/>
      <c r="H282" s="244"/>
      <c r="I282" s="250"/>
    </row>
    <row r="283" spans="1:9">
      <c r="A283" s="306">
        <v>228</v>
      </c>
      <c r="B283" s="256">
        <f t="shared" si="14"/>
        <v>0</v>
      </c>
      <c r="C283" s="256">
        <f t="shared" si="15"/>
        <v>0</v>
      </c>
      <c r="D283" s="256">
        <f t="shared" si="16"/>
        <v>0</v>
      </c>
      <c r="E283" s="256">
        <f t="shared" si="17"/>
        <v>0</v>
      </c>
      <c r="F283" s="255">
        <v>19</v>
      </c>
      <c r="G283" s="305"/>
      <c r="H283" s="264"/>
      <c r="I283" s="305"/>
    </row>
    <row r="284" spans="1:9">
      <c r="A284" s="306">
        <v>229</v>
      </c>
      <c r="B284" s="256">
        <f t="shared" si="14"/>
        <v>0</v>
      </c>
      <c r="C284" s="256">
        <f t="shared" si="15"/>
        <v>0</v>
      </c>
      <c r="D284" s="256">
        <f t="shared" si="16"/>
        <v>0</v>
      </c>
      <c r="E284" s="256">
        <f t="shared" si="17"/>
        <v>0</v>
      </c>
      <c r="F284" s="255"/>
      <c r="G284" s="250"/>
      <c r="H284" s="244"/>
      <c r="I284" s="305"/>
    </row>
    <row r="285" spans="1:9">
      <c r="A285" s="306">
        <v>230</v>
      </c>
      <c r="B285" s="256">
        <f t="shared" si="14"/>
        <v>0</v>
      </c>
      <c r="C285" s="256">
        <f t="shared" si="15"/>
        <v>0</v>
      </c>
      <c r="D285" s="256">
        <f t="shared" si="16"/>
        <v>0</v>
      </c>
      <c r="E285" s="256">
        <f t="shared" si="17"/>
        <v>0</v>
      </c>
      <c r="F285" s="255"/>
      <c r="G285" s="250"/>
      <c r="H285" s="244"/>
      <c r="I285" s="250"/>
    </row>
    <row r="286" spans="1:9">
      <c r="A286" s="306">
        <v>231</v>
      </c>
      <c r="B286" s="256">
        <f t="shared" si="14"/>
        <v>0</v>
      </c>
      <c r="C286" s="256">
        <f t="shared" si="15"/>
        <v>0</v>
      </c>
      <c r="D286" s="256">
        <f t="shared" si="16"/>
        <v>0</v>
      </c>
      <c r="E286" s="256">
        <f t="shared" si="17"/>
        <v>0</v>
      </c>
      <c r="F286" s="255"/>
      <c r="G286" s="250"/>
      <c r="H286" s="244"/>
      <c r="I286" s="250"/>
    </row>
    <row r="287" spans="1:9">
      <c r="A287" s="306">
        <v>232</v>
      </c>
      <c r="B287" s="256">
        <f t="shared" si="14"/>
        <v>0</v>
      </c>
      <c r="C287" s="256">
        <f t="shared" si="15"/>
        <v>0</v>
      </c>
      <c r="D287" s="256">
        <f t="shared" si="16"/>
        <v>0</v>
      </c>
      <c r="E287" s="256">
        <f t="shared" si="17"/>
        <v>0</v>
      </c>
      <c r="F287" s="255"/>
      <c r="G287" s="250"/>
      <c r="H287" s="244"/>
      <c r="I287" s="250"/>
    </row>
    <row r="288" spans="1:9">
      <c r="A288" s="306">
        <v>233</v>
      </c>
      <c r="B288" s="256">
        <f t="shared" si="14"/>
        <v>0</v>
      </c>
      <c r="C288" s="256">
        <f t="shared" si="15"/>
        <v>0</v>
      </c>
      <c r="D288" s="256">
        <f t="shared" si="16"/>
        <v>0</v>
      </c>
      <c r="E288" s="256">
        <f t="shared" si="17"/>
        <v>0</v>
      </c>
      <c r="F288" s="255"/>
      <c r="G288" s="250"/>
      <c r="H288" s="244"/>
      <c r="I288" s="250"/>
    </row>
    <row r="289" spans="1:9">
      <c r="A289" s="306">
        <v>234</v>
      </c>
      <c r="B289" s="256">
        <f t="shared" si="14"/>
        <v>0</v>
      </c>
      <c r="C289" s="256">
        <f t="shared" si="15"/>
        <v>0</v>
      </c>
      <c r="D289" s="256">
        <f t="shared" si="16"/>
        <v>0</v>
      </c>
      <c r="E289" s="256">
        <f t="shared" si="17"/>
        <v>0</v>
      </c>
      <c r="F289" s="255"/>
      <c r="G289" s="305"/>
      <c r="H289" s="264"/>
      <c r="I289" s="250"/>
    </row>
    <row r="290" spans="1:9">
      <c r="A290" s="306">
        <v>235</v>
      </c>
      <c r="B290" s="256">
        <f t="shared" si="14"/>
        <v>0</v>
      </c>
      <c r="C290" s="256">
        <f t="shared" si="15"/>
        <v>0</v>
      </c>
      <c r="D290" s="256">
        <f t="shared" si="16"/>
        <v>0</v>
      </c>
      <c r="E290" s="256">
        <f t="shared" si="17"/>
        <v>0</v>
      </c>
      <c r="F290" s="255"/>
      <c r="G290" s="250"/>
      <c r="H290" s="244"/>
      <c r="I290" s="250"/>
    </row>
    <row r="291" spans="1:9">
      <c r="A291" s="306">
        <v>236</v>
      </c>
      <c r="B291" s="256">
        <f t="shared" si="14"/>
        <v>0</v>
      </c>
      <c r="C291" s="256">
        <f t="shared" si="15"/>
        <v>0</v>
      </c>
      <c r="D291" s="256">
        <f t="shared" si="16"/>
        <v>0</v>
      </c>
      <c r="E291" s="256">
        <f t="shared" si="17"/>
        <v>0</v>
      </c>
      <c r="F291" s="255"/>
      <c r="G291" s="250"/>
      <c r="H291" s="244"/>
      <c r="I291" s="250"/>
    </row>
    <row r="292" spans="1:9">
      <c r="A292" s="306">
        <v>237</v>
      </c>
      <c r="B292" s="256">
        <f t="shared" si="14"/>
        <v>0</v>
      </c>
      <c r="C292" s="256">
        <f t="shared" si="15"/>
        <v>0</v>
      </c>
      <c r="D292" s="256">
        <f t="shared" si="16"/>
        <v>0</v>
      </c>
      <c r="E292" s="256">
        <f t="shared" si="17"/>
        <v>0</v>
      </c>
      <c r="F292" s="255"/>
      <c r="G292" s="250"/>
      <c r="H292" s="244"/>
      <c r="I292" s="250"/>
    </row>
    <row r="293" spans="1:9">
      <c r="A293" s="306">
        <v>238</v>
      </c>
      <c r="B293" s="256">
        <f t="shared" si="14"/>
        <v>0</v>
      </c>
      <c r="C293" s="256">
        <f t="shared" si="15"/>
        <v>0</v>
      </c>
      <c r="D293" s="256">
        <f t="shared" si="16"/>
        <v>0</v>
      </c>
      <c r="E293" s="256">
        <f t="shared" si="17"/>
        <v>0</v>
      </c>
      <c r="F293" s="255"/>
      <c r="G293" s="250"/>
      <c r="H293" s="244"/>
      <c r="I293" s="250"/>
    </row>
    <row r="294" spans="1:9">
      <c r="A294" s="306">
        <v>239</v>
      </c>
      <c r="B294" s="256">
        <f t="shared" si="14"/>
        <v>0</v>
      </c>
      <c r="C294" s="256">
        <f t="shared" si="15"/>
        <v>0</v>
      </c>
      <c r="D294" s="256">
        <f t="shared" si="16"/>
        <v>0</v>
      </c>
      <c r="E294" s="256">
        <f t="shared" si="17"/>
        <v>0</v>
      </c>
      <c r="F294" s="255"/>
      <c r="G294" s="250"/>
      <c r="H294" s="244"/>
      <c r="I294" s="250"/>
    </row>
    <row r="295" spans="1:9">
      <c r="A295" s="306">
        <v>240</v>
      </c>
      <c r="B295" s="256">
        <f t="shared" si="14"/>
        <v>0</v>
      </c>
      <c r="C295" s="256">
        <f t="shared" si="15"/>
        <v>0</v>
      </c>
      <c r="D295" s="256">
        <f t="shared" si="16"/>
        <v>0</v>
      </c>
      <c r="E295" s="256">
        <f t="shared" si="17"/>
        <v>0</v>
      </c>
      <c r="F295" s="255">
        <v>20</v>
      </c>
      <c r="G295" s="305"/>
      <c r="H295" s="264"/>
      <c r="I295" s="305"/>
    </row>
    <row r="296" spans="1:9">
      <c r="A296" s="306">
        <v>241</v>
      </c>
      <c r="B296" s="256">
        <f t="shared" si="14"/>
        <v>0</v>
      </c>
      <c r="C296" s="256">
        <f t="shared" si="15"/>
        <v>0</v>
      </c>
      <c r="D296" s="256">
        <f t="shared" si="16"/>
        <v>0</v>
      </c>
      <c r="E296" s="256">
        <f t="shared" si="17"/>
        <v>0</v>
      </c>
      <c r="F296" s="255"/>
      <c r="G296" s="250"/>
      <c r="H296" s="244"/>
      <c r="I296" s="305"/>
    </row>
    <row r="297" spans="1:9">
      <c r="A297" s="306">
        <v>242</v>
      </c>
      <c r="B297" s="256">
        <f t="shared" si="14"/>
        <v>0</v>
      </c>
      <c r="C297" s="256">
        <f t="shared" si="15"/>
        <v>0</v>
      </c>
      <c r="D297" s="256">
        <f t="shared" si="16"/>
        <v>0</v>
      </c>
      <c r="E297" s="256">
        <f t="shared" si="17"/>
        <v>0</v>
      </c>
      <c r="F297" s="255"/>
      <c r="G297" s="250"/>
      <c r="H297" s="244"/>
      <c r="I297" s="250"/>
    </row>
    <row r="298" spans="1:9">
      <c r="A298" s="306">
        <v>243</v>
      </c>
      <c r="B298" s="256">
        <f t="shared" si="14"/>
        <v>0</v>
      </c>
      <c r="C298" s="256">
        <f t="shared" si="15"/>
        <v>0</v>
      </c>
      <c r="D298" s="256">
        <f t="shared" si="16"/>
        <v>0</v>
      </c>
      <c r="E298" s="256">
        <f t="shared" si="17"/>
        <v>0</v>
      </c>
      <c r="F298" s="255"/>
      <c r="G298" s="250"/>
      <c r="H298" s="244"/>
      <c r="I298" s="250"/>
    </row>
    <row r="299" spans="1:9">
      <c r="A299" s="306">
        <v>244</v>
      </c>
      <c r="B299" s="256">
        <f t="shared" si="14"/>
        <v>0</v>
      </c>
      <c r="C299" s="256">
        <f t="shared" si="15"/>
        <v>0</v>
      </c>
      <c r="D299" s="256">
        <f t="shared" si="16"/>
        <v>0</v>
      </c>
      <c r="E299" s="256">
        <f t="shared" si="17"/>
        <v>0</v>
      </c>
      <c r="F299" s="255"/>
      <c r="G299" s="250"/>
      <c r="H299" s="244"/>
      <c r="I299" s="250"/>
    </row>
    <row r="300" spans="1:9">
      <c r="A300" s="306">
        <v>245</v>
      </c>
      <c r="B300" s="256">
        <f t="shared" si="14"/>
        <v>0</v>
      </c>
      <c r="C300" s="256">
        <f t="shared" si="15"/>
        <v>0</v>
      </c>
      <c r="D300" s="256">
        <f t="shared" si="16"/>
        <v>0</v>
      </c>
      <c r="E300" s="256">
        <f t="shared" si="17"/>
        <v>0</v>
      </c>
      <c r="F300" s="255"/>
      <c r="G300" s="250"/>
      <c r="H300" s="244"/>
      <c r="I300" s="250"/>
    </row>
    <row r="301" spans="1:9">
      <c r="A301" s="306">
        <v>246</v>
      </c>
      <c r="B301" s="256">
        <f t="shared" si="14"/>
        <v>0</v>
      </c>
      <c r="C301" s="256">
        <f t="shared" si="15"/>
        <v>0</v>
      </c>
      <c r="D301" s="256">
        <f t="shared" si="16"/>
        <v>0</v>
      </c>
      <c r="E301" s="256">
        <f t="shared" si="17"/>
        <v>0</v>
      </c>
      <c r="F301" s="255"/>
      <c r="G301" s="305"/>
      <c r="H301" s="264"/>
      <c r="I301" s="250"/>
    </row>
    <row r="302" spans="1:9">
      <c r="A302" s="306">
        <v>247</v>
      </c>
      <c r="B302" s="256">
        <f t="shared" si="14"/>
        <v>0</v>
      </c>
      <c r="C302" s="256">
        <f t="shared" si="15"/>
        <v>0</v>
      </c>
      <c r="D302" s="256">
        <f t="shared" si="16"/>
        <v>0</v>
      </c>
      <c r="E302" s="256">
        <f t="shared" si="17"/>
        <v>0</v>
      </c>
      <c r="F302" s="255"/>
      <c r="G302" s="250"/>
      <c r="H302" s="244"/>
      <c r="I302" s="250"/>
    </row>
    <row r="303" spans="1:9">
      <c r="A303" s="306">
        <v>248</v>
      </c>
      <c r="B303" s="256">
        <f t="shared" si="14"/>
        <v>0</v>
      </c>
      <c r="C303" s="256">
        <f t="shared" si="15"/>
        <v>0</v>
      </c>
      <c r="D303" s="256">
        <f t="shared" si="16"/>
        <v>0</v>
      </c>
      <c r="E303" s="256">
        <f t="shared" si="17"/>
        <v>0</v>
      </c>
      <c r="F303" s="255"/>
      <c r="G303" s="250"/>
      <c r="H303" s="244"/>
      <c r="I303" s="250"/>
    </row>
    <row r="304" spans="1:9">
      <c r="A304" s="306">
        <v>249</v>
      </c>
      <c r="B304" s="256">
        <f t="shared" si="14"/>
        <v>0</v>
      </c>
      <c r="C304" s="256">
        <f t="shared" si="15"/>
        <v>0</v>
      </c>
      <c r="D304" s="256">
        <f t="shared" si="16"/>
        <v>0</v>
      </c>
      <c r="E304" s="256">
        <f t="shared" si="17"/>
        <v>0</v>
      </c>
      <c r="F304" s="255"/>
      <c r="G304" s="250"/>
      <c r="H304" s="244"/>
      <c r="I304" s="250"/>
    </row>
    <row r="305" spans="1:9">
      <c r="A305" s="306">
        <v>250</v>
      </c>
      <c r="B305" s="256">
        <f t="shared" si="14"/>
        <v>0</v>
      </c>
      <c r="C305" s="256">
        <f t="shared" si="15"/>
        <v>0</v>
      </c>
      <c r="D305" s="256">
        <f t="shared" si="16"/>
        <v>0</v>
      </c>
      <c r="E305" s="256">
        <f t="shared" si="17"/>
        <v>0</v>
      </c>
      <c r="F305" s="255"/>
      <c r="G305" s="250"/>
      <c r="H305" s="244"/>
      <c r="I305" s="250"/>
    </row>
    <row r="306" spans="1:9">
      <c r="A306" s="306">
        <v>251</v>
      </c>
      <c r="B306" s="256">
        <f t="shared" si="14"/>
        <v>0</v>
      </c>
      <c r="C306" s="256">
        <f t="shared" si="15"/>
        <v>0</v>
      </c>
      <c r="D306" s="256">
        <f t="shared" si="16"/>
        <v>0</v>
      </c>
      <c r="E306" s="256">
        <f t="shared" si="17"/>
        <v>0</v>
      </c>
      <c r="F306" s="255"/>
      <c r="G306" s="250"/>
      <c r="H306" s="244"/>
      <c r="I306" s="250"/>
    </row>
    <row r="307" spans="1:9">
      <c r="A307" s="306">
        <v>252</v>
      </c>
      <c r="B307" s="256">
        <f t="shared" si="14"/>
        <v>0</v>
      </c>
      <c r="C307" s="256">
        <f t="shared" si="15"/>
        <v>0</v>
      </c>
      <c r="D307" s="256">
        <f t="shared" si="16"/>
        <v>0</v>
      </c>
      <c r="E307" s="256">
        <f t="shared" si="17"/>
        <v>0</v>
      </c>
      <c r="F307" s="255">
        <v>21</v>
      </c>
      <c r="G307" s="305"/>
      <c r="H307" s="264"/>
      <c r="I307" s="305"/>
    </row>
    <row r="308" spans="1:9">
      <c r="A308" s="306">
        <v>253</v>
      </c>
      <c r="B308" s="256">
        <f t="shared" si="14"/>
        <v>0</v>
      </c>
      <c r="C308" s="256">
        <f t="shared" si="15"/>
        <v>0</v>
      </c>
      <c r="D308" s="256">
        <f t="shared" si="16"/>
        <v>0</v>
      </c>
      <c r="E308" s="256">
        <f t="shared" si="17"/>
        <v>0</v>
      </c>
      <c r="F308" s="255"/>
      <c r="G308" s="250"/>
      <c r="H308" s="244"/>
      <c r="I308" s="305"/>
    </row>
    <row r="309" spans="1:9">
      <c r="A309" s="306">
        <v>254</v>
      </c>
      <c r="B309" s="256">
        <f t="shared" si="14"/>
        <v>0</v>
      </c>
      <c r="C309" s="256">
        <f t="shared" si="15"/>
        <v>0</v>
      </c>
      <c r="D309" s="256">
        <f t="shared" si="16"/>
        <v>0</v>
      </c>
      <c r="E309" s="256">
        <f t="shared" si="17"/>
        <v>0</v>
      </c>
      <c r="F309" s="255"/>
      <c r="G309" s="250"/>
      <c r="H309" s="244"/>
      <c r="I309" s="250"/>
    </row>
    <row r="310" spans="1:9">
      <c r="A310" s="306">
        <v>255</v>
      </c>
      <c r="B310" s="256">
        <f t="shared" si="14"/>
        <v>0</v>
      </c>
      <c r="C310" s="256">
        <f t="shared" si="15"/>
        <v>0</v>
      </c>
      <c r="D310" s="256">
        <f t="shared" si="16"/>
        <v>0</v>
      </c>
      <c r="E310" s="256">
        <f t="shared" si="17"/>
        <v>0</v>
      </c>
      <c r="F310" s="255"/>
      <c r="G310" s="250"/>
      <c r="H310" s="244"/>
      <c r="I310" s="250"/>
    </row>
    <row r="311" spans="1:9">
      <c r="A311" s="306">
        <v>256</v>
      </c>
      <c r="B311" s="256">
        <f t="shared" si="14"/>
        <v>0</v>
      </c>
      <c r="C311" s="256">
        <f t="shared" si="15"/>
        <v>0</v>
      </c>
      <c r="D311" s="256">
        <f t="shared" si="16"/>
        <v>0</v>
      </c>
      <c r="E311" s="256">
        <f t="shared" si="17"/>
        <v>0</v>
      </c>
      <c r="F311" s="255"/>
      <c r="G311" s="250"/>
      <c r="H311" s="244"/>
      <c r="I311" s="250"/>
    </row>
    <row r="312" spans="1:9">
      <c r="A312" s="306">
        <v>257</v>
      </c>
      <c r="B312" s="256">
        <f t="shared" ref="B312:B375" si="18">IF(A312&gt;12*$D$14,0,$D$20)</f>
        <v>0</v>
      </c>
      <c r="C312" s="256">
        <f t="shared" ref="C312:C375" si="19">IF(A312&gt;12*$D$14,0,E311*$D$10/12)</f>
        <v>0</v>
      </c>
      <c r="D312" s="256">
        <f t="shared" ref="D312:D375" si="20">IF(A312&gt;12*$D$14,0,B312-C312)</f>
        <v>0</v>
      </c>
      <c r="E312" s="256">
        <f t="shared" ref="E312:E375" si="21">IF(A312&gt;12*$D$14,0,E311-D312)</f>
        <v>0</v>
      </c>
      <c r="F312" s="255"/>
      <c r="G312" s="250"/>
      <c r="H312" s="244"/>
      <c r="I312" s="250"/>
    </row>
    <row r="313" spans="1:9">
      <c r="A313" s="306">
        <v>258</v>
      </c>
      <c r="B313" s="256">
        <f t="shared" si="18"/>
        <v>0</v>
      </c>
      <c r="C313" s="256">
        <f t="shared" si="19"/>
        <v>0</v>
      </c>
      <c r="D313" s="256">
        <f t="shared" si="20"/>
        <v>0</v>
      </c>
      <c r="E313" s="256">
        <f t="shared" si="21"/>
        <v>0</v>
      </c>
      <c r="F313" s="255"/>
      <c r="G313" s="305"/>
      <c r="H313" s="264"/>
      <c r="I313" s="250"/>
    </row>
    <row r="314" spans="1:9">
      <c r="A314" s="306">
        <v>259</v>
      </c>
      <c r="B314" s="256">
        <f t="shared" si="18"/>
        <v>0</v>
      </c>
      <c r="C314" s="256">
        <f t="shared" si="19"/>
        <v>0</v>
      </c>
      <c r="D314" s="256">
        <f t="shared" si="20"/>
        <v>0</v>
      </c>
      <c r="E314" s="256">
        <f t="shared" si="21"/>
        <v>0</v>
      </c>
      <c r="F314" s="255"/>
      <c r="G314" s="250"/>
      <c r="H314" s="244"/>
      <c r="I314" s="250"/>
    </row>
    <row r="315" spans="1:9">
      <c r="A315" s="306">
        <v>260</v>
      </c>
      <c r="B315" s="256">
        <f t="shared" si="18"/>
        <v>0</v>
      </c>
      <c r="C315" s="256">
        <f t="shared" si="19"/>
        <v>0</v>
      </c>
      <c r="D315" s="256">
        <f t="shared" si="20"/>
        <v>0</v>
      </c>
      <c r="E315" s="256">
        <f t="shared" si="21"/>
        <v>0</v>
      </c>
      <c r="F315" s="255"/>
      <c r="G315" s="250"/>
      <c r="H315" s="244"/>
      <c r="I315" s="250"/>
    </row>
    <row r="316" spans="1:9">
      <c r="A316" s="306">
        <v>261</v>
      </c>
      <c r="B316" s="256">
        <f t="shared" si="18"/>
        <v>0</v>
      </c>
      <c r="C316" s="256">
        <f t="shared" si="19"/>
        <v>0</v>
      </c>
      <c r="D316" s="256">
        <f t="shared" si="20"/>
        <v>0</v>
      </c>
      <c r="E316" s="256">
        <f t="shared" si="21"/>
        <v>0</v>
      </c>
      <c r="F316" s="255"/>
      <c r="G316" s="250"/>
      <c r="H316" s="244"/>
      <c r="I316" s="250"/>
    </row>
    <row r="317" spans="1:9">
      <c r="A317" s="306">
        <v>262</v>
      </c>
      <c r="B317" s="256">
        <f t="shared" si="18"/>
        <v>0</v>
      </c>
      <c r="C317" s="256">
        <f t="shared" si="19"/>
        <v>0</v>
      </c>
      <c r="D317" s="256">
        <f t="shared" si="20"/>
        <v>0</v>
      </c>
      <c r="E317" s="256">
        <f t="shared" si="21"/>
        <v>0</v>
      </c>
      <c r="F317" s="255"/>
      <c r="G317" s="250"/>
      <c r="H317" s="244"/>
      <c r="I317" s="250"/>
    </row>
    <row r="318" spans="1:9">
      <c r="A318" s="306">
        <v>263</v>
      </c>
      <c r="B318" s="256">
        <f t="shared" si="18"/>
        <v>0</v>
      </c>
      <c r="C318" s="256">
        <f t="shared" si="19"/>
        <v>0</v>
      </c>
      <c r="D318" s="256">
        <f t="shared" si="20"/>
        <v>0</v>
      </c>
      <c r="E318" s="256">
        <f t="shared" si="21"/>
        <v>0</v>
      </c>
      <c r="F318" s="255"/>
      <c r="G318" s="250"/>
      <c r="H318" s="244"/>
      <c r="I318" s="250"/>
    </row>
    <row r="319" spans="1:9">
      <c r="A319" s="306">
        <v>264</v>
      </c>
      <c r="B319" s="256">
        <f t="shared" si="18"/>
        <v>0</v>
      </c>
      <c r="C319" s="256">
        <f t="shared" si="19"/>
        <v>0</v>
      </c>
      <c r="D319" s="256">
        <f t="shared" si="20"/>
        <v>0</v>
      </c>
      <c r="E319" s="256">
        <f t="shared" si="21"/>
        <v>0</v>
      </c>
      <c r="F319" s="255">
        <v>22</v>
      </c>
      <c r="G319" s="305"/>
      <c r="H319" s="264"/>
      <c r="I319" s="305"/>
    </row>
    <row r="320" spans="1:9">
      <c r="A320" s="306">
        <v>265</v>
      </c>
      <c r="B320" s="256">
        <f t="shared" si="18"/>
        <v>0</v>
      </c>
      <c r="C320" s="256">
        <f t="shared" si="19"/>
        <v>0</v>
      </c>
      <c r="D320" s="256">
        <f t="shared" si="20"/>
        <v>0</v>
      </c>
      <c r="E320" s="256">
        <f t="shared" si="21"/>
        <v>0</v>
      </c>
      <c r="F320" s="255"/>
      <c r="G320" s="250"/>
      <c r="H320" s="244"/>
      <c r="I320" s="305"/>
    </row>
    <row r="321" spans="1:9">
      <c r="A321" s="306">
        <v>266</v>
      </c>
      <c r="B321" s="256">
        <f t="shared" si="18"/>
        <v>0</v>
      </c>
      <c r="C321" s="256">
        <f t="shared" si="19"/>
        <v>0</v>
      </c>
      <c r="D321" s="256">
        <f t="shared" si="20"/>
        <v>0</v>
      </c>
      <c r="E321" s="256">
        <f t="shared" si="21"/>
        <v>0</v>
      </c>
      <c r="F321" s="255"/>
      <c r="G321" s="250"/>
      <c r="H321" s="244"/>
      <c r="I321" s="250"/>
    </row>
    <row r="322" spans="1:9">
      <c r="A322" s="306">
        <v>267</v>
      </c>
      <c r="B322" s="256">
        <f t="shared" si="18"/>
        <v>0</v>
      </c>
      <c r="C322" s="256">
        <f t="shared" si="19"/>
        <v>0</v>
      </c>
      <c r="D322" s="256">
        <f t="shared" si="20"/>
        <v>0</v>
      </c>
      <c r="E322" s="256">
        <f t="shared" si="21"/>
        <v>0</v>
      </c>
      <c r="F322" s="255"/>
      <c r="G322" s="250"/>
      <c r="H322" s="244"/>
      <c r="I322" s="250"/>
    </row>
    <row r="323" spans="1:9">
      <c r="A323" s="306">
        <v>268</v>
      </c>
      <c r="B323" s="256">
        <f t="shared" si="18"/>
        <v>0</v>
      </c>
      <c r="C323" s="256">
        <f t="shared" si="19"/>
        <v>0</v>
      </c>
      <c r="D323" s="256">
        <f t="shared" si="20"/>
        <v>0</v>
      </c>
      <c r="E323" s="256">
        <f t="shared" si="21"/>
        <v>0</v>
      </c>
      <c r="F323" s="255"/>
      <c r="G323" s="250"/>
      <c r="H323" s="244"/>
      <c r="I323" s="250"/>
    </row>
    <row r="324" spans="1:9">
      <c r="A324" s="306">
        <v>269</v>
      </c>
      <c r="B324" s="256">
        <f t="shared" si="18"/>
        <v>0</v>
      </c>
      <c r="C324" s="256">
        <f t="shared" si="19"/>
        <v>0</v>
      </c>
      <c r="D324" s="256">
        <f t="shared" si="20"/>
        <v>0</v>
      </c>
      <c r="E324" s="256">
        <f t="shared" si="21"/>
        <v>0</v>
      </c>
      <c r="F324" s="255"/>
      <c r="G324" s="250"/>
      <c r="H324" s="244"/>
      <c r="I324" s="250"/>
    </row>
    <row r="325" spans="1:9">
      <c r="A325" s="306">
        <v>270</v>
      </c>
      <c r="B325" s="256">
        <f t="shared" si="18"/>
        <v>0</v>
      </c>
      <c r="C325" s="256">
        <f t="shared" si="19"/>
        <v>0</v>
      </c>
      <c r="D325" s="256">
        <f t="shared" si="20"/>
        <v>0</v>
      </c>
      <c r="E325" s="256">
        <f t="shared" si="21"/>
        <v>0</v>
      </c>
      <c r="F325" s="255"/>
      <c r="G325" s="305"/>
      <c r="H325" s="264"/>
      <c r="I325" s="250"/>
    </row>
    <row r="326" spans="1:9">
      <c r="A326" s="306">
        <v>271</v>
      </c>
      <c r="B326" s="256">
        <f t="shared" si="18"/>
        <v>0</v>
      </c>
      <c r="C326" s="256">
        <f t="shared" si="19"/>
        <v>0</v>
      </c>
      <c r="D326" s="256">
        <f t="shared" si="20"/>
        <v>0</v>
      </c>
      <c r="E326" s="256">
        <f t="shared" si="21"/>
        <v>0</v>
      </c>
      <c r="F326" s="255"/>
      <c r="G326" s="250"/>
      <c r="H326" s="244"/>
      <c r="I326" s="250"/>
    </row>
    <row r="327" spans="1:9">
      <c r="A327" s="306">
        <v>272</v>
      </c>
      <c r="B327" s="256">
        <f t="shared" si="18"/>
        <v>0</v>
      </c>
      <c r="C327" s="256">
        <f t="shared" si="19"/>
        <v>0</v>
      </c>
      <c r="D327" s="256">
        <f t="shared" si="20"/>
        <v>0</v>
      </c>
      <c r="E327" s="256">
        <f t="shared" si="21"/>
        <v>0</v>
      </c>
      <c r="F327" s="255"/>
      <c r="G327" s="250"/>
      <c r="H327" s="244"/>
      <c r="I327" s="250"/>
    </row>
    <row r="328" spans="1:9">
      <c r="A328" s="306">
        <v>273</v>
      </c>
      <c r="B328" s="256">
        <f t="shared" si="18"/>
        <v>0</v>
      </c>
      <c r="C328" s="256">
        <f t="shared" si="19"/>
        <v>0</v>
      </c>
      <c r="D328" s="256">
        <f t="shared" si="20"/>
        <v>0</v>
      </c>
      <c r="E328" s="256">
        <f t="shared" si="21"/>
        <v>0</v>
      </c>
      <c r="F328" s="255"/>
      <c r="G328" s="250"/>
      <c r="H328" s="244"/>
      <c r="I328" s="250"/>
    </row>
    <row r="329" spans="1:9">
      <c r="A329" s="306">
        <v>274</v>
      </c>
      <c r="B329" s="256">
        <f t="shared" si="18"/>
        <v>0</v>
      </c>
      <c r="C329" s="256">
        <f t="shared" si="19"/>
        <v>0</v>
      </c>
      <c r="D329" s="256">
        <f t="shared" si="20"/>
        <v>0</v>
      </c>
      <c r="E329" s="256">
        <f t="shared" si="21"/>
        <v>0</v>
      </c>
      <c r="F329" s="255"/>
      <c r="G329" s="250"/>
      <c r="H329" s="244"/>
      <c r="I329" s="250"/>
    </row>
    <row r="330" spans="1:9">
      <c r="A330" s="306">
        <v>275</v>
      </c>
      <c r="B330" s="256">
        <f t="shared" si="18"/>
        <v>0</v>
      </c>
      <c r="C330" s="256">
        <f t="shared" si="19"/>
        <v>0</v>
      </c>
      <c r="D330" s="256">
        <f t="shared" si="20"/>
        <v>0</v>
      </c>
      <c r="E330" s="256">
        <f t="shared" si="21"/>
        <v>0</v>
      </c>
      <c r="F330" s="255"/>
      <c r="G330" s="250"/>
      <c r="H330" s="244"/>
      <c r="I330" s="250"/>
    </row>
    <row r="331" spans="1:9">
      <c r="A331" s="306">
        <v>276</v>
      </c>
      <c r="B331" s="256">
        <f t="shared" si="18"/>
        <v>0</v>
      </c>
      <c r="C331" s="256">
        <f t="shared" si="19"/>
        <v>0</v>
      </c>
      <c r="D331" s="256">
        <f t="shared" si="20"/>
        <v>0</v>
      </c>
      <c r="E331" s="256">
        <f t="shared" si="21"/>
        <v>0</v>
      </c>
      <c r="F331" s="255">
        <v>23</v>
      </c>
      <c r="G331" s="305"/>
      <c r="H331" s="264"/>
      <c r="I331" s="305"/>
    </row>
    <row r="332" spans="1:9">
      <c r="A332" s="306">
        <v>277</v>
      </c>
      <c r="B332" s="256">
        <f t="shared" si="18"/>
        <v>0</v>
      </c>
      <c r="C332" s="256">
        <f t="shared" si="19"/>
        <v>0</v>
      </c>
      <c r="D332" s="256">
        <f t="shared" si="20"/>
        <v>0</v>
      </c>
      <c r="E332" s="256">
        <f t="shared" si="21"/>
        <v>0</v>
      </c>
      <c r="F332" s="255"/>
      <c r="G332" s="250"/>
      <c r="H332" s="244"/>
      <c r="I332" s="305"/>
    </row>
    <row r="333" spans="1:9">
      <c r="A333" s="306">
        <v>278</v>
      </c>
      <c r="B333" s="256">
        <f t="shared" si="18"/>
        <v>0</v>
      </c>
      <c r="C333" s="256">
        <f t="shared" si="19"/>
        <v>0</v>
      </c>
      <c r="D333" s="256">
        <f t="shared" si="20"/>
        <v>0</v>
      </c>
      <c r="E333" s="256">
        <f t="shared" si="21"/>
        <v>0</v>
      </c>
      <c r="F333" s="255"/>
      <c r="G333" s="250"/>
      <c r="H333" s="244"/>
      <c r="I333" s="250"/>
    </row>
    <row r="334" spans="1:9">
      <c r="A334" s="306">
        <v>279</v>
      </c>
      <c r="B334" s="256">
        <f t="shared" si="18"/>
        <v>0</v>
      </c>
      <c r="C334" s="256">
        <f t="shared" si="19"/>
        <v>0</v>
      </c>
      <c r="D334" s="256">
        <f t="shared" si="20"/>
        <v>0</v>
      </c>
      <c r="E334" s="256">
        <f t="shared" si="21"/>
        <v>0</v>
      </c>
      <c r="F334" s="255"/>
      <c r="G334" s="250"/>
      <c r="H334" s="244"/>
      <c r="I334" s="250"/>
    </row>
    <row r="335" spans="1:9">
      <c r="A335" s="306">
        <v>280</v>
      </c>
      <c r="B335" s="256">
        <f t="shared" si="18"/>
        <v>0</v>
      </c>
      <c r="C335" s="256">
        <f t="shared" si="19"/>
        <v>0</v>
      </c>
      <c r="D335" s="256">
        <f t="shared" si="20"/>
        <v>0</v>
      </c>
      <c r="E335" s="256">
        <f t="shared" si="21"/>
        <v>0</v>
      </c>
      <c r="F335" s="255"/>
      <c r="G335" s="250"/>
      <c r="H335" s="244"/>
      <c r="I335" s="250"/>
    </row>
    <row r="336" spans="1:9">
      <c r="A336" s="306">
        <v>281</v>
      </c>
      <c r="B336" s="256">
        <f t="shared" si="18"/>
        <v>0</v>
      </c>
      <c r="C336" s="256">
        <f t="shared" si="19"/>
        <v>0</v>
      </c>
      <c r="D336" s="256">
        <f t="shared" si="20"/>
        <v>0</v>
      </c>
      <c r="E336" s="256">
        <f t="shared" si="21"/>
        <v>0</v>
      </c>
      <c r="F336" s="255"/>
      <c r="G336" s="250"/>
      <c r="H336" s="244"/>
      <c r="I336" s="250"/>
    </row>
    <row r="337" spans="1:9">
      <c r="A337" s="306">
        <v>282</v>
      </c>
      <c r="B337" s="256">
        <f t="shared" si="18"/>
        <v>0</v>
      </c>
      <c r="C337" s="256">
        <f t="shared" si="19"/>
        <v>0</v>
      </c>
      <c r="D337" s="256">
        <f t="shared" si="20"/>
        <v>0</v>
      </c>
      <c r="E337" s="256">
        <f t="shared" si="21"/>
        <v>0</v>
      </c>
      <c r="F337" s="255"/>
      <c r="G337" s="305"/>
      <c r="H337" s="264"/>
      <c r="I337" s="250"/>
    </row>
    <row r="338" spans="1:9">
      <c r="A338" s="306">
        <v>283</v>
      </c>
      <c r="B338" s="256">
        <f t="shared" si="18"/>
        <v>0</v>
      </c>
      <c r="C338" s="256">
        <f t="shared" si="19"/>
        <v>0</v>
      </c>
      <c r="D338" s="256">
        <f t="shared" si="20"/>
        <v>0</v>
      </c>
      <c r="E338" s="256">
        <f t="shared" si="21"/>
        <v>0</v>
      </c>
      <c r="F338" s="255"/>
      <c r="G338" s="250"/>
      <c r="H338" s="244"/>
      <c r="I338" s="250"/>
    </row>
    <row r="339" spans="1:9">
      <c r="A339" s="306">
        <v>284</v>
      </c>
      <c r="B339" s="256">
        <f t="shared" si="18"/>
        <v>0</v>
      </c>
      <c r="C339" s="256">
        <f t="shared" si="19"/>
        <v>0</v>
      </c>
      <c r="D339" s="256">
        <f t="shared" si="20"/>
        <v>0</v>
      </c>
      <c r="E339" s="256">
        <f t="shared" si="21"/>
        <v>0</v>
      </c>
      <c r="F339" s="255"/>
      <c r="G339" s="250"/>
      <c r="H339" s="244"/>
      <c r="I339" s="250"/>
    </row>
    <row r="340" spans="1:9">
      <c r="A340" s="306">
        <v>285</v>
      </c>
      <c r="B340" s="256">
        <f t="shared" si="18"/>
        <v>0</v>
      </c>
      <c r="C340" s="256">
        <f t="shared" si="19"/>
        <v>0</v>
      </c>
      <c r="D340" s="256">
        <f t="shared" si="20"/>
        <v>0</v>
      </c>
      <c r="E340" s="256">
        <f t="shared" si="21"/>
        <v>0</v>
      </c>
      <c r="F340" s="255"/>
      <c r="G340" s="250"/>
      <c r="H340" s="244"/>
      <c r="I340" s="250"/>
    </row>
    <row r="341" spans="1:9">
      <c r="A341" s="306">
        <v>286</v>
      </c>
      <c r="B341" s="256">
        <f t="shared" si="18"/>
        <v>0</v>
      </c>
      <c r="C341" s="256">
        <f t="shared" si="19"/>
        <v>0</v>
      </c>
      <c r="D341" s="256">
        <f t="shared" si="20"/>
        <v>0</v>
      </c>
      <c r="E341" s="256">
        <f t="shared" si="21"/>
        <v>0</v>
      </c>
      <c r="F341" s="255"/>
      <c r="G341" s="250"/>
      <c r="H341" s="244"/>
      <c r="I341" s="250"/>
    </row>
    <row r="342" spans="1:9">
      <c r="A342" s="306">
        <v>287</v>
      </c>
      <c r="B342" s="256">
        <f t="shared" si="18"/>
        <v>0</v>
      </c>
      <c r="C342" s="256">
        <f t="shared" si="19"/>
        <v>0</v>
      </c>
      <c r="D342" s="256">
        <f t="shared" si="20"/>
        <v>0</v>
      </c>
      <c r="E342" s="256">
        <f t="shared" si="21"/>
        <v>0</v>
      </c>
      <c r="F342" s="255"/>
      <c r="G342" s="250"/>
      <c r="H342" s="244"/>
      <c r="I342" s="250"/>
    </row>
    <row r="343" spans="1:9">
      <c r="A343" s="306">
        <v>288</v>
      </c>
      <c r="B343" s="256">
        <f t="shared" si="18"/>
        <v>0</v>
      </c>
      <c r="C343" s="256">
        <f t="shared" si="19"/>
        <v>0</v>
      </c>
      <c r="D343" s="256">
        <f t="shared" si="20"/>
        <v>0</v>
      </c>
      <c r="E343" s="256">
        <f t="shared" si="21"/>
        <v>0</v>
      </c>
      <c r="F343" s="255">
        <v>24</v>
      </c>
      <c r="G343" s="305"/>
      <c r="H343" s="264"/>
      <c r="I343" s="305"/>
    </row>
    <row r="344" spans="1:9">
      <c r="A344" s="306">
        <v>289</v>
      </c>
      <c r="B344" s="256">
        <f t="shared" si="18"/>
        <v>0</v>
      </c>
      <c r="C344" s="256">
        <f t="shared" si="19"/>
        <v>0</v>
      </c>
      <c r="D344" s="256">
        <f t="shared" si="20"/>
        <v>0</v>
      </c>
      <c r="E344" s="256">
        <f t="shared" si="21"/>
        <v>0</v>
      </c>
      <c r="F344" s="255"/>
      <c r="G344" s="250"/>
      <c r="H344" s="244"/>
      <c r="I344" s="305"/>
    </row>
    <row r="345" spans="1:9">
      <c r="A345" s="306">
        <v>290</v>
      </c>
      <c r="B345" s="256">
        <f t="shared" si="18"/>
        <v>0</v>
      </c>
      <c r="C345" s="256">
        <f t="shared" si="19"/>
        <v>0</v>
      </c>
      <c r="D345" s="256">
        <f t="shared" si="20"/>
        <v>0</v>
      </c>
      <c r="E345" s="256">
        <f t="shared" si="21"/>
        <v>0</v>
      </c>
      <c r="F345" s="255"/>
      <c r="G345" s="250"/>
      <c r="H345" s="244"/>
      <c r="I345" s="250"/>
    </row>
    <row r="346" spans="1:9">
      <c r="A346" s="306">
        <v>291</v>
      </c>
      <c r="B346" s="256">
        <f t="shared" si="18"/>
        <v>0</v>
      </c>
      <c r="C346" s="256">
        <f t="shared" si="19"/>
        <v>0</v>
      </c>
      <c r="D346" s="256">
        <f t="shared" si="20"/>
        <v>0</v>
      </c>
      <c r="E346" s="256">
        <f t="shared" si="21"/>
        <v>0</v>
      </c>
      <c r="F346" s="255"/>
      <c r="G346" s="250"/>
      <c r="H346" s="244"/>
      <c r="I346" s="250"/>
    </row>
    <row r="347" spans="1:9">
      <c r="A347" s="306">
        <v>292</v>
      </c>
      <c r="B347" s="256">
        <f t="shared" si="18"/>
        <v>0</v>
      </c>
      <c r="C347" s="256">
        <f t="shared" si="19"/>
        <v>0</v>
      </c>
      <c r="D347" s="256">
        <f t="shared" si="20"/>
        <v>0</v>
      </c>
      <c r="E347" s="256">
        <f t="shared" si="21"/>
        <v>0</v>
      </c>
      <c r="F347" s="255"/>
      <c r="G347" s="250"/>
      <c r="H347" s="244"/>
      <c r="I347" s="250"/>
    </row>
    <row r="348" spans="1:9">
      <c r="A348" s="306">
        <v>293</v>
      </c>
      <c r="B348" s="256">
        <f t="shared" si="18"/>
        <v>0</v>
      </c>
      <c r="C348" s="256">
        <f t="shared" si="19"/>
        <v>0</v>
      </c>
      <c r="D348" s="256">
        <f t="shared" si="20"/>
        <v>0</v>
      </c>
      <c r="E348" s="256">
        <f t="shared" si="21"/>
        <v>0</v>
      </c>
      <c r="F348" s="255"/>
      <c r="G348" s="250"/>
      <c r="H348" s="244"/>
      <c r="I348" s="250"/>
    </row>
    <row r="349" spans="1:9">
      <c r="A349" s="306">
        <v>294</v>
      </c>
      <c r="B349" s="256">
        <f t="shared" si="18"/>
        <v>0</v>
      </c>
      <c r="C349" s="256">
        <f t="shared" si="19"/>
        <v>0</v>
      </c>
      <c r="D349" s="256">
        <f t="shared" si="20"/>
        <v>0</v>
      </c>
      <c r="E349" s="256">
        <f t="shared" si="21"/>
        <v>0</v>
      </c>
      <c r="F349" s="255"/>
      <c r="G349" s="305"/>
      <c r="H349" s="264"/>
      <c r="I349" s="250"/>
    </row>
    <row r="350" spans="1:9">
      <c r="A350" s="306">
        <v>295</v>
      </c>
      <c r="B350" s="256">
        <f t="shared" si="18"/>
        <v>0</v>
      </c>
      <c r="C350" s="256">
        <f t="shared" si="19"/>
        <v>0</v>
      </c>
      <c r="D350" s="256">
        <f t="shared" si="20"/>
        <v>0</v>
      </c>
      <c r="E350" s="256">
        <f t="shared" si="21"/>
        <v>0</v>
      </c>
      <c r="F350" s="255"/>
      <c r="G350" s="250"/>
      <c r="H350" s="244"/>
      <c r="I350" s="250"/>
    </row>
    <row r="351" spans="1:9">
      <c r="A351" s="306">
        <v>296</v>
      </c>
      <c r="B351" s="256">
        <f t="shared" si="18"/>
        <v>0</v>
      </c>
      <c r="C351" s="256">
        <f t="shared" si="19"/>
        <v>0</v>
      </c>
      <c r="D351" s="256">
        <f t="shared" si="20"/>
        <v>0</v>
      </c>
      <c r="E351" s="256">
        <f t="shared" si="21"/>
        <v>0</v>
      </c>
      <c r="F351" s="255"/>
      <c r="G351" s="250"/>
      <c r="H351" s="244"/>
      <c r="I351" s="250"/>
    </row>
    <row r="352" spans="1:9">
      <c r="A352" s="306">
        <v>297</v>
      </c>
      <c r="B352" s="256">
        <f t="shared" si="18"/>
        <v>0</v>
      </c>
      <c r="C352" s="256">
        <f t="shared" si="19"/>
        <v>0</v>
      </c>
      <c r="D352" s="256">
        <f t="shared" si="20"/>
        <v>0</v>
      </c>
      <c r="E352" s="256">
        <f t="shared" si="21"/>
        <v>0</v>
      </c>
      <c r="F352" s="255"/>
      <c r="G352" s="250"/>
      <c r="H352" s="244"/>
      <c r="I352" s="250"/>
    </row>
    <row r="353" spans="1:9">
      <c r="A353" s="306">
        <v>298</v>
      </c>
      <c r="B353" s="256">
        <f t="shared" si="18"/>
        <v>0</v>
      </c>
      <c r="C353" s="256">
        <f t="shared" si="19"/>
        <v>0</v>
      </c>
      <c r="D353" s="256">
        <f t="shared" si="20"/>
        <v>0</v>
      </c>
      <c r="E353" s="256">
        <f t="shared" si="21"/>
        <v>0</v>
      </c>
      <c r="F353" s="255"/>
      <c r="G353" s="250"/>
      <c r="H353" s="244"/>
      <c r="I353" s="250"/>
    </row>
    <row r="354" spans="1:9">
      <c r="A354" s="306">
        <v>299</v>
      </c>
      <c r="B354" s="256">
        <f t="shared" si="18"/>
        <v>0</v>
      </c>
      <c r="C354" s="256">
        <f t="shared" si="19"/>
        <v>0</v>
      </c>
      <c r="D354" s="256">
        <f t="shared" si="20"/>
        <v>0</v>
      </c>
      <c r="E354" s="256">
        <f t="shared" si="21"/>
        <v>0</v>
      </c>
      <c r="F354" s="255"/>
      <c r="G354" s="250"/>
      <c r="H354" s="244"/>
      <c r="I354" s="250"/>
    </row>
    <row r="355" spans="1:9">
      <c r="A355" s="306">
        <v>300</v>
      </c>
      <c r="B355" s="256">
        <f t="shared" si="18"/>
        <v>0</v>
      </c>
      <c r="C355" s="256">
        <f t="shared" si="19"/>
        <v>0</v>
      </c>
      <c r="D355" s="256">
        <f t="shared" si="20"/>
        <v>0</v>
      </c>
      <c r="E355" s="256">
        <f t="shared" si="21"/>
        <v>0</v>
      </c>
      <c r="F355" s="255">
        <v>25</v>
      </c>
      <c r="G355" s="305"/>
      <c r="H355" s="264"/>
      <c r="I355" s="305"/>
    </row>
    <row r="356" spans="1:9">
      <c r="A356" s="306">
        <v>301</v>
      </c>
      <c r="B356" s="256">
        <f t="shared" si="18"/>
        <v>0</v>
      </c>
      <c r="C356" s="256">
        <f t="shared" si="19"/>
        <v>0</v>
      </c>
      <c r="D356" s="256">
        <f t="shared" si="20"/>
        <v>0</v>
      </c>
      <c r="E356" s="256">
        <f t="shared" si="21"/>
        <v>0</v>
      </c>
      <c r="F356" s="255"/>
      <c r="G356" s="250"/>
      <c r="H356" s="244"/>
      <c r="I356" s="305"/>
    </row>
    <row r="357" spans="1:9">
      <c r="A357" s="306">
        <v>302</v>
      </c>
      <c r="B357" s="256">
        <f t="shared" si="18"/>
        <v>0</v>
      </c>
      <c r="C357" s="256">
        <f t="shared" si="19"/>
        <v>0</v>
      </c>
      <c r="D357" s="256">
        <f t="shared" si="20"/>
        <v>0</v>
      </c>
      <c r="E357" s="256">
        <f t="shared" si="21"/>
        <v>0</v>
      </c>
      <c r="F357" s="255"/>
      <c r="G357" s="250"/>
      <c r="H357" s="244"/>
      <c r="I357" s="250"/>
    </row>
    <row r="358" spans="1:9">
      <c r="A358" s="306">
        <v>303</v>
      </c>
      <c r="B358" s="256">
        <f t="shared" si="18"/>
        <v>0</v>
      </c>
      <c r="C358" s="256">
        <f t="shared" si="19"/>
        <v>0</v>
      </c>
      <c r="D358" s="256">
        <f t="shared" si="20"/>
        <v>0</v>
      </c>
      <c r="E358" s="256">
        <f t="shared" si="21"/>
        <v>0</v>
      </c>
      <c r="F358" s="255"/>
      <c r="G358" s="250"/>
      <c r="H358" s="244"/>
      <c r="I358" s="250"/>
    </row>
    <row r="359" spans="1:9">
      <c r="A359" s="306">
        <v>304</v>
      </c>
      <c r="B359" s="256">
        <f t="shared" si="18"/>
        <v>0</v>
      </c>
      <c r="C359" s="256">
        <f t="shared" si="19"/>
        <v>0</v>
      </c>
      <c r="D359" s="256">
        <f t="shared" si="20"/>
        <v>0</v>
      </c>
      <c r="E359" s="256">
        <f t="shared" si="21"/>
        <v>0</v>
      </c>
      <c r="F359" s="255"/>
      <c r="G359" s="250"/>
      <c r="H359" s="244"/>
      <c r="I359" s="250"/>
    </row>
    <row r="360" spans="1:9">
      <c r="A360" s="306">
        <v>305</v>
      </c>
      <c r="B360" s="256">
        <f t="shared" si="18"/>
        <v>0</v>
      </c>
      <c r="C360" s="256">
        <f t="shared" si="19"/>
        <v>0</v>
      </c>
      <c r="D360" s="256">
        <f t="shared" si="20"/>
        <v>0</v>
      </c>
      <c r="E360" s="256">
        <f t="shared" si="21"/>
        <v>0</v>
      </c>
      <c r="F360" s="255"/>
      <c r="G360" s="250"/>
      <c r="H360" s="244"/>
      <c r="I360" s="250"/>
    </row>
    <row r="361" spans="1:9">
      <c r="A361" s="306">
        <v>306</v>
      </c>
      <c r="B361" s="256">
        <f t="shared" si="18"/>
        <v>0</v>
      </c>
      <c r="C361" s="256">
        <f t="shared" si="19"/>
        <v>0</v>
      </c>
      <c r="D361" s="256">
        <f t="shared" si="20"/>
        <v>0</v>
      </c>
      <c r="E361" s="256">
        <f t="shared" si="21"/>
        <v>0</v>
      </c>
      <c r="F361" s="255"/>
      <c r="G361" s="305"/>
      <c r="H361" s="264"/>
      <c r="I361" s="250"/>
    </row>
    <row r="362" spans="1:9">
      <c r="A362" s="306">
        <v>307</v>
      </c>
      <c r="B362" s="256">
        <f t="shared" si="18"/>
        <v>0</v>
      </c>
      <c r="C362" s="256">
        <f t="shared" si="19"/>
        <v>0</v>
      </c>
      <c r="D362" s="256">
        <f t="shared" si="20"/>
        <v>0</v>
      </c>
      <c r="E362" s="256">
        <f t="shared" si="21"/>
        <v>0</v>
      </c>
      <c r="F362" s="255"/>
      <c r="G362" s="250"/>
      <c r="H362" s="244"/>
      <c r="I362" s="250"/>
    </row>
    <row r="363" spans="1:9">
      <c r="A363" s="306">
        <v>308</v>
      </c>
      <c r="B363" s="256">
        <f t="shared" si="18"/>
        <v>0</v>
      </c>
      <c r="C363" s="256">
        <f t="shared" si="19"/>
        <v>0</v>
      </c>
      <c r="D363" s="256">
        <f t="shared" si="20"/>
        <v>0</v>
      </c>
      <c r="E363" s="256">
        <f t="shared" si="21"/>
        <v>0</v>
      </c>
      <c r="F363" s="255"/>
      <c r="G363" s="250"/>
      <c r="H363" s="244"/>
      <c r="I363" s="250"/>
    </row>
    <row r="364" spans="1:9">
      <c r="A364" s="306">
        <v>309</v>
      </c>
      <c r="B364" s="256">
        <f t="shared" si="18"/>
        <v>0</v>
      </c>
      <c r="C364" s="256">
        <f t="shared" si="19"/>
        <v>0</v>
      </c>
      <c r="D364" s="256">
        <f t="shared" si="20"/>
        <v>0</v>
      </c>
      <c r="E364" s="256">
        <f t="shared" si="21"/>
        <v>0</v>
      </c>
      <c r="F364" s="255"/>
      <c r="G364" s="250"/>
      <c r="H364" s="244"/>
      <c r="I364" s="250"/>
    </row>
    <row r="365" spans="1:9">
      <c r="A365" s="306">
        <v>310</v>
      </c>
      <c r="B365" s="256">
        <f t="shared" si="18"/>
        <v>0</v>
      </c>
      <c r="C365" s="256">
        <f t="shared" si="19"/>
        <v>0</v>
      </c>
      <c r="D365" s="256">
        <f t="shared" si="20"/>
        <v>0</v>
      </c>
      <c r="E365" s="256">
        <f t="shared" si="21"/>
        <v>0</v>
      </c>
      <c r="F365" s="255"/>
      <c r="G365" s="250"/>
      <c r="H365" s="244"/>
      <c r="I365" s="250"/>
    </row>
    <row r="366" spans="1:9">
      <c r="A366" s="306">
        <v>311</v>
      </c>
      <c r="B366" s="256">
        <f t="shared" si="18"/>
        <v>0</v>
      </c>
      <c r="C366" s="256">
        <f t="shared" si="19"/>
        <v>0</v>
      </c>
      <c r="D366" s="256">
        <f t="shared" si="20"/>
        <v>0</v>
      </c>
      <c r="E366" s="256">
        <f t="shared" si="21"/>
        <v>0</v>
      </c>
      <c r="F366" s="255"/>
      <c r="G366" s="250"/>
      <c r="H366" s="244"/>
      <c r="I366" s="250"/>
    </row>
    <row r="367" spans="1:9">
      <c r="A367" s="306">
        <v>312</v>
      </c>
      <c r="B367" s="256">
        <f t="shared" si="18"/>
        <v>0</v>
      </c>
      <c r="C367" s="256">
        <f t="shared" si="19"/>
        <v>0</v>
      </c>
      <c r="D367" s="256">
        <f t="shared" si="20"/>
        <v>0</v>
      </c>
      <c r="E367" s="256">
        <f t="shared" si="21"/>
        <v>0</v>
      </c>
      <c r="F367" s="255">
        <v>26</v>
      </c>
      <c r="G367" s="305"/>
      <c r="H367" s="264"/>
      <c r="I367" s="305"/>
    </row>
    <row r="368" spans="1:9">
      <c r="A368" s="306">
        <v>313</v>
      </c>
      <c r="B368" s="256">
        <f t="shared" si="18"/>
        <v>0</v>
      </c>
      <c r="C368" s="256">
        <f t="shared" si="19"/>
        <v>0</v>
      </c>
      <c r="D368" s="256">
        <f t="shared" si="20"/>
        <v>0</v>
      </c>
      <c r="E368" s="256">
        <f t="shared" si="21"/>
        <v>0</v>
      </c>
      <c r="F368" s="255"/>
      <c r="G368" s="250"/>
      <c r="H368" s="244"/>
      <c r="I368" s="305"/>
    </row>
    <row r="369" spans="1:9">
      <c r="A369" s="306">
        <v>314</v>
      </c>
      <c r="B369" s="256">
        <f t="shared" si="18"/>
        <v>0</v>
      </c>
      <c r="C369" s="256">
        <f t="shared" si="19"/>
        <v>0</v>
      </c>
      <c r="D369" s="256">
        <f t="shared" si="20"/>
        <v>0</v>
      </c>
      <c r="E369" s="256">
        <f t="shared" si="21"/>
        <v>0</v>
      </c>
      <c r="F369" s="255"/>
      <c r="G369" s="250"/>
      <c r="H369" s="244"/>
      <c r="I369" s="250"/>
    </row>
    <row r="370" spans="1:9">
      <c r="A370" s="306">
        <v>315</v>
      </c>
      <c r="B370" s="256">
        <f t="shared" si="18"/>
        <v>0</v>
      </c>
      <c r="C370" s="256">
        <f t="shared" si="19"/>
        <v>0</v>
      </c>
      <c r="D370" s="256">
        <f t="shared" si="20"/>
        <v>0</v>
      </c>
      <c r="E370" s="256">
        <f t="shared" si="21"/>
        <v>0</v>
      </c>
      <c r="F370" s="255"/>
      <c r="G370" s="250"/>
      <c r="H370" s="244"/>
      <c r="I370" s="250"/>
    </row>
    <row r="371" spans="1:9">
      <c r="A371" s="306">
        <v>316</v>
      </c>
      <c r="B371" s="256">
        <f t="shared" si="18"/>
        <v>0</v>
      </c>
      <c r="C371" s="256">
        <f t="shared" si="19"/>
        <v>0</v>
      </c>
      <c r="D371" s="256">
        <f t="shared" si="20"/>
        <v>0</v>
      </c>
      <c r="E371" s="256">
        <f t="shared" si="21"/>
        <v>0</v>
      </c>
      <c r="F371" s="255"/>
      <c r="G371" s="250"/>
      <c r="H371" s="244"/>
      <c r="I371" s="250"/>
    </row>
    <row r="372" spans="1:9">
      <c r="A372" s="306">
        <v>317</v>
      </c>
      <c r="B372" s="256">
        <f t="shared" si="18"/>
        <v>0</v>
      </c>
      <c r="C372" s="256">
        <f t="shared" si="19"/>
        <v>0</v>
      </c>
      <c r="D372" s="256">
        <f t="shared" si="20"/>
        <v>0</v>
      </c>
      <c r="E372" s="256">
        <f t="shared" si="21"/>
        <v>0</v>
      </c>
      <c r="F372" s="255"/>
      <c r="G372" s="250"/>
      <c r="H372" s="244"/>
      <c r="I372" s="250"/>
    </row>
    <row r="373" spans="1:9">
      <c r="A373" s="306">
        <v>318</v>
      </c>
      <c r="B373" s="256">
        <f t="shared" si="18"/>
        <v>0</v>
      </c>
      <c r="C373" s="256">
        <f t="shared" si="19"/>
        <v>0</v>
      </c>
      <c r="D373" s="256">
        <f t="shared" si="20"/>
        <v>0</v>
      </c>
      <c r="E373" s="256">
        <f t="shared" si="21"/>
        <v>0</v>
      </c>
      <c r="F373" s="255"/>
      <c r="G373" s="305"/>
      <c r="H373" s="264"/>
      <c r="I373" s="250"/>
    </row>
    <row r="374" spans="1:9">
      <c r="A374" s="306">
        <v>319</v>
      </c>
      <c r="B374" s="256">
        <f t="shared" si="18"/>
        <v>0</v>
      </c>
      <c r="C374" s="256">
        <f t="shared" si="19"/>
        <v>0</v>
      </c>
      <c r="D374" s="256">
        <f t="shared" si="20"/>
        <v>0</v>
      </c>
      <c r="E374" s="256">
        <f t="shared" si="21"/>
        <v>0</v>
      </c>
      <c r="F374" s="255"/>
      <c r="G374" s="250"/>
      <c r="H374" s="244"/>
      <c r="I374" s="250"/>
    </row>
    <row r="375" spans="1:9">
      <c r="A375" s="306">
        <v>320</v>
      </c>
      <c r="B375" s="256">
        <f t="shared" si="18"/>
        <v>0</v>
      </c>
      <c r="C375" s="256">
        <f t="shared" si="19"/>
        <v>0</v>
      </c>
      <c r="D375" s="256">
        <f t="shared" si="20"/>
        <v>0</v>
      </c>
      <c r="E375" s="256">
        <f t="shared" si="21"/>
        <v>0</v>
      </c>
      <c r="F375" s="255"/>
      <c r="G375" s="250"/>
      <c r="H375" s="244"/>
      <c r="I375" s="250"/>
    </row>
    <row r="376" spans="1:9">
      <c r="A376" s="306">
        <v>321</v>
      </c>
      <c r="B376" s="256">
        <f t="shared" ref="B376:B439" si="22">IF(A376&gt;12*$D$14,0,$D$20)</f>
        <v>0</v>
      </c>
      <c r="C376" s="256">
        <f t="shared" ref="C376:C439" si="23">IF(A376&gt;12*$D$14,0,E375*$D$10/12)</f>
        <v>0</v>
      </c>
      <c r="D376" s="256">
        <f t="shared" ref="D376:D439" si="24">IF(A376&gt;12*$D$14,0,B376-C376)</f>
        <v>0</v>
      </c>
      <c r="E376" s="256">
        <f t="shared" ref="E376:E439" si="25">IF(A376&gt;12*$D$14,0,E375-D376)</f>
        <v>0</v>
      </c>
      <c r="F376" s="255"/>
      <c r="G376" s="250"/>
      <c r="H376" s="244"/>
      <c r="I376" s="250"/>
    </row>
    <row r="377" spans="1:9">
      <c r="A377" s="306">
        <v>322</v>
      </c>
      <c r="B377" s="256">
        <f t="shared" si="22"/>
        <v>0</v>
      </c>
      <c r="C377" s="256">
        <f t="shared" si="23"/>
        <v>0</v>
      </c>
      <c r="D377" s="256">
        <f t="shared" si="24"/>
        <v>0</v>
      </c>
      <c r="E377" s="256">
        <f t="shared" si="25"/>
        <v>0</v>
      </c>
      <c r="F377" s="255"/>
      <c r="G377" s="250"/>
      <c r="H377" s="244"/>
      <c r="I377" s="250"/>
    </row>
    <row r="378" spans="1:9">
      <c r="A378" s="306">
        <v>323</v>
      </c>
      <c r="B378" s="256">
        <f t="shared" si="22"/>
        <v>0</v>
      </c>
      <c r="C378" s="256">
        <f t="shared" si="23"/>
        <v>0</v>
      </c>
      <c r="D378" s="256">
        <f t="shared" si="24"/>
        <v>0</v>
      </c>
      <c r="E378" s="256">
        <f t="shared" si="25"/>
        <v>0</v>
      </c>
      <c r="F378" s="255"/>
      <c r="G378" s="250"/>
      <c r="H378" s="244"/>
      <c r="I378" s="250"/>
    </row>
    <row r="379" spans="1:9">
      <c r="A379" s="306">
        <v>324</v>
      </c>
      <c r="B379" s="256">
        <f t="shared" si="22"/>
        <v>0</v>
      </c>
      <c r="C379" s="256">
        <f t="shared" si="23"/>
        <v>0</v>
      </c>
      <c r="D379" s="256">
        <f t="shared" si="24"/>
        <v>0</v>
      </c>
      <c r="E379" s="256">
        <f t="shared" si="25"/>
        <v>0</v>
      </c>
      <c r="F379" s="255">
        <v>27</v>
      </c>
      <c r="G379" s="305"/>
      <c r="H379" s="264"/>
      <c r="I379" s="305"/>
    </row>
    <row r="380" spans="1:9">
      <c r="A380" s="306">
        <v>325</v>
      </c>
      <c r="B380" s="256">
        <f t="shared" si="22"/>
        <v>0</v>
      </c>
      <c r="C380" s="256">
        <f t="shared" si="23"/>
        <v>0</v>
      </c>
      <c r="D380" s="256">
        <f t="shared" si="24"/>
        <v>0</v>
      </c>
      <c r="E380" s="256">
        <f t="shared" si="25"/>
        <v>0</v>
      </c>
      <c r="F380" s="255"/>
      <c r="G380" s="250"/>
      <c r="H380" s="244"/>
      <c r="I380" s="305"/>
    </row>
    <row r="381" spans="1:9">
      <c r="A381" s="306">
        <v>326</v>
      </c>
      <c r="B381" s="256">
        <f t="shared" si="22"/>
        <v>0</v>
      </c>
      <c r="C381" s="256">
        <f t="shared" si="23"/>
        <v>0</v>
      </c>
      <c r="D381" s="256">
        <f t="shared" si="24"/>
        <v>0</v>
      </c>
      <c r="E381" s="256">
        <f t="shared" si="25"/>
        <v>0</v>
      </c>
      <c r="F381" s="255"/>
      <c r="G381" s="250"/>
      <c r="H381" s="244"/>
      <c r="I381" s="250"/>
    </row>
    <row r="382" spans="1:9">
      <c r="A382" s="306">
        <v>327</v>
      </c>
      <c r="B382" s="256">
        <f t="shared" si="22"/>
        <v>0</v>
      </c>
      <c r="C382" s="256">
        <f t="shared" si="23"/>
        <v>0</v>
      </c>
      <c r="D382" s="256">
        <f t="shared" si="24"/>
        <v>0</v>
      </c>
      <c r="E382" s="256">
        <f t="shared" si="25"/>
        <v>0</v>
      </c>
      <c r="F382" s="255"/>
      <c r="G382" s="250"/>
      <c r="H382" s="244"/>
      <c r="I382" s="250"/>
    </row>
    <row r="383" spans="1:9">
      <c r="A383" s="306">
        <v>328</v>
      </c>
      <c r="B383" s="256">
        <f t="shared" si="22"/>
        <v>0</v>
      </c>
      <c r="C383" s="256">
        <f t="shared" si="23"/>
        <v>0</v>
      </c>
      <c r="D383" s="256">
        <f t="shared" si="24"/>
        <v>0</v>
      </c>
      <c r="E383" s="256">
        <f t="shared" si="25"/>
        <v>0</v>
      </c>
      <c r="F383" s="255"/>
      <c r="G383" s="250"/>
      <c r="H383" s="244"/>
      <c r="I383" s="250"/>
    </row>
    <row r="384" spans="1:9">
      <c r="A384" s="306">
        <v>329</v>
      </c>
      <c r="B384" s="256">
        <f t="shared" si="22"/>
        <v>0</v>
      </c>
      <c r="C384" s="256">
        <f t="shared" si="23"/>
        <v>0</v>
      </c>
      <c r="D384" s="256">
        <f t="shared" si="24"/>
        <v>0</v>
      </c>
      <c r="E384" s="256">
        <f t="shared" si="25"/>
        <v>0</v>
      </c>
      <c r="F384" s="255"/>
      <c r="G384" s="250"/>
      <c r="H384" s="244"/>
      <c r="I384" s="250"/>
    </row>
    <row r="385" spans="1:9">
      <c r="A385" s="306">
        <v>330</v>
      </c>
      <c r="B385" s="256">
        <f t="shared" si="22"/>
        <v>0</v>
      </c>
      <c r="C385" s="256">
        <f t="shared" si="23"/>
        <v>0</v>
      </c>
      <c r="D385" s="256">
        <f t="shared" si="24"/>
        <v>0</v>
      </c>
      <c r="E385" s="256">
        <f t="shared" si="25"/>
        <v>0</v>
      </c>
      <c r="F385" s="255"/>
      <c r="G385" s="305"/>
      <c r="H385" s="264"/>
      <c r="I385" s="250"/>
    </row>
    <row r="386" spans="1:9">
      <c r="A386" s="306">
        <v>331</v>
      </c>
      <c r="B386" s="256">
        <f t="shared" si="22"/>
        <v>0</v>
      </c>
      <c r="C386" s="256">
        <f t="shared" si="23"/>
        <v>0</v>
      </c>
      <c r="D386" s="256">
        <f t="shared" si="24"/>
        <v>0</v>
      </c>
      <c r="E386" s="256">
        <f t="shared" si="25"/>
        <v>0</v>
      </c>
      <c r="F386" s="255"/>
      <c r="G386" s="250"/>
      <c r="H386" s="244"/>
      <c r="I386" s="250"/>
    </row>
    <row r="387" spans="1:9">
      <c r="A387" s="306">
        <v>332</v>
      </c>
      <c r="B387" s="256">
        <f t="shared" si="22"/>
        <v>0</v>
      </c>
      <c r="C387" s="256">
        <f t="shared" si="23"/>
        <v>0</v>
      </c>
      <c r="D387" s="256">
        <f t="shared" si="24"/>
        <v>0</v>
      </c>
      <c r="E387" s="256">
        <f t="shared" si="25"/>
        <v>0</v>
      </c>
      <c r="F387" s="255"/>
      <c r="G387" s="250"/>
      <c r="H387" s="244"/>
      <c r="I387" s="250"/>
    </row>
    <row r="388" spans="1:9">
      <c r="A388" s="306">
        <v>333</v>
      </c>
      <c r="B388" s="256">
        <f t="shared" si="22"/>
        <v>0</v>
      </c>
      <c r="C388" s="256">
        <f t="shared" si="23"/>
        <v>0</v>
      </c>
      <c r="D388" s="256">
        <f t="shared" si="24"/>
        <v>0</v>
      </c>
      <c r="E388" s="256">
        <f t="shared" si="25"/>
        <v>0</v>
      </c>
      <c r="F388" s="255"/>
      <c r="G388" s="250"/>
      <c r="H388" s="244"/>
      <c r="I388" s="250"/>
    </row>
    <row r="389" spans="1:9">
      <c r="A389" s="306">
        <v>334</v>
      </c>
      <c r="B389" s="256">
        <f t="shared" si="22"/>
        <v>0</v>
      </c>
      <c r="C389" s="256">
        <f t="shared" si="23"/>
        <v>0</v>
      </c>
      <c r="D389" s="256">
        <f t="shared" si="24"/>
        <v>0</v>
      </c>
      <c r="E389" s="256">
        <f t="shared" si="25"/>
        <v>0</v>
      </c>
      <c r="F389" s="255"/>
      <c r="G389" s="250"/>
      <c r="H389" s="244"/>
      <c r="I389" s="250"/>
    </row>
    <row r="390" spans="1:9">
      <c r="A390" s="306">
        <v>335</v>
      </c>
      <c r="B390" s="256">
        <f t="shared" si="22"/>
        <v>0</v>
      </c>
      <c r="C390" s="256">
        <f t="shared" si="23"/>
        <v>0</v>
      </c>
      <c r="D390" s="256">
        <f t="shared" si="24"/>
        <v>0</v>
      </c>
      <c r="E390" s="256">
        <f t="shared" si="25"/>
        <v>0</v>
      </c>
      <c r="F390" s="255"/>
      <c r="G390" s="250"/>
      <c r="H390" s="244"/>
      <c r="I390" s="250"/>
    </row>
    <row r="391" spans="1:9">
      <c r="A391" s="306">
        <v>336</v>
      </c>
      <c r="B391" s="256">
        <f t="shared" si="22"/>
        <v>0</v>
      </c>
      <c r="C391" s="256">
        <f t="shared" si="23"/>
        <v>0</v>
      </c>
      <c r="D391" s="256">
        <f t="shared" si="24"/>
        <v>0</v>
      </c>
      <c r="E391" s="256">
        <f t="shared" si="25"/>
        <v>0</v>
      </c>
      <c r="F391" s="255">
        <v>28</v>
      </c>
      <c r="G391" s="305"/>
      <c r="H391" s="264"/>
      <c r="I391" s="305"/>
    </row>
    <row r="392" spans="1:9">
      <c r="A392" s="306">
        <v>337</v>
      </c>
      <c r="B392" s="256">
        <f t="shared" si="22"/>
        <v>0</v>
      </c>
      <c r="C392" s="256">
        <f t="shared" si="23"/>
        <v>0</v>
      </c>
      <c r="D392" s="256">
        <f t="shared" si="24"/>
        <v>0</v>
      </c>
      <c r="E392" s="256">
        <f t="shared" si="25"/>
        <v>0</v>
      </c>
      <c r="F392" s="255"/>
      <c r="G392" s="250"/>
      <c r="H392" s="244"/>
      <c r="I392" s="305"/>
    </row>
    <row r="393" spans="1:9">
      <c r="A393" s="306">
        <v>338</v>
      </c>
      <c r="B393" s="256">
        <f t="shared" si="22"/>
        <v>0</v>
      </c>
      <c r="C393" s="256">
        <f t="shared" si="23"/>
        <v>0</v>
      </c>
      <c r="D393" s="256">
        <f t="shared" si="24"/>
        <v>0</v>
      </c>
      <c r="E393" s="256">
        <f t="shared" si="25"/>
        <v>0</v>
      </c>
      <c r="F393" s="255"/>
      <c r="G393" s="250"/>
      <c r="H393" s="244"/>
      <c r="I393" s="250"/>
    </row>
    <row r="394" spans="1:9">
      <c r="A394" s="306">
        <v>339</v>
      </c>
      <c r="B394" s="256">
        <f t="shared" si="22"/>
        <v>0</v>
      </c>
      <c r="C394" s="256">
        <f t="shared" si="23"/>
        <v>0</v>
      </c>
      <c r="D394" s="256">
        <f t="shared" si="24"/>
        <v>0</v>
      </c>
      <c r="E394" s="256">
        <f t="shared" si="25"/>
        <v>0</v>
      </c>
      <c r="F394" s="255"/>
      <c r="G394" s="250"/>
      <c r="H394" s="244"/>
      <c r="I394" s="250"/>
    </row>
    <row r="395" spans="1:9">
      <c r="A395" s="306">
        <v>340</v>
      </c>
      <c r="B395" s="256">
        <f t="shared" si="22"/>
        <v>0</v>
      </c>
      <c r="C395" s="256">
        <f t="shared" si="23"/>
        <v>0</v>
      </c>
      <c r="D395" s="256">
        <f t="shared" si="24"/>
        <v>0</v>
      </c>
      <c r="E395" s="256">
        <f t="shared" si="25"/>
        <v>0</v>
      </c>
      <c r="F395" s="255"/>
      <c r="G395" s="250"/>
      <c r="H395" s="244"/>
      <c r="I395" s="250"/>
    </row>
    <row r="396" spans="1:9">
      <c r="A396" s="306">
        <v>341</v>
      </c>
      <c r="B396" s="256">
        <f t="shared" si="22"/>
        <v>0</v>
      </c>
      <c r="C396" s="256">
        <f t="shared" si="23"/>
        <v>0</v>
      </c>
      <c r="D396" s="256">
        <f t="shared" si="24"/>
        <v>0</v>
      </c>
      <c r="E396" s="256">
        <f t="shared" si="25"/>
        <v>0</v>
      </c>
      <c r="F396" s="255"/>
      <c r="G396" s="250"/>
      <c r="H396" s="244"/>
      <c r="I396" s="250"/>
    </row>
    <row r="397" spans="1:9">
      <c r="A397" s="306">
        <v>342</v>
      </c>
      <c r="B397" s="256">
        <f t="shared" si="22"/>
        <v>0</v>
      </c>
      <c r="C397" s="256">
        <f t="shared" si="23"/>
        <v>0</v>
      </c>
      <c r="D397" s="256">
        <f t="shared" si="24"/>
        <v>0</v>
      </c>
      <c r="E397" s="256">
        <f t="shared" si="25"/>
        <v>0</v>
      </c>
      <c r="F397" s="255"/>
      <c r="G397" s="305"/>
      <c r="H397" s="264"/>
      <c r="I397" s="250"/>
    </row>
    <row r="398" spans="1:9">
      <c r="A398" s="306">
        <v>343</v>
      </c>
      <c r="B398" s="256">
        <f t="shared" si="22"/>
        <v>0</v>
      </c>
      <c r="C398" s="256">
        <f t="shared" si="23"/>
        <v>0</v>
      </c>
      <c r="D398" s="256">
        <f t="shared" si="24"/>
        <v>0</v>
      </c>
      <c r="E398" s="256">
        <f t="shared" si="25"/>
        <v>0</v>
      </c>
      <c r="F398" s="255"/>
      <c r="G398" s="250"/>
      <c r="H398" s="244"/>
      <c r="I398" s="250"/>
    </row>
    <row r="399" spans="1:9">
      <c r="A399" s="306">
        <v>344</v>
      </c>
      <c r="B399" s="256">
        <f t="shared" si="22"/>
        <v>0</v>
      </c>
      <c r="C399" s="256">
        <f t="shared" si="23"/>
        <v>0</v>
      </c>
      <c r="D399" s="256">
        <f t="shared" si="24"/>
        <v>0</v>
      </c>
      <c r="E399" s="256">
        <f t="shared" si="25"/>
        <v>0</v>
      </c>
      <c r="F399" s="255"/>
      <c r="G399" s="250"/>
      <c r="H399" s="244"/>
      <c r="I399" s="250"/>
    </row>
    <row r="400" spans="1:9">
      <c r="A400" s="306">
        <v>345</v>
      </c>
      <c r="B400" s="256">
        <f t="shared" si="22"/>
        <v>0</v>
      </c>
      <c r="C400" s="256">
        <f t="shared" si="23"/>
        <v>0</v>
      </c>
      <c r="D400" s="256">
        <f t="shared" si="24"/>
        <v>0</v>
      </c>
      <c r="E400" s="256">
        <f t="shared" si="25"/>
        <v>0</v>
      </c>
      <c r="F400" s="255"/>
      <c r="G400" s="250"/>
      <c r="H400" s="244"/>
      <c r="I400" s="250"/>
    </row>
    <row r="401" spans="1:9">
      <c r="A401" s="306">
        <v>346</v>
      </c>
      <c r="B401" s="256">
        <f t="shared" si="22"/>
        <v>0</v>
      </c>
      <c r="C401" s="256">
        <f t="shared" si="23"/>
        <v>0</v>
      </c>
      <c r="D401" s="256">
        <f t="shared" si="24"/>
        <v>0</v>
      </c>
      <c r="E401" s="256">
        <f t="shared" si="25"/>
        <v>0</v>
      </c>
      <c r="F401" s="255"/>
      <c r="G401" s="250"/>
      <c r="H401" s="244"/>
      <c r="I401" s="250"/>
    </row>
    <row r="402" spans="1:9">
      <c r="A402" s="306">
        <v>347</v>
      </c>
      <c r="B402" s="256">
        <f t="shared" si="22"/>
        <v>0</v>
      </c>
      <c r="C402" s="256">
        <f t="shared" si="23"/>
        <v>0</v>
      </c>
      <c r="D402" s="256">
        <f t="shared" si="24"/>
        <v>0</v>
      </c>
      <c r="E402" s="256">
        <f t="shared" si="25"/>
        <v>0</v>
      </c>
      <c r="F402" s="255"/>
      <c r="G402" s="250"/>
      <c r="H402" s="244"/>
      <c r="I402" s="250"/>
    </row>
    <row r="403" spans="1:9">
      <c r="A403" s="306">
        <v>348</v>
      </c>
      <c r="B403" s="256">
        <f t="shared" si="22"/>
        <v>0</v>
      </c>
      <c r="C403" s="256">
        <f t="shared" si="23"/>
        <v>0</v>
      </c>
      <c r="D403" s="256">
        <f t="shared" si="24"/>
        <v>0</v>
      </c>
      <c r="E403" s="256">
        <f t="shared" si="25"/>
        <v>0</v>
      </c>
      <c r="F403" s="255">
        <v>29</v>
      </c>
      <c r="G403" s="305"/>
      <c r="H403" s="264"/>
      <c r="I403" s="305"/>
    </row>
    <row r="404" spans="1:9">
      <c r="A404" s="306">
        <v>349</v>
      </c>
      <c r="B404" s="256">
        <f t="shared" si="22"/>
        <v>0</v>
      </c>
      <c r="C404" s="256">
        <f t="shared" si="23"/>
        <v>0</v>
      </c>
      <c r="D404" s="256">
        <f t="shared" si="24"/>
        <v>0</v>
      </c>
      <c r="E404" s="256">
        <f t="shared" si="25"/>
        <v>0</v>
      </c>
      <c r="F404" s="255"/>
      <c r="G404" s="250"/>
      <c r="H404" s="244"/>
      <c r="I404" s="305"/>
    </row>
    <row r="405" spans="1:9">
      <c r="A405" s="306">
        <v>350</v>
      </c>
      <c r="B405" s="256">
        <f t="shared" si="22"/>
        <v>0</v>
      </c>
      <c r="C405" s="256">
        <f t="shared" si="23"/>
        <v>0</v>
      </c>
      <c r="D405" s="256">
        <f t="shared" si="24"/>
        <v>0</v>
      </c>
      <c r="E405" s="256">
        <f t="shared" si="25"/>
        <v>0</v>
      </c>
      <c r="F405" s="255"/>
      <c r="G405" s="250"/>
      <c r="H405" s="244"/>
      <c r="I405" s="250"/>
    </row>
    <row r="406" spans="1:9">
      <c r="A406" s="306">
        <v>351</v>
      </c>
      <c r="B406" s="256">
        <f t="shared" si="22"/>
        <v>0</v>
      </c>
      <c r="C406" s="256">
        <f t="shared" si="23"/>
        <v>0</v>
      </c>
      <c r="D406" s="256">
        <f t="shared" si="24"/>
        <v>0</v>
      </c>
      <c r="E406" s="256">
        <f t="shared" si="25"/>
        <v>0</v>
      </c>
      <c r="F406" s="255"/>
      <c r="G406" s="250"/>
      <c r="H406" s="244"/>
      <c r="I406" s="250"/>
    </row>
    <row r="407" spans="1:9">
      <c r="A407" s="306">
        <v>352</v>
      </c>
      <c r="B407" s="256">
        <f t="shared" si="22"/>
        <v>0</v>
      </c>
      <c r="C407" s="256">
        <f t="shared" si="23"/>
        <v>0</v>
      </c>
      <c r="D407" s="256">
        <f t="shared" si="24"/>
        <v>0</v>
      </c>
      <c r="E407" s="256">
        <f t="shared" si="25"/>
        <v>0</v>
      </c>
      <c r="F407" s="255"/>
      <c r="G407" s="250"/>
      <c r="H407" s="244"/>
      <c r="I407" s="250"/>
    </row>
    <row r="408" spans="1:9">
      <c r="A408" s="306">
        <v>353</v>
      </c>
      <c r="B408" s="256">
        <f t="shared" si="22"/>
        <v>0</v>
      </c>
      <c r="C408" s="256">
        <f t="shared" si="23"/>
        <v>0</v>
      </c>
      <c r="D408" s="256">
        <f t="shared" si="24"/>
        <v>0</v>
      </c>
      <c r="E408" s="256">
        <f t="shared" si="25"/>
        <v>0</v>
      </c>
      <c r="F408" s="255"/>
      <c r="G408" s="250"/>
      <c r="H408" s="244"/>
      <c r="I408" s="250"/>
    </row>
    <row r="409" spans="1:9">
      <c r="A409" s="306">
        <v>354</v>
      </c>
      <c r="B409" s="256">
        <f t="shared" si="22"/>
        <v>0</v>
      </c>
      <c r="C409" s="256">
        <f t="shared" si="23"/>
        <v>0</v>
      </c>
      <c r="D409" s="256">
        <f t="shared" si="24"/>
        <v>0</v>
      </c>
      <c r="E409" s="256">
        <f t="shared" si="25"/>
        <v>0</v>
      </c>
      <c r="F409" s="255"/>
      <c r="G409" s="305"/>
      <c r="H409" s="264"/>
      <c r="I409" s="250"/>
    </row>
    <row r="410" spans="1:9">
      <c r="A410" s="306">
        <v>355</v>
      </c>
      <c r="B410" s="256">
        <f t="shared" si="22"/>
        <v>0</v>
      </c>
      <c r="C410" s="256">
        <f t="shared" si="23"/>
        <v>0</v>
      </c>
      <c r="D410" s="256">
        <f t="shared" si="24"/>
        <v>0</v>
      </c>
      <c r="E410" s="256">
        <f t="shared" si="25"/>
        <v>0</v>
      </c>
      <c r="F410" s="255"/>
      <c r="G410" s="250"/>
      <c r="H410" s="244"/>
      <c r="I410" s="250"/>
    </row>
    <row r="411" spans="1:9">
      <c r="A411" s="306">
        <v>356</v>
      </c>
      <c r="B411" s="256">
        <f t="shared" si="22"/>
        <v>0</v>
      </c>
      <c r="C411" s="256">
        <f t="shared" si="23"/>
        <v>0</v>
      </c>
      <c r="D411" s="256">
        <f t="shared" si="24"/>
        <v>0</v>
      </c>
      <c r="E411" s="256">
        <f t="shared" si="25"/>
        <v>0</v>
      </c>
      <c r="F411" s="255"/>
      <c r="G411" s="250"/>
      <c r="H411" s="244"/>
      <c r="I411" s="250"/>
    </row>
    <row r="412" spans="1:9">
      <c r="A412" s="306">
        <v>357</v>
      </c>
      <c r="B412" s="256">
        <f t="shared" si="22"/>
        <v>0</v>
      </c>
      <c r="C412" s="256">
        <f t="shared" si="23"/>
        <v>0</v>
      </c>
      <c r="D412" s="256">
        <f t="shared" si="24"/>
        <v>0</v>
      </c>
      <c r="E412" s="256">
        <f t="shared" si="25"/>
        <v>0</v>
      </c>
      <c r="F412" s="255"/>
      <c r="G412" s="250"/>
      <c r="H412" s="244"/>
      <c r="I412" s="250"/>
    </row>
    <row r="413" spans="1:9">
      <c r="A413" s="306">
        <v>358</v>
      </c>
      <c r="B413" s="256">
        <f t="shared" si="22"/>
        <v>0</v>
      </c>
      <c r="C413" s="256">
        <f t="shared" si="23"/>
        <v>0</v>
      </c>
      <c r="D413" s="256">
        <f t="shared" si="24"/>
        <v>0</v>
      </c>
      <c r="E413" s="256">
        <f t="shared" si="25"/>
        <v>0</v>
      </c>
      <c r="F413" s="255"/>
      <c r="G413" s="250"/>
      <c r="H413" s="244"/>
      <c r="I413" s="250"/>
    </row>
    <row r="414" spans="1:9">
      <c r="A414" s="306">
        <v>359</v>
      </c>
      <c r="B414" s="256">
        <f t="shared" si="22"/>
        <v>0</v>
      </c>
      <c r="C414" s="256">
        <f t="shared" si="23"/>
        <v>0</v>
      </c>
      <c r="D414" s="256">
        <f t="shared" si="24"/>
        <v>0</v>
      </c>
      <c r="E414" s="256">
        <f t="shared" si="25"/>
        <v>0</v>
      </c>
      <c r="F414" s="255"/>
      <c r="G414" s="250"/>
      <c r="H414" s="244"/>
      <c r="I414" s="250"/>
    </row>
    <row r="415" spans="1:9">
      <c r="A415" s="306">
        <v>360</v>
      </c>
      <c r="B415" s="256">
        <f t="shared" si="22"/>
        <v>0</v>
      </c>
      <c r="C415" s="256">
        <f t="shared" si="23"/>
        <v>0</v>
      </c>
      <c r="D415" s="256">
        <f t="shared" si="24"/>
        <v>0</v>
      </c>
      <c r="E415" s="256">
        <f t="shared" si="25"/>
        <v>0</v>
      </c>
      <c r="F415" s="255">
        <v>30</v>
      </c>
      <c r="G415" s="305"/>
      <c r="H415" s="264"/>
      <c r="I415" s="305"/>
    </row>
    <row r="416" spans="1:9">
      <c r="A416" s="306">
        <v>361</v>
      </c>
      <c r="B416" s="256">
        <f t="shared" si="22"/>
        <v>0</v>
      </c>
      <c r="C416" s="256">
        <f t="shared" si="23"/>
        <v>0</v>
      </c>
      <c r="D416" s="256">
        <f t="shared" si="24"/>
        <v>0</v>
      </c>
      <c r="E416" s="256">
        <f t="shared" si="25"/>
        <v>0</v>
      </c>
      <c r="F416" s="255"/>
      <c r="G416" s="250"/>
      <c r="H416" s="244"/>
      <c r="I416" s="305"/>
    </row>
    <row r="417" spans="1:9">
      <c r="A417" s="306">
        <v>362</v>
      </c>
      <c r="B417" s="256">
        <f t="shared" si="22"/>
        <v>0</v>
      </c>
      <c r="C417" s="256">
        <f t="shared" si="23"/>
        <v>0</v>
      </c>
      <c r="D417" s="256">
        <f t="shared" si="24"/>
        <v>0</v>
      </c>
      <c r="E417" s="256">
        <f t="shared" si="25"/>
        <v>0</v>
      </c>
      <c r="F417" s="255"/>
      <c r="G417" s="250"/>
      <c r="H417" s="244"/>
      <c r="I417" s="250"/>
    </row>
    <row r="418" spans="1:9">
      <c r="A418" s="306">
        <v>363</v>
      </c>
      <c r="B418" s="256">
        <f t="shared" si="22"/>
        <v>0</v>
      </c>
      <c r="C418" s="256">
        <f t="shared" si="23"/>
        <v>0</v>
      </c>
      <c r="D418" s="256">
        <f t="shared" si="24"/>
        <v>0</v>
      </c>
      <c r="E418" s="256">
        <f t="shared" si="25"/>
        <v>0</v>
      </c>
      <c r="F418" s="255"/>
      <c r="G418" s="250"/>
      <c r="H418" s="244"/>
      <c r="I418" s="250"/>
    </row>
    <row r="419" spans="1:9">
      <c r="A419" s="306">
        <v>364</v>
      </c>
      <c r="B419" s="256">
        <f t="shared" si="22"/>
        <v>0</v>
      </c>
      <c r="C419" s="256">
        <f t="shared" si="23"/>
        <v>0</v>
      </c>
      <c r="D419" s="256">
        <f t="shared" si="24"/>
        <v>0</v>
      </c>
      <c r="E419" s="256">
        <f t="shared" si="25"/>
        <v>0</v>
      </c>
      <c r="F419" s="255"/>
      <c r="G419" s="250"/>
      <c r="H419" s="244"/>
      <c r="I419" s="250"/>
    </row>
    <row r="420" spans="1:9">
      <c r="A420" s="306">
        <v>365</v>
      </c>
      <c r="B420" s="256">
        <f t="shared" si="22"/>
        <v>0</v>
      </c>
      <c r="C420" s="256">
        <f t="shared" si="23"/>
        <v>0</v>
      </c>
      <c r="D420" s="256">
        <f t="shared" si="24"/>
        <v>0</v>
      </c>
      <c r="E420" s="256">
        <f t="shared" si="25"/>
        <v>0</v>
      </c>
      <c r="F420" s="255"/>
      <c r="G420" s="250"/>
      <c r="H420" s="244"/>
      <c r="I420" s="250"/>
    </row>
    <row r="421" spans="1:9">
      <c r="A421" s="306">
        <v>366</v>
      </c>
      <c r="B421" s="256">
        <f t="shared" si="22"/>
        <v>0</v>
      </c>
      <c r="C421" s="256">
        <f t="shared" si="23"/>
        <v>0</v>
      </c>
      <c r="D421" s="256">
        <f t="shared" si="24"/>
        <v>0</v>
      </c>
      <c r="E421" s="256">
        <f t="shared" si="25"/>
        <v>0</v>
      </c>
      <c r="F421" s="255"/>
      <c r="G421" s="305"/>
      <c r="H421" s="264"/>
      <c r="I421" s="250"/>
    </row>
    <row r="422" spans="1:9">
      <c r="A422" s="306">
        <v>367</v>
      </c>
      <c r="B422" s="256">
        <f t="shared" si="22"/>
        <v>0</v>
      </c>
      <c r="C422" s="256">
        <f t="shared" si="23"/>
        <v>0</v>
      </c>
      <c r="D422" s="256">
        <f t="shared" si="24"/>
        <v>0</v>
      </c>
      <c r="E422" s="256">
        <f t="shared" si="25"/>
        <v>0</v>
      </c>
      <c r="F422" s="255"/>
      <c r="G422" s="250"/>
      <c r="H422" s="244"/>
      <c r="I422" s="250"/>
    </row>
    <row r="423" spans="1:9">
      <c r="A423" s="306">
        <v>368</v>
      </c>
      <c r="B423" s="256">
        <f t="shared" si="22"/>
        <v>0</v>
      </c>
      <c r="C423" s="256">
        <f t="shared" si="23"/>
        <v>0</v>
      </c>
      <c r="D423" s="256">
        <f t="shared" si="24"/>
        <v>0</v>
      </c>
      <c r="E423" s="256">
        <f t="shared" si="25"/>
        <v>0</v>
      </c>
      <c r="F423" s="255"/>
      <c r="G423" s="250"/>
      <c r="H423" s="244"/>
      <c r="I423" s="250"/>
    </row>
    <row r="424" spans="1:9">
      <c r="A424" s="306">
        <v>369</v>
      </c>
      <c r="B424" s="256">
        <f t="shared" si="22"/>
        <v>0</v>
      </c>
      <c r="C424" s="256">
        <f t="shared" si="23"/>
        <v>0</v>
      </c>
      <c r="D424" s="256">
        <f t="shared" si="24"/>
        <v>0</v>
      </c>
      <c r="E424" s="256">
        <f t="shared" si="25"/>
        <v>0</v>
      </c>
      <c r="F424" s="255"/>
      <c r="G424" s="250"/>
      <c r="H424" s="244"/>
      <c r="I424" s="250"/>
    </row>
    <row r="425" spans="1:9">
      <c r="A425" s="306">
        <v>370</v>
      </c>
      <c r="B425" s="256">
        <f t="shared" si="22"/>
        <v>0</v>
      </c>
      <c r="C425" s="256">
        <f t="shared" si="23"/>
        <v>0</v>
      </c>
      <c r="D425" s="256">
        <f t="shared" si="24"/>
        <v>0</v>
      </c>
      <c r="E425" s="256">
        <f t="shared" si="25"/>
        <v>0</v>
      </c>
      <c r="F425" s="255"/>
      <c r="G425" s="250"/>
      <c r="H425" s="244"/>
      <c r="I425" s="250"/>
    </row>
    <row r="426" spans="1:9">
      <c r="A426" s="306">
        <v>371</v>
      </c>
      <c r="B426" s="256">
        <f t="shared" si="22"/>
        <v>0</v>
      </c>
      <c r="C426" s="256">
        <f t="shared" si="23"/>
        <v>0</v>
      </c>
      <c r="D426" s="256">
        <f t="shared" si="24"/>
        <v>0</v>
      </c>
      <c r="E426" s="256">
        <f t="shared" si="25"/>
        <v>0</v>
      </c>
      <c r="F426" s="255"/>
      <c r="G426" s="250"/>
      <c r="H426" s="244"/>
      <c r="I426" s="250"/>
    </row>
    <row r="427" spans="1:9">
      <c r="A427" s="306">
        <v>372</v>
      </c>
      <c r="B427" s="256">
        <f t="shared" si="22"/>
        <v>0</v>
      </c>
      <c r="C427" s="256">
        <f t="shared" si="23"/>
        <v>0</v>
      </c>
      <c r="D427" s="256">
        <f t="shared" si="24"/>
        <v>0</v>
      </c>
      <c r="E427" s="256">
        <f t="shared" si="25"/>
        <v>0</v>
      </c>
      <c r="F427" s="255">
        <v>31</v>
      </c>
      <c r="G427" s="305"/>
      <c r="H427" s="264"/>
      <c r="I427" s="305"/>
    </row>
    <row r="428" spans="1:9">
      <c r="A428" s="306">
        <v>373</v>
      </c>
      <c r="B428" s="256">
        <f t="shared" si="22"/>
        <v>0</v>
      </c>
      <c r="C428" s="256">
        <f t="shared" si="23"/>
        <v>0</v>
      </c>
      <c r="D428" s="256">
        <f t="shared" si="24"/>
        <v>0</v>
      </c>
      <c r="E428" s="256">
        <f t="shared" si="25"/>
        <v>0</v>
      </c>
      <c r="F428" s="255"/>
      <c r="G428" s="250"/>
      <c r="H428" s="244"/>
      <c r="I428" s="305"/>
    </row>
    <row r="429" spans="1:9">
      <c r="A429" s="306">
        <v>374</v>
      </c>
      <c r="B429" s="256">
        <f t="shared" si="22"/>
        <v>0</v>
      </c>
      <c r="C429" s="256">
        <f t="shared" si="23"/>
        <v>0</v>
      </c>
      <c r="D429" s="256">
        <f t="shared" si="24"/>
        <v>0</v>
      </c>
      <c r="E429" s="256">
        <f t="shared" si="25"/>
        <v>0</v>
      </c>
      <c r="F429" s="255"/>
      <c r="G429" s="250"/>
      <c r="H429" s="244"/>
      <c r="I429" s="250"/>
    </row>
    <row r="430" spans="1:9">
      <c r="A430" s="306">
        <v>375</v>
      </c>
      <c r="B430" s="256">
        <f t="shared" si="22"/>
        <v>0</v>
      </c>
      <c r="C430" s="256">
        <f t="shared" si="23"/>
        <v>0</v>
      </c>
      <c r="D430" s="256">
        <f t="shared" si="24"/>
        <v>0</v>
      </c>
      <c r="E430" s="256">
        <f t="shared" si="25"/>
        <v>0</v>
      </c>
      <c r="F430" s="255"/>
      <c r="G430" s="250"/>
      <c r="H430" s="244"/>
      <c r="I430" s="250"/>
    </row>
    <row r="431" spans="1:9">
      <c r="A431" s="306">
        <v>376</v>
      </c>
      <c r="B431" s="256">
        <f t="shared" si="22"/>
        <v>0</v>
      </c>
      <c r="C431" s="256">
        <f t="shared" si="23"/>
        <v>0</v>
      </c>
      <c r="D431" s="256">
        <f t="shared" si="24"/>
        <v>0</v>
      </c>
      <c r="E431" s="256">
        <f t="shared" si="25"/>
        <v>0</v>
      </c>
      <c r="F431" s="255"/>
      <c r="G431" s="250"/>
      <c r="H431" s="244"/>
      <c r="I431" s="250"/>
    </row>
    <row r="432" spans="1:9">
      <c r="A432" s="306">
        <v>377</v>
      </c>
      <c r="B432" s="256">
        <f t="shared" si="22"/>
        <v>0</v>
      </c>
      <c r="C432" s="256">
        <f t="shared" si="23"/>
        <v>0</v>
      </c>
      <c r="D432" s="256">
        <f t="shared" si="24"/>
        <v>0</v>
      </c>
      <c r="E432" s="256">
        <f t="shared" si="25"/>
        <v>0</v>
      </c>
      <c r="F432" s="255"/>
      <c r="G432" s="250"/>
      <c r="H432" s="244"/>
      <c r="I432" s="250"/>
    </row>
    <row r="433" spans="1:9">
      <c r="A433" s="306">
        <v>378</v>
      </c>
      <c r="B433" s="256">
        <f t="shared" si="22"/>
        <v>0</v>
      </c>
      <c r="C433" s="256">
        <f t="shared" si="23"/>
        <v>0</v>
      </c>
      <c r="D433" s="256">
        <f t="shared" si="24"/>
        <v>0</v>
      </c>
      <c r="E433" s="256">
        <f t="shared" si="25"/>
        <v>0</v>
      </c>
      <c r="F433" s="255"/>
      <c r="G433" s="305"/>
      <c r="H433" s="264"/>
      <c r="I433" s="250"/>
    </row>
    <row r="434" spans="1:9">
      <c r="A434" s="306">
        <v>379</v>
      </c>
      <c r="B434" s="256">
        <f t="shared" si="22"/>
        <v>0</v>
      </c>
      <c r="C434" s="256">
        <f t="shared" si="23"/>
        <v>0</v>
      </c>
      <c r="D434" s="256">
        <f t="shared" si="24"/>
        <v>0</v>
      </c>
      <c r="E434" s="256">
        <f t="shared" si="25"/>
        <v>0</v>
      </c>
      <c r="F434" s="255"/>
      <c r="G434" s="250"/>
      <c r="H434" s="244"/>
      <c r="I434" s="250"/>
    </row>
    <row r="435" spans="1:9">
      <c r="A435" s="306">
        <v>380</v>
      </c>
      <c r="B435" s="256">
        <f t="shared" si="22"/>
        <v>0</v>
      </c>
      <c r="C435" s="256">
        <f t="shared" si="23"/>
        <v>0</v>
      </c>
      <c r="D435" s="256">
        <f t="shared" si="24"/>
        <v>0</v>
      </c>
      <c r="E435" s="256">
        <f t="shared" si="25"/>
        <v>0</v>
      </c>
      <c r="F435" s="255"/>
      <c r="G435" s="250"/>
      <c r="H435" s="244"/>
      <c r="I435" s="250"/>
    </row>
    <row r="436" spans="1:9">
      <c r="A436" s="306">
        <v>381</v>
      </c>
      <c r="B436" s="256">
        <f t="shared" si="22"/>
        <v>0</v>
      </c>
      <c r="C436" s="256">
        <f t="shared" si="23"/>
        <v>0</v>
      </c>
      <c r="D436" s="256">
        <f t="shared" si="24"/>
        <v>0</v>
      </c>
      <c r="E436" s="256">
        <f t="shared" si="25"/>
        <v>0</v>
      </c>
      <c r="F436" s="255"/>
      <c r="G436" s="250"/>
      <c r="H436" s="244"/>
      <c r="I436" s="250"/>
    </row>
    <row r="437" spans="1:9">
      <c r="A437" s="306">
        <v>382</v>
      </c>
      <c r="B437" s="256">
        <f t="shared" si="22"/>
        <v>0</v>
      </c>
      <c r="C437" s="256">
        <f t="shared" si="23"/>
        <v>0</v>
      </c>
      <c r="D437" s="256">
        <f t="shared" si="24"/>
        <v>0</v>
      </c>
      <c r="E437" s="256">
        <f t="shared" si="25"/>
        <v>0</v>
      </c>
      <c r="F437" s="255"/>
      <c r="G437" s="250"/>
      <c r="H437" s="244"/>
      <c r="I437" s="250"/>
    </row>
    <row r="438" spans="1:9">
      <c r="A438" s="306">
        <v>383</v>
      </c>
      <c r="B438" s="256">
        <f t="shared" si="22"/>
        <v>0</v>
      </c>
      <c r="C438" s="256">
        <f t="shared" si="23"/>
        <v>0</v>
      </c>
      <c r="D438" s="256">
        <f t="shared" si="24"/>
        <v>0</v>
      </c>
      <c r="E438" s="256">
        <f t="shared" si="25"/>
        <v>0</v>
      </c>
      <c r="F438" s="255"/>
      <c r="G438" s="250"/>
      <c r="H438" s="244"/>
      <c r="I438" s="250"/>
    </row>
    <row r="439" spans="1:9">
      <c r="A439" s="306">
        <v>384</v>
      </c>
      <c r="B439" s="256">
        <f t="shared" si="22"/>
        <v>0</v>
      </c>
      <c r="C439" s="256">
        <f t="shared" si="23"/>
        <v>0</v>
      </c>
      <c r="D439" s="256">
        <f t="shared" si="24"/>
        <v>0</v>
      </c>
      <c r="E439" s="256">
        <f t="shared" si="25"/>
        <v>0</v>
      </c>
      <c r="F439" s="255">
        <v>32</v>
      </c>
      <c r="G439" s="305"/>
      <c r="H439" s="264"/>
      <c r="I439" s="305"/>
    </row>
    <row r="440" spans="1:9">
      <c r="A440" s="306">
        <v>385</v>
      </c>
      <c r="B440" s="256">
        <f t="shared" ref="B440:B503" si="26">IF(A440&gt;12*$D$14,0,$D$20)</f>
        <v>0</v>
      </c>
      <c r="C440" s="256">
        <f t="shared" ref="C440:C503" si="27">IF(A440&gt;12*$D$14,0,E439*$D$10/12)</f>
        <v>0</v>
      </c>
      <c r="D440" s="256">
        <f t="shared" ref="D440:D503" si="28">IF(A440&gt;12*$D$14,0,B440-C440)</f>
        <v>0</v>
      </c>
      <c r="E440" s="256">
        <f t="shared" ref="E440:E503" si="29">IF(A440&gt;12*$D$14,0,E439-D440)</f>
        <v>0</v>
      </c>
      <c r="F440" s="255"/>
      <c r="G440" s="250"/>
      <c r="H440" s="244"/>
      <c r="I440" s="305"/>
    </row>
    <row r="441" spans="1:9">
      <c r="A441" s="306">
        <v>386</v>
      </c>
      <c r="B441" s="256">
        <f t="shared" si="26"/>
        <v>0</v>
      </c>
      <c r="C441" s="256">
        <f t="shared" si="27"/>
        <v>0</v>
      </c>
      <c r="D441" s="256">
        <f t="shared" si="28"/>
        <v>0</v>
      </c>
      <c r="E441" s="256">
        <f t="shared" si="29"/>
        <v>0</v>
      </c>
      <c r="F441" s="255"/>
      <c r="G441" s="250"/>
      <c r="H441" s="244"/>
      <c r="I441" s="250"/>
    </row>
    <row r="442" spans="1:9">
      <c r="A442" s="306">
        <v>387</v>
      </c>
      <c r="B442" s="256">
        <f t="shared" si="26"/>
        <v>0</v>
      </c>
      <c r="C442" s="256">
        <f t="shared" si="27"/>
        <v>0</v>
      </c>
      <c r="D442" s="256">
        <f t="shared" si="28"/>
        <v>0</v>
      </c>
      <c r="E442" s="256">
        <f t="shared" si="29"/>
        <v>0</v>
      </c>
      <c r="F442" s="255"/>
      <c r="G442" s="250"/>
      <c r="H442" s="244"/>
      <c r="I442" s="250"/>
    </row>
    <row r="443" spans="1:9">
      <c r="A443" s="306">
        <v>388</v>
      </c>
      <c r="B443" s="256">
        <f t="shared" si="26"/>
        <v>0</v>
      </c>
      <c r="C443" s="256">
        <f t="shared" si="27"/>
        <v>0</v>
      </c>
      <c r="D443" s="256">
        <f t="shared" si="28"/>
        <v>0</v>
      </c>
      <c r="E443" s="256">
        <f t="shared" si="29"/>
        <v>0</v>
      </c>
      <c r="F443" s="255"/>
      <c r="G443" s="250"/>
      <c r="H443" s="244"/>
      <c r="I443" s="250"/>
    </row>
    <row r="444" spans="1:9">
      <c r="A444" s="306">
        <v>389</v>
      </c>
      <c r="B444" s="256">
        <f t="shared" si="26"/>
        <v>0</v>
      </c>
      <c r="C444" s="256">
        <f t="shared" si="27"/>
        <v>0</v>
      </c>
      <c r="D444" s="256">
        <f t="shared" si="28"/>
        <v>0</v>
      </c>
      <c r="E444" s="256">
        <f t="shared" si="29"/>
        <v>0</v>
      </c>
      <c r="F444" s="255"/>
      <c r="G444" s="250"/>
      <c r="H444" s="244"/>
      <c r="I444" s="250"/>
    </row>
    <row r="445" spans="1:9">
      <c r="A445" s="306">
        <v>390</v>
      </c>
      <c r="B445" s="256">
        <f t="shared" si="26"/>
        <v>0</v>
      </c>
      <c r="C445" s="256">
        <f t="shared" si="27"/>
        <v>0</v>
      </c>
      <c r="D445" s="256">
        <f t="shared" si="28"/>
        <v>0</v>
      </c>
      <c r="E445" s="256">
        <f t="shared" si="29"/>
        <v>0</v>
      </c>
      <c r="F445" s="255"/>
      <c r="G445" s="305"/>
      <c r="H445" s="264"/>
      <c r="I445" s="250"/>
    </row>
    <row r="446" spans="1:9">
      <c r="A446" s="306">
        <v>391</v>
      </c>
      <c r="B446" s="256">
        <f t="shared" si="26"/>
        <v>0</v>
      </c>
      <c r="C446" s="256">
        <f t="shared" si="27"/>
        <v>0</v>
      </c>
      <c r="D446" s="256">
        <f t="shared" si="28"/>
        <v>0</v>
      </c>
      <c r="E446" s="256">
        <f t="shared" si="29"/>
        <v>0</v>
      </c>
      <c r="F446" s="255"/>
      <c r="G446" s="250"/>
      <c r="H446" s="244"/>
      <c r="I446" s="250"/>
    </row>
    <row r="447" spans="1:9">
      <c r="A447" s="306">
        <v>392</v>
      </c>
      <c r="B447" s="256">
        <f t="shared" si="26"/>
        <v>0</v>
      </c>
      <c r="C447" s="256">
        <f t="shared" si="27"/>
        <v>0</v>
      </c>
      <c r="D447" s="256">
        <f t="shared" si="28"/>
        <v>0</v>
      </c>
      <c r="E447" s="256">
        <f t="shared" si="29"/>
        <v>0</v>
      </c>
      <c r="F447" s="255"/>
      <c r="G447" s="250"/>
      <c r="H447" s="244"/>
      <c r="I447" s="250"/>
    </row>
    <row r="448" spans="1:9">
      <c r="A448" s="306">
        <v>393</v>
      </c>
      <c r="B448" s="256">
        <f t="shared" si="26"/>
        <v>0</v>
      </c>
      <c r="C448" s="256">
        <f t="shared" si="27"/>
        <v>0</v>
      </c>
      <c r="D448" s="256">
        <f t="shared" si="28"/>
        <v>0</v>
      </c>
      <c r="E448" s="256">
        <f t="shared" si="29"/>
        <v>0</v>
      </c>
      <c r="F448" s="255"/>
      <c r="G448" s="250"/>
      <c r="H448" s="244"/>
      <c r="I448" s="250"/>
    </row>
    <row r="449" spans="1:9">
      <c r="A449" s="306">
        <v>394</v>
      </c>
      <c r="B449" s="256">
        <f t="shared" si="26"/>
        <v>0</v>
      </c>
      <c r="C449" s="256">
        <f t="shared" si="27"/>
        <v>0</v>
      </c>
      <c r="D449" s="256">
        <f t="shared" si="28"/>
        <v>0</v>
      </c>
      <c r="E449" s="256">
        <f t="shared" si="29"/>
        <v>0</v>
      </c>
      <c r="F449" s="255"/>
      <c r="G449" s="250"/>
      <c r="H449" s="244"/>
      <c r="I449" s="250"/>
    </row>
    <row r="450" spans="1:9">
      <c r="A450" s="306">
        <v>395</v>
      </c>
      <c r="B450" s="256">
        <f t="shared" si="26"/>
        <v>0</v>
      </c>
      <c r="C450" s="256">
        <f t="shared" si="27"/>
        <v>0</v>
      </c>
      <c r="D450" s="256">
        <f t="shared" si="28"/>
        <v>0</v>
      </c>
      <c r="E450" s="256">
        <f t="shared" si="29"/>
        <v>0</v>
      </c>
      <c r="F450" s="255"/>
      <c r="G450" s="250"/>
      <c r="H450" s="244"/>
      <c r="I450" s="250"/>
    </row>
    <row r="451" spans="1:9">
      <c r="A451" s="306">
        <v>396</v>
      </c>
      <c r="B451" s="256">
        <f t="shared" si="26"/>
        <v>0</v>
      </c>
      <c r="C451" s="256">
        <f t="shared" si="27"/>
        <v>0</v>
      </c>
      <c r="D451" s="256">
        <f t="shared" si="28"/>
        <v>0</v>
      </c>
      <c r="E451" s="256">
        <f t="shared" si="29"/>
        <v>0</v>
      </c>
      <c r="F451" s="255">
        <v>33</v>
      </c>
      <c r="G451" s="305"/>
      <c r="H451" s="264"/>
      <c r="I451" s="305"/>
    </row>
    <row r="452" spans="1:9">
      <c r="A452" s="306">
        <v>397</v>
      </c>
      <c r="B452" s="256">
        <f t="shared" si="26"/>
        <v>0</v>
      </c>
      <c r="C452" s="256">
        <f t="shared" si="27"/>
        <v>0</v>
      </c>
      <c r="D452" s="256">
        <f t="shared" si="28"/>
        <v>0</v>
      </c>
      <c r="E452" s="256">
        <f t="shared" si="29"/>
        <v>0</v>
      </c>
      <c r="F452" s="255"/>
      <c r="G452" s="250"/>
      <c r="H452" s="244"/>
      <c r="I452" s="305"/>
    </row>
    <row r="453" spans="1:9">
      <c r="A453" s="306">
        <v>398</v>
      </c>
      <c r="B453" s="256">
        <f t="shared" si="26"/>
        <v>0</v>
      </c>
      <c r="C453" s="256">
        <f t="shared" si="27"/>
        <v>0</v>
      </c>
      <c r="D453" s="256">
        <f t="shared" si="28"/>
        <v>0</v>
      </c>
      <c r="E453" s="256">
        <f t="shared" si="29"/>
        <v>0</v>
      </c>
      <c r="F453" s="255"/>
      <c r="G453" s="250"/>
      <c r="H453" s="244"/>
      <c r="I453" s="250"/>
    </row>
    <row r="454" spans="1:9">
      <c r="A454" s="306">
        <v>399</v>
      </c>
      <c r="B454" s="256">
        <f t="shared" si="26"/>
        <v>0</v>
      </c>
      <c r="C454" s="256">
        <f t="shared" si="27"/>
        <v>0</v>
      </c>
      <c r="D454" s="256">
        <f t="shared" si="28"/>
        <v>0</v>
      </c>
      <c r="E454" s="256">
        <f t="shared" si="29"/>
        <v>0</v>
      </c>
      <c r="F454" s="255"/>
      <c r="G454" s="250"/>
      <c r="H454" s="244"/>
      <c r="I454" s="250"/>
    </row>
    <row r="455" spans="1:9">
      <c r="A455" s="306">
        <v>400</v>
      </c>
      <c r="B455" s="256">
        <f t="shared" si="26"/>
        <v>0</v>
      </c>
      <c r="C455" s="256">
        <f t="shared" si="27"/>
        <v>0</v>
      </c>
      <c r="D455" s="256">
        <f t="shared" si="28"/>
        <v>0</v>
      </c>
      <c r="E455" s="256">
        <f t="shared" si="29"/>
        <v>0</v>
      </c>
      <c r="F455" s="255"/>
      <c r="G455" s="250"/>
      <c r="H455" s="244"/>
      <c r="I455" s="250"/>
    </row>
    <row r="456" spans="1:9">
      <c r="A456" s="306">
        <v>401</v>
      </c>
      <c r="B456" s="256">
        <f t="shared" si="26"/>
        <v>0</v>
      </c>
      <c r="C456" s="256">
        <f t="shared" si="27"/>
        <v>0</v>
      </c>
      <c r="D456" s="256">
        <f t="shared" si="28"/>
        <v>0</v>
      </c>
      <c r="E456" s="256">
        <f t="shared" si="29"/>
        <v>0</v>
      </c>
      <c r="F456" s="255"/>
      <c r="G456" s="250"/>
      <c r="H456" s="244"/>
      <c r="I456" s="250"/>
    </row>
    <row r="457" spans="1:9">
      <c r="A457" s="306">
        <v>402</v>
      </c>
      <c r="B457" s="256">
        <f t="shared" si="26"/>
        <v>0</v>
      </c>
      <c r="C457" s="256">
        <f t="shared" si="27"/>
        <v>0</v>
      </c>
      <c r="D457" s="256">
        <f t="shared" si="28"/>
        <v>0</v>
      </c>
      <c r="E457" s="256">
        <f t="shared" si="29"/>
        <v>0</v>
      </c>
      <c r="F457" s="255"/>
      <c r="G457" s="305"/>
      <c r="H457" s="264"/>
      <c r="I457" s="250"/>
    </row>
    <row r="458" spans="1:9">
      <c r="A458" s="306">
        <v>403</v>
      </c>
      <c r="B458" s="256">
        <f t="shared" si="26"/>
        <v>0</v>
      </c>
      <c r="C458" s="256">
        <f t="shared" si="27"/>
        <v>0</v>
      </c>
      <c r="D458" s="256">
        <f t="shared" si="28"/>
        <v>0</v>
      </c>
      <c r="E458" s="256">
        <f t="shared" si="29"/>
        <v>0</v>
      </c>
      <c r="F458" s="255"/>
      <c r="G458" s="250"/>
      <c r="H458" s="244"/>
      <c r="I458" s="250"/>
    </row>
    <row r="459" spans="1:9">
      <c r="A459" s="306">
        <v>404</v>
      </c>
      <c r="B459" s="256">
        <f t="shared" si="26"/>
        <v>0</v>
      </c>
      <c r="C459" s="256">
        <f t="shared" si="27"/>
        <v>0</v>
      </c>
      <c r="D459" s="256">
        <f t="shared" si="28"/>
        <v>0</v>
      </c>
      <c r="E459" s="256">
        <f t="shared" si="29"/>
        <v>0</v>
      </c>
      <c r="F459" s="255"/>
      <c r="G459" s="250"/>
      <c r="H459" s="244"/>
      <c r="I459" s="250"/>
    </row>
    <row r="460" spans="1:9">
      <c r="A460" s="306">
        <v>405</v>
      </c>
      <c r="B460" s="256">
        <f t="shared" si="26"/>
        <v>0</v>
      </c>
      <c r="C460" s="256">
        <f t="shared" si="27"/>
        <v>0</v>
      </c>
      <c r="D460" s="256">
        <f t="shared" si="28"/>
        <v>0</v>
      </c>
      <c r="E460" s="256">
        <f t="shared" si="29"/>
        <v>0</v>
      </c>
      <c r="F460" s="255"/>
      <c r="G460" s="250"/>
      <c r="H460" s="244"/>
      <c r="I460" s="250"/>
    </row>
    <row r="461" spans="1:9">
      <c r="A461" s="306">
        <v>406</v>
      </c>
      <c r="B461" s="256">
        <f t="shared" si="26"/>
        <v>0</v>
      </c>
      <c r="C461" s="256">
        <f t="shared" si="27"/>
        <v>0</v>
      </c>
      <c r="D461" s="256">
        <f t="shared" si="28"/>
        <v>0</v>
      </c>
      <c r="E461" s="256">
        <f t="shared" si="29"/>
        <v>0</v>
      </c>
      <c r="F461" s="255"/>
      <c r="G461" s="250"/>
      <c r="H461" s="244"/>
      <c r="I461" s="250"/>
    </row>
    <row r="462" spans="1:9">
      <c r="A462" s="306">
        <v>407</v>
      </c>
      <c r="B462" s="256">
        <f t="shared" si="26"/>
        <v>0</v>
      </c>
      <c r="C462" s="256">
        <f t="shared" si="27"/>
        <v>0</v>
      </c>
      <c r="D462" s="256">
        <f t="shared" si="28"/>
        <v>0</v>
      </c>
      <c r="E462" s="256">
        <f t="shared" si="29"/>
        <v>0</v>
      </c>
      <c r="F462" s="255"/>
      <c r="G462" s="250"/>
      <c r="H462" s="244"/>
      <c r="I462" s="250"/>
    </row>
    <row r="463" spans="1:9">
      <c r="A463" s="306">
        <v>408</v>
      </c>
      <c r="B463" s="256">
        <f t="shared" si="26"/>
        <v>0</v>
      </c>
      <c r="C463" s="256">
        <f t="shared" si="27"/>
        <v>0</v>
      </c>
      <c r="D463" s="256">
        <f t="shared" si="28"/>
        <v>0</v>
      </c>
      <c r="E463" s="256">
        <f t="shared" si="29"/>
        <v>0</v>
      </c>
      <c r="F463" s="255">
        <v>34</v>
      </c>
      <c r="G463" s="305"/>
      <c r="H463" s="264"/>
      <c r="I463" s="305"/>
    </row>
    <row r="464" spans="1:9">
      <c r="A464" s="306">
        <v>409</v>
      </c>
      <c r="B464" s="256">
        <f t="shared" si="26"/>
        <v>0</v>
      </c>
      <c r="C464" s="256">
        <f t="shared" si="27"/>
        <v>0</v>
      </c>
      <c r="D464" s="256">
        <f t="shared" si="28"/>
        <v>0</v>
      </c>
      <c r="E464" s="256">
        <f t="shared" si="29"/>
        <v>0</v>
      </c>
      <c r="F464" s="255"/>
      <c r="G464" s="250"/>
      <c r="H464" s="244"/>
      <c r="I464" s="305"/>
    </row>
    <row r="465" spans="1:9">
      <c r="A465" s="306">
        <v>410</v>
      </c>
      <c r="B465" s="256">
        <f t="shared" si="26"/>
        <v>0</v>
      </c>
      <c r="C465" s="256">
        <f t="shared" si="27"/>
        <v>0</v>
      </c>
      <c r="D465" s="256">
        <f t="shared" si="28"/>
        <v>0</v>
      </c>
      <c r="E465" s="256">
        <f t="shared" si="29"/>
        <v>0</v>
      </c>
      <c r="F465" s="255"/>
      <c r="G465" s="250"/>
      <c r="H465" s="244"/>
      <c r="I465" s="250"/>
    </row>
    <row r="466" spans="1:9">
      <c r="A466" s="306">
        <v>411</v>
      </c>
      <c r="B466" s="256">
        <f t="shared" si="26"/>
        <v>0</v>
      </c>
      <c r="C466" s="256">
        <f t="shared" si="27"/>
        <v>0</v>
      </c>
      <c r="D466" s="256">
        <f t="shared" si="28"/>
        <v>0</v>
      </c>
      <c r="E466" s="256">
        <f t="shared" si="29"/>
        <v>0</v>
      </c>
      <c r="F466" s="255"/>
      <c r="G466" s="250"/>
      <c r="H466" s="244"/>
      <c r="I466" s="250"/>
    </row>
    <row r="467" spans="1:9">
      <c r="A467" s="306">
        <v>412</v>
      </c>
      <c r="B467" s="256">
        <f t="shared" si="26"/>
        <v>0</v>
      </c>
      <c r="C467" s="256">
        <f t="shared" si="27"/>
        <v>0</v>
      </c>
      <c r="D467" s="256">
        <f t="shared" si="28"/>
        <v>0</v>
      </c>
      <c r="E467" s="256">
        <f t="shared" si="29"/>
        <v>0</v>
      </c>
      <c r="F467" s="255"/>
      <c r="G467" s="250"/>
      <c r="H467" s="244"/>
      <c r="I467" s="250"/>
    </row>
    <row r="468" spans="1:9">
      <c r="A468" s="306">
        <v>413</v>
      </c>
      <c r="B468" s="256">
        <f t="shared" si="26"/>
        <v>0</v>
      </c>
      <c r="C468" s="256">
        <f t="shared" si="27"/>
        <v>0</v>
      </c>
      <c r="D468" s="256">
        <f t="shared" si="28"/>
        <v>0</v>
      </c>
      <c r="E468" s="256">
        <f t="shared" si="29"/>
        <v>0</v>
      </c>
      <c r="F468" s="255"/>
      <c r="G468" s="250"/>
      <c r="H468" s="244"/>
      <c r="I468" s="250"/>
    </row>
    <row r="469" spans="1:9">
      <c r="A469" s="306">
        <v>414</v>
      </c>
      <c r="B469" s="256">
        <f t="shared" si="26"/>
        <v>0</v>
      </c>
      <c r="C469" s="256">
        <f t="shared" si="27"/>
        <v>0</v>
      </c>
      <c r="D469" s="256">
        <f t="shared" si="28"/>
        <v>0</v>
      </c>
      <c r="E469" s="256">
        <f t="shared" si="29"/>
        <v>0</v>
      </c>
      <c r="F469" s="255"/>
      <c r="G469" s="305"/>
      <c r="H469" s="264"/>
      <c r="I469" s="250"/>
    </row>
    <row r="470" spans="1:9">
      <c r="A470" s="306">
        <v>415</v>
      </c>
      <c r="B470" s="256">
        <f t="shared" si="26"/>
        <v>0</v>
      </c>
      <c r="C470" s="256">
        <f t="shared" si="27"/>
        <v>0</v>
      </c>
      <c r="D470" s="256">
        <f t="shared" si="28"/>
        <v>0</v>
      </c>
      <c r="E470" s="256">
        <f t="shared" si="29"/>
        <v>0</v>
      </c>
      <c r="F470" s="255"/>
      <c r="G470" s="250"/>
      <c r="H470" s="244"/>
      <c r="I470" s="250"/>
    </row>
    <row r="471" spans="1:9">
      <c r="A471" s="306">
        <v>416</v>
      </c>
      <c r="B471" s="256">
        <f t="shared" si="26"/>
        <v>0</v>
      </c>
      <c r="C471" s="256">
        <f t="shared" si="27"/>
        <v>0</v>
      </c>
      <c r="D471" s="256">
        <f t="shared" si="28"/>
        <v>0</v>
      </c>
      <c r="E471" s="256">
        <f t="shared" si="29"/>
        <v>0</v>
      </c>
      <c r="F471" s="255"/>
      <c r="G471" s="250"/>
      <c r="H471" s="244"/>
      <c r="I471" s="250"/>
    </row>
    <row r="472" spans="1:9">
      <c r="A472" s="306">
        <v>417</v>
      </c>
      <c r="B472" s="256">
        <f t="shared" si="26"/>
        <v>0</v>
      </c>
      <c r="C472" s="256">
        <f t="shared" si="27"/>
        <v>0</v>
      </c>
      <c r="D472" s="256">
        <f t="shared" si="28"/>
        <v>0</v>
      </c>
      <c r="E472" s="256">
        <f t="shared" si="29"/>
        <v>0</v>
      </c>
      <c r="F472" s="255"/>
      <c r="G472" s="250"/>
      <c r="H472" s="244"/>
      <c r="I472" s="250"/>
    </row>
    <row r="473" spans="1:9">
      <c r="A473" s="306">
        <v>418</v>
      </c>
      <c r="B473" s="256">
        <f t="shared" si="26"/>
        <v>0</v>
      </c>
      <c r="C473" s="256">
        <f t="shared" si="27"/>
        <v>0</v>
      </c>
      <c r="D473" s="256">
        <f t="shared" si="28"/>
        <v>0</v>
      </c>
      <c r="E473" s="256">
        <f t="shared" si="29"/>
        <v>0</v>
      </c>
      <c r="F473" s="255"/>
      <c r="G473" s="250"/>
      <c r="H473" s="244"/>
      <c r="I473" s="250"/>
    </row>
    <row r="474" spans="1:9">
      <c r="A474" s="306">
        <v>419</v>
      </c>
      <c r="B474" s="256">
        <f t="shared" si="26"/>
        <v>0</v>
      </c>
      <c r="C474" s="256">
        <f t="shared" si="27"/>
        <v>0</v>
      </c>
      <c r="D474" s="256">
        <f t="shared" si="28"/>
        <v>0</v>
      </c>
      <c r="E474" s="256">
        <f t="shared" si="29"/>
        <v>0</v>
      </c>
      <c r="F474" s="255"/>
      <c r="G474" s="250"/>
      <c r="H474" s="244"/>
      <c r="I474" s="250"/>
    </row>
    <row r="475" spans="1:9">
      <c r="A475" s="306">
        <v>420</v>
      </c>
      <c r="B475" s="256">
        <f t="shared" si="26"/>
        <v>0</v>
      </c>
      <c r="C475" s="256">
        <f t="shared" si="27"/>
        <v>0</v>
      </c>
      <c r="D475" s="256">
        <f t="shared" si="28"/>
        <v>0</v>
      </c>
      <c r="E475" s="256">
        <f t="shared" si="29"/>
        <v>0</v>
      </c>
      <c r="F475" s="255">
        <v>35</v>
      </c>
      <c r="G475" s="305"/>
      <c r="H475" s="264"/>
      <c r="I475" s="305"/>
    </row>
    <row r="476" spans="1:9">
      <c r="A476" s="306">
        <v>421</v>
      </c>
      <c r="B476" s="256">
        <f t="shared" si="26"/>
        <v>0</v>
      </c>
      <c r="C476" s="256">
        <f t="shared" si="27"/>
        <v>0</v>
      </c>
      <c r="D476" s="256">
        <f t="shared" si="28"/>
        <v>0</v>
      </c>
      <c r="E476" s="256">
        <f t="shared" si="29"/>
        <v>0</v>
      </c>
      <c r="F476" s="255"/>
      <c r="G476" s="250"/>
      <c r="H476" s="244"/>
      <c r="I476" s="305"/>
    </row>
    <row r="477" spans="1:9">
      <c r="A477" s="306">
        <v>422</v>
      </c>
      <c r="B477" s="256">
        <f t="shared" si="26"/>
        <v>0</v>
      </c>
      <c r="C477" s="256">
        <f t="shared" si="27"/>
        <v>0</v>
      </c>
      <c r="D477" s="256">
        <f t="shared" si="28"/>
        <v>0</v>
      </c>
      <c r="E477" s="256">
        <f t="shared" si="29"/>
        <v>0</v>
      </c>
      <c r="F477" s="255"/>
      <c r="G477" s="250"/>
      <c r="H477" s="244"/>
      <c r="I477" s="250"/>
    </row>
    <row r="478" spans="1:9">
      <c r="A478" s="306">
        <v>423</v>
      </c>
      <c r="B478" s="256">
        <f t="shared" si="26"/>
        <v>0</v>
      </c>
      <c r="C478" s="256">
        <f t="shared" si="27"/>
        <v>0</v>
      </c>
      <c r="D478" s="256">
        <f t="shared" si="28"/>
        <v>0</v>
      </c>
      <c r="E478" s="256">
        <f t="shared" si="29"/>
        <v>0</v>
      </c>
      <c r="F478" s="255"/>
      <c r="G478" s="250"/>
      <c r="H478" s="244"/>
      <c r="I478" s="250"/>
    </row>
    <row r="479" spans="1:9">
      <c r="A479" s="306">
        <v>424</v>
      </c>
      <c r="B479" s="256">
        <f t="shared" si="26"/>
        <v>0</v>
      </c>
      <c r="C479" s="256">
        <f t="shared" si="27"/>
        <v>0</v>
      </c>
      <c r="D479" s="256">
        <f t="shared" si="28"/>
        <v>0</v>
      </c>
      <c r="E479" s="256">
        <f t="shared" si="29"/>
        <v>0</v>
      </c>
      <c r="F479" s="255"/>
      <c r="G479" s="250"/>
      <c r="H479" s="244"/>
      <c r="I479" s="250"/>
    </row>
    <row r="480" spans="1:9">
      <c r="A480" s="306">
        <v>425</v>
      </c>
      <c r="B480" s="256">
        <f t="shared" si="26"/>
        <v>0</v>
      </c>
      <c r="C480" s="256">
        <f t="shared" si="27"/>
        <v>0</v>
      </c>
      <c r="D480" s="256">
        <f t="shared" si="28"/>
        <v>0</v>
      </c>
      <c r="E480" s="256">
        <f t="shared" si="29"/>
        <v>0</v>
      </c>
      <c r="F480" s="255"/>
      <c r="G480" s="250"/>
      <c r="H480" s="244"/>
      <c r="I480" s="250"/>
    </row>
    <row r="481" spans="1:9">
      <c r="A481" s="306">
        <v>426</v>
      </c>
      <c r="B481" s="256">
        <f t="shared" si="26"/>
        <v>0</v>
      </c>
      <c r="C481" s="256">
        <f t="shared" si="27"/>
        <v>0</v>
      </c>
      <c r="D481" s="256">
        <f t="shared" si="28"/>
        <v>0</v>
      </c>
      <c r="E481" s="256">
        <f t="shared" si="29"/>
        <v>0</v>
      </c>
      <c r="F481" s="255"/>
      <c r="G481" s="305"/>
      <c r="H481" s="264"/>
      <c r="I481" s="250"/>
    </row>
    <row r="482" spans="1:9">
      <c r="A482" s="306">
        <v>427</v>
      </c>
      <c r="B482" s="256">
        <f t="shared" si="26"/>
        <v>0</v>
      </c>
      <c r="C482" s="256">
        <f t="shared" si="27"/>
        <v>0</v>
      </c>
      <c r="D482" s="256">
        <f t="shared" si="28"/>
        <v>0</v>
      </c>
      <c r="E482" s="256">
        <f t="shared" si="29"/>
        <v>0</v>
      </c>
      <c r="F482" s="255"/>
      <c r="G482" s="250"/>
      <c r="H482" s="244"/>
      <c r="I482" s="250"/>
    </row>
    <row r="483" spans="1:9">
      <c r="A483" s="306">
        <v>428</v>
      </c>
      <c r="B483" s="256">
        <f t="shared" si="26"/>
        <v>0</v>
      </c>
      <c r="C483" s="256">
        <f t="shared" si="27"/>
        <v>0</v>
      </c>
      <c r="D483" s="256">
        <f t="shared" si="28"/>
        <v>0</v>
      </c>
      <c r="E483" s="256">
        <f t="shared" si="29"/>
        <v>0</v>
      </c>
      <c r="F483" s="255"/>
      <c r="G483" s="250"/>
      <c r="H483" s="244"/>
      <c r="I483" s="250"/>
    </row>
    <row r="484" spans="1:9">
      <c r="A484" s="306">
        <v>429</v>
      </c>
      <c r="B484" s="256">
        <f t="shared" si="26"/>
        <v>0</v>
      </c>
      <c r="C484" s="256">
        <f t="shared" si="27"/>
        <v>0</v>
      </c>
      <c r="D484" s="256">
        <f t="shared" si="28"/>
        <v>0</v>
      </c>
      <c r="E484" s="256">
        <f t="shared" si="29"/>
        <v>0</v>
      </c>
      <c r="F484" s="255"/>
      <c r="G484" s="250"/>
      <c r="H484" s="244"/>
      <c r="I484" s="250"/>
    </row>
    <row r="485" spans="1:9">
      <c r="A485" s="306">
        <v>430</v>
      </c>
      <c r="B485" s="256">
        <f t="shared" si="26"/>
        <v>0</v>
      </c>
      <c r="C485" s="256">
        <f t="shared" si="27"/>
        <v>0</v>
      </c>
      <c r="D485" s="256">
        <f t="shared" si="28"/>
        <v>0</v>
      </c>
      <c r="E485" s="256">
        <f t="shared" si="29"/>
        <v>0</v>
      </c>
      <c r="F485" s="255"/>
      <c r="G485" s="250"/>
      <c r="H485" s="244"/>
      <c r="I485" s="250"/>
    </row>
    <row r="486" spans="1:9">
      <c r="A486" s="306">
        <v>431</v>
      </c>
      <c r="B486" s="256">
        <f t="shared" si="26"/>
        <v>0</v>
      </c>
      <c r="C486" s="256">
        <f t="shared" si="27"/>
        <v>0</v>
      </c>
      <c r="D486" s="256">
        <f t="shared" si="28"/>
        <v>0</v>
      </c>
      <c r="E486" s="256">
        <f t="shared" si="29"/>
        <v>0</v>
      </c>
      <c r="F486" s="255"/>
      <c r="G486" s="250"/>
      <c r="H486" s="244"/>
      <c r="I486" s="250"/>
    </row>
    <row r="487" spans="1:9">
      <c r="A487" s="306">
        <v>432</v>
      </c>
      <c r="B487" s="256">
        <f t="shared" si="26"/>
        <v>0</v>
      </c>
      <c r="C487" s="256">
        <f t="shared" si="27"/>
        <v>0</v>
      </c>
      <c r="D487" s="256">
        <f t="shared" si="28"/>
        <v>0</v>
      </c>
      <c r="E487" s="256">
        <f t="shared" si="29"/>
        <v>0</v>
      </c>
      <c r="F487" s="255">
        <v>36</v>
      </c>
      <c r="G487" s="305"/>
      <c r="H487" s="264"/>
      <c r="I487" s="305"/>
    </row>
    <row r="488" spans="1:9">
      <c r="A488" s="306">
        <v>433</v>
      </c>
      <c r="B488" s="256">
        <f t="shared" si="26"/>
        <v>0</v>
      </c>
      <c r="C488" s="256">
        <f t="shared" si="27"/>
        <v>0</v>
      </c>
      <c r="D488" s="256">
        <f t="shared" si="28"/>
        <v>0</v>
      </c>
      <c r="E488" s="256">
        <f t="shared" si="29"/>
        <v>0</v>
      </c>
      <c r="F488" s="255"/>
      <c r="G488" s="250"/>
      <c r="H488" s="244"/>
      <c r="I488" s="305"/>
    </row>
    <row r="489" spans="1:9">
      <c r="A489" s="306">
        <v>434</v>
      </c>
      <c r="B489" s="256">
        <f t="shared" si="26"/>
        <v>0</v>
      </c>
      <c r="C489" s="256">
        <f t="shared" si="27"/>
        <v>0</v>
      </c>
      <c r="D489" s="256">
        <f t="shared" si="28"/>
        <v>0</v>
      </c>
      <c r="E489" s="256">
        <f t="shared" si="29"/>
        <v>0</v>
      </c>
      <c r="F489" s="255"/>
      <c r="G489" s="250"/>
      <c r="H489" s="244"/>
      <c r="I489" s="250"/>
    </row>
    <row r="490" spans="1:9">
      <c r="A490" s="306">
        <v>435</v>
      </c>
      <c r="B490" s="256">
        <f t="shared" si="26"/>
        <v>0</v>
      </c>
      <c r="C490" s="256">
        <f t="shared" si="27"/>
        <v>0</v>
      </c>
      <c r="D490" s="256">
        <f t="shared" si="28"/>
        <v>0</v>
      </c>
      <c r="E490" s="256">
        <f t="shared" si="29"/>
        <v>0</v>
      </c>
      <c r="F490" s="255"/>
      <c r="G490" s="250"/>
      <c r="H490" s="244"/>
      <c r="I490" s="250"/>
    </row>
    <row r="491" spans="1:9">
      <c r="A491" s="306">
        <v>436</v>
      </c>
      <c r="B491" s="256">
        <f t="shared" si="26"/>
        <v>0</v>
      </c>
      <c r="C491" s="256">
        <f t="shared" si="27"/>
        <v>0</v>
      </c>
      <c r="D491" s="256">
        <f t="shared" si="28"/>
        <v>0</v>
      </c>
      <c r="E491" s="256">
        <f t="shared" si="29"/>
        <v>0</v>
      </c>
      <c r="F491" s="255"/>
      <c r="G491" s="250"/>
      <c r="H491" s="244"/>
      <c r="I491" s="250"/>
    </row>
    <row r="492" spans="1:9">
      <c r="A492" s="306">
        <v>437</v>
      </c>
      <c r="B492" s="256">
        <f t="shared" si="26"/>
        <v>0</v>
      </c>
      <c r="C492" s="256">
        <f t="shared" si="27"/>
        <v>0</v>
      </c>
      <c r="D492" s="256">
        <f t="shared" si="28"/>
        <v>0</v>
      </c>
      <c r="E492" s="256">
        <f t="shared" si="29"/>
        <v>0</v>
      </c>
      <c r="F492" s="255"/>
      <c r="G492" s="250"/>
      <c r="H492" s="244"/>
      <c r="I492" s="250"/>
    </row>
    <row r="493" spans="1:9">
      <c r="A493" s="306">
        <v>438</v>
      </c>
      <c r="B493" s="256">
        <f t="shared" si="26"/>
        <v>0</v>
      </c>
      <c r="C493" s="256">
        <f t="shared" si="27"/>
        <v>0</v>
      </c>
      <c r="D493" s="256">
        <f t="shared" si="28"/>
        <v>0</v>
      </c>
      <c r="E493" s="256">
        <f t="shared" si="29"/>
        <v>0</v>
      </c>
      <c r="F493" s="255"/>
      <c r="G493" s="305"/>
      <c r="H493" s="264"/>
      <c r="I493" s="250"/>
    </row>
    <row r="494" spans="1:9">
      <c r="A494" s="306">
        <v>439</v>
      </c>
      <c r="B494" s="256">
        <f t="shared" si="26"/>
        <v>0</v>
      </c>
      <c r="C494" s="256">
        <f t="shared" si="27"/>
        <v>0</v>
      </c>
      <c r="D494" s="256">
        <f t="shared" si="28"/>
        <v>0</v>
      </c>
      <c r="E494" s="256">
        <f t="shared" si="29"/>
        <v>0</v>
      </c>
      <c r="F494" s="255"/>
      <c r="G494" s="250"/>
      <c r="H494" s="244"/>
      <c r="I494" s="250"/>
    </row>
    <row r="495" spans="1:9">
      <c r="A495" s="306">
        <v>440</v>
      </c>
      <c r="B495" s="256">
        <f t="shared" si="26"/>
        <v>0</v>
      </c>
      <c r="C495" s="256">
        <f t="shared" si="27"/>
        <v>0</v>
      </c>
      <c r="D495" s="256">
        <f t="shared" si="28"/>
        <v>0</v>
      </c>
      <c r="E495" s="256">
        <f t="shared" si="29"/>
        <v>0</v>
      </c>
      <c r="F495" s="255"/>
      <c r="G495" s="250"/>
      <c r="H495" s="244"/>
      <c r="I495" s="250"/>
    </row>
    <row r="496" spans="1:9">
      <c r="A496" s="306">
        <v>441</v>
      </c>
      <c r="B496" s="256">
        <f t="shared" si="26"/>
        <v>0</v>
      </c>
      <c r="C496" s="256">
        <f t="shared" si="27"/>
        <v>0</v>
      </c>
      <c r="D496" s="256">
        <f t="shared" si="28"/>
        <v>0</v>
      </c>
      <c r="E496" s="256">
        <f t="shared" si="29"/>
        <v>0</v>
      </c>
      <c r="F496" s="255"/>
      <c r="G496" s="250"/>
      <c r="H496" s="244"/>
      <c r="I496" s="250"/>
    </row>
    <row r="497" spans="1:9">
      <c r="A497" s="306">
        <v>442</v>
      </c>
      <c r="B497" s="256">
        <f t="shared" si="26"/>
        <v>0</v>
      </c>
      <c r="C497" s="256">
        <f t="shared" si="27"/>
        <v>0</v>
      </c>
      <c r="D497" s="256">
        <f t="shared" si="28"/>
        <v>0</v>
      </c>
      <c r="E497" s="256">
        <f t="shared" si="29"/>
        <v>0</v>
      </c>
      <c r="F497" s="255"/>
      <c r="G497" s="250"/>
      <c r="H497" s="244"/>
      <c r="I497" s="250"/>
    </row>
    <row r="498" spans="1:9">
      <c r="A498" s="306">
        <v>443</v>
      </c>
      <c r="B498" s="256">
        <f t="shared" si="26"/>
        <v>0</v>
      </c>
      <c r="C498" s="256">
        <f t="shared" si="27"/>
        <v>0</v>
      </c>
      <c r="D498" s="256">
        <f t="shared" si="28"/>
        <v>0</v>
      </c>
      <c r="E498" s="256">
        <f t="shared" si="29"/>
        <v>0</v>
      </c>
      <c r="F498" s="255"/>
      <c r="G498" s="250"/>
      <c r="H498" s="244"/>
      <c r="I498" s="250"/>
    </row>
    <row r="499" spans="1:9">
      <c r="A499" s="306">
        <v>444</v>
      </c>
      <c r="B499" s="256">
        <f t="shared" si="26"/>
        <v>0</v>
      </c>
      <c r="C499" s="256">
        <f t="shared" si="27"/>
        <v>0</v>
      </c>
      <c r="D499" s="256">
        <f t="shared" si="28"/>
        <v>0</v>
      </c>
      <c r="E499" s="256">
        <f t="shared" si="29"/>
        <v>0</v>
      </c>
      <c r="F499" s="255">
        <v>37</v>
      </c>
      <c r="G499" s="305"/>
      <c r="H499" s="264"/>
      <c r="I499" s="305"/>
    </row>
    <row r="500" spans="1:9">
      <c r="A500" s="306">
        <v>445</v>
      </c>
      <c r="B500" s="256">
        <f t="shared" si="26"/>
        <v>0</v>
      </c>
      <c r="C500" s="256">
        <f t="shared" si="27"/>
        <v>0</v>
      </c>
      <c r="D500" s="256">
        <f t="shared" si="28"/>
        <v>0</v>
      </c>
      <c r="E500" s="256">
        <f t="shared" si="29"/>
        <v>0</v>
      </c>
      <c r="F500" s="255"/>
      <c r="G500" s="250"/>
      <c r="H500" s="244"/>
      <c r="I500" s="305"/>
    </row>
    <row r="501" spans="1:9">
      <c r="A501" s="306">
        <v>446</v>
      </c>
      <c r="B501" s="256">
        <f t="shared" si="26"/>
        <v>0</v>
      </c>
      <c r="C501" s="256">
        <f t="shared" si="27"/>
        <v>0</v>
      </c>
      <c r="D501" s="256">
        <f t="shared" si="28"/>
        <v>0</v>
      </c>
      <c r="E501" s="256">
        <f t="shared" si="29"/>
        <v>0</v>
      </c>
      <c r="F501" s="255"/>
      <c r="G501" s="250"/>
      <c r="H501" s="244"/>
      <c r="I501" s="250"/>
    </row>
    <row r="502" spans="1:9">
      <c r="A502" s="306">
        <v>447</v>
      </c>
      <c r="B502" s="256">
        <f t="shared" si="26"/>
        <v>0</v>
      </c>
      <c r="C502" s="256">
        <f t="shared" si="27"/>
        <v>0</v>
      </c>
      <c r="D502" s="256">
        <f t="shared" si="28"/>
        <v>0</v>
      </c>
      <c r="E502" s="256">
        <f t="shared" si="29"/>
        <v>0</v>
      </c>
      <c r="F502" s="255"/>
      <c r="G502" s="250"/>
      <c r="H502" s="244"/>
      <c r="I502" s="250"/>
    </row>
    <row r="503" spans="1:9">
      <c r="A503" s="306">
        <v>448</v>
      </c>
      <c r="B503" s="256">
        <f t="shared" si="26"/>
        <v>0</v>
      </c>
      <c r="C503" s="256">
        <f t="shared" si="27"/>
        <v>0</v>
      </c>
      <c r="D503" s="256">
        <f t="shared" si="28"/>
        <v>0</v>
      </c>
      <c r="E503" s="256">
        <f t="shared" si="29"/>
        <v>0</v>
      </c>
      <c r="F503" s="255"/>
      <c r="G503" s="250"/>
      <c r="H503" s="244"/>
      <c r="I503" s="250"/>
    </row>
    <row r="504" spans="1:9">
      <c r="A504" s="306">
        <v>449</v>
      </c>
      <c r="B504" s="256">
        <f t="shared" ref="B504:B535" si="30">IF(A504&gt;12*$D$14,0,$D$20)</f>
        <v>0</v>
      </c>
      <c r="C504" s="256">
        <f t="shared" ref="C504:C535" si="31">IF(A504&gt;12*$D$14,0,E503*$D$10/12)</f>
        <v>0</v>
      </c>
      <c r="D504" s="256">
        <f t="shared" ref="D504:D535" si="32">IF(A504&gt;12*$D$14,0,B504-C504)</f>
        <v>0</v>
      </c>
      <c r="E504" s="256">
        <f t="shared" ref="E504:E535" si="33">IF(A504&gt;12*$D$14,0,E503-D504)</f>
        <v>0</v>
      </c>
      <c r="F504" s="255"/>
      <c r="G504" s="250"/>
      <c r="H504" s="244"/>
      <c r="I504" s="250"/>
    </row>
    <row r="505" spans="1:9">
      <c r="A505" s="306">
        <v>450</v>
      </c>
      <c r="B505" s="256">
        <f t="shared" si="30"/>
        <v>0</v>
      </c>
      <c r="C505" s="256">
        <f t="shared" si="31"/>
        <v>0</v>
      </c>
      <c r="D505" s="256">
        <f t="shared" si="32"/>
        <v>0</v>
      </c>
      <c r="E505" s="256">
        <f t="shared" si="33"/>
        <v>0</v>
      </c>
      <c r="F505" s="255"/>
      <c r="G505" s="305"/>
      <c r="H505" s="264"/>
      <c r="I505" s="250"/>
    </row>
    <row r="506" spans="1:9">
      <c r="A506" s="306">
        <v>451</v>
      </c>
      <c r="B506" s="256">
        <f t="shared" si="30"/>
        <v>0</v>
      </c>
      <c r="C506" s="256">
        <f t="shared" si="31"/>
        <v>0</v>
      </c>
      <c r="D506" s="256">
        <f t="shared" si="32"/>
        <v>0</v>
      </c>
      <c r="E506" s="256">
        <f t="shared" si="33"/>
        <v>0</v>
      </c>
      <c r="F506" s="255"/>
      <c r="G506" s="250"/>
      <c r="H506" s="244"/>
      <c r="I506" s="250"/>
    </row>
    <row r="507" spans="1:9">
      <c r="A507" s="306">
        <v>452</v>
      </c>
      <c r="B507" s="256">
        <f t="shared" si="30"/>
        <v>0</v>
      </c>
      <c r="C507" s="256">
        <f t="shared" si="31"/>
        <v>0</v>
      </c>
      <c r="D507" s="256">
        <f t="shared" si="32"/>
        <v>0</v>
      </c>
      <c r="E507" s="256">
        <f t="shared" si="33"/>
        <v>0</v>
      </c>
      <c r="F507" s="255"/>
      <c r="G507" s="250"/>
      <c r="H507" s="244"/>
      <c r="I507" s="250"/>
    </row>
    <row r="508" spans="1:9">
      <c r="A508" s="306">
        <v>453</v>
      </c>
      <c r="B508" s="256">
        <f t="shared" si="30"/>
        <v>0</v>
      </c>
      <c r="C508" s="256">
        <f t="shared" si="31"/>
        <v>0</v>
      </c>
      <c r="D508" s="256">
        <f t="shared" si="32"/>
        <v>0</v>
      </c>
      <c r="E508" s="256">
        <f t="shared" si="33"/>
        <v>0</v>
      </c>
      <c r="F508" s="255"/>
      <c r="G508" s="250"/>
      <c r="H508" s="244"/>
      <c r="I508" s="250"/>
    </row>
    <row r="509" spans="1:9">
      <c r="A509" s="306">
        <v>454</v>
      </c>
      <c r="B509" s="256">
        <f t="shared" si="30"/>
        <v>0</v>
      </c>
      <c r="C509" s="256">
        <f t="shared" si="31"/>
        <v>0</v>
      </c>
      <c r="D509" s="256">
        <f t="shared" si="32"/>
        <v>0</v>
      </c>
      <c r="E509" s="256">
        <f t="shared" si="33"/>
        <v>0</v>
      </c>
      <c r="F509" s="255"/>
      <c r="G509" s="250"/>
      <c r="H509" s="244"/>
      <c r="I509" s="250"/>
    </row>
    <row r="510" spans="1:9">
      <c r="A510" s="306">
        <v>455</v>
      </c>
      <c r="B510" s="256">
        <f t="shared" si="30"/>
        <v>0</v>
      </c>
      <c r="C510" s="256">
        <f t="shared" si="31"/>
        <v>0</v>
      </c>
      <c r="D510" s="256">
        <f t="shared" si="32"/>
        <v>0</v>
      </c>
      <c r="E510" s="256">
        <f t="shared" si="33"/>
        <v>0</v>
      </c>
      <c r="F510" s="255"/>
      <c r="G510" s="250"/>
      <c r="H510" s="244"/>
      <c r="I510" s="250"/>
    </row>
    <row r="511" spans="1:9">
      <c r="A511" s="306">
        <v>456</v>
      </c>
      <c r="B511" s="256">
        <f t="shared" si="30"/>
        <v>0</v>
      </c>
      <c r="C511" s="256">
        <f t="shared" si="31"/>
        <v>0</v>
      </c>
      <c r="D511" s="256">
        <f t="shared" si="32"/>
        <v>0</v>
      </c>
      <c r="E511" s="256">
        <f t="shared" si="33"/>
        <v>0</v>
      </c>
      <c r="F511" s="257">
        <v>38</v>
      </c>
      <c r="G511" s="250"/>
      <c r="H511" s="244"/>
      <c r="I511" s="250"/>
    </row>
    <row r="512" spans="1:9">
      <c r="A512" s="306">
        <v>457</v>
      </c>
      <c r="B512" s="256">
        <f t="shared" si="30"/>
        <v>0</v>
      </c>
      <c r="C512" s="256">
        <f t="shared" si="31"/>
        <v>0</v>
      </c>
      <c r="D512" s="256">
        <f t="shared" si="32"/>
        <v>0</v>
      </c>
      <c r="E512" s="256">
        <f t="shared" si="33"/>
        <v>0</v>
      </c>
      <c r="F512" s="255"/>
      <c r="G512" s="250"/>
      <c r="H512" s="244"/>
      <c r="I512" s="250"/>
    </row>
    <row r="513" spans="1:9">
      <c r="A513" s="306">
        <v>458</v>
      </c>
      <c r="B513" s="256">
        <f t="shared" si="30"/>
        <v>0</v>
      </c>
      <c r="C513" s="256">
        <f t="shared" si="31"/>
        <v>0</v>
      </c>
      <c r="D513" s="256">
        <f t="shared" si="32"/>
        <v>0</v>
      </c>
      <c r="E513" s="256">
        <f t="shared" si="33"/>
        <v>0</v>
      </c>
      <c r="F513" s="255"/>
      <c r="G513" s="250"/>
      <c r="H513" s="244"/>
      <c r="I513" s="250"/>
    </row>
    <row r="514" spans="1:9">
      <c r="A514" s="306">
        <v>459</v>
      </c>
      <c r="B514" s="256">
        <f t="shared" si="30"/>
        <v>0</v>
      </c>
      <c r="C514" s="256">
        <f t="shared" si="31"/>
        <v>0</v>
      </c>
      <c r="D514" s="256">
        <f t="shared" si="32"/>
        <v>0</v>
      </c>
      <c r="E514" s="256">
        <f t="shared" si="33"/>
        <v>0</v>
      </c>
      <c r="F514" s="255"/>
      <c r="G514" s="250"/>
      <c r="H514" s="244"/>
      <c r="I514" s="250"/>
    </row>
    <row r="515" spans="1:9">
      <c r="A515" s="306">
        <v>460</v>
      </c>
      <c r="B515" s="256">
        <f t="shared" si="30"/>
        <v>0</v>
      </c>
      <c r="C515" s="256">
        <f t="shared" si="31"/>
        <v>0</v>
      </c>
      <c r="D515" s="256">
        <f t="shared" si="32"/>
        <v>0</v>
      </c>
      <c r="E515" s="256">
        <f t="shared" si="33"/>
        <v>0</v>
      </c>
      <c r="F515" s="255"/>
      <c r="G515" s="250"/>
      <c r="H515" s="244"/>
      <c r="I515" s="250"/>
    </row>
    <row r="516" spans="1:9">
      <c r="A516" s="306">
        <v>461</v>
      </c>
      <c r="B516" s="256">
        <f t="shared" si="30"/>
        <v>0</v>
      </c>
      <c r="C516" s="256">
        <f t="shared" si="31"/>
        <v>0</v>
      </c>
      <c r="D516" s="256">
        <f t="shared" si="32"/>
        <v>0</v>
      </c>
      <c r="E516" s="256">
        <f t="shared" si="33"/>
        <v>0</v>
      </c>
      <c r="F516" s="255"/>
      <c r="G516" s="250"/>
      <c r="H516" s="244"/>
      <c r="I516" s="250"/>
    </row>
    <row r="517" spans="1:9">
      <c r="A517" s="306">
        <v>462</v>
      </c>
      <c r="B517" s="256">
        <f t="shared" si="30"/>
        <v>0</v>
      </c>
      <c r="C517" s="256">
        <f t="shared" si="31"/>
        <v>0</v>
      </c>
      <c r="D517" s="256">
        <f t="shared" si="32"/>
        <v>0</v>
      </c>
      <c r="E517" s="256">
        <f t="shared" si="33"/>
        <v>0</v>
      </c>
      <c r="F517" s="255"/>
      <c r="G517" s="250"/>
      <c r="H517" s="244"/>
      <c r="I517" s="250"/>
    </row>
    <row r="518" spans="1:9">
      <c r="A518" s="306">
        <v>463</v>
      </c>
      <c r="B518" s="256">
        <f t="shared" si="30"/>
        <v>0</v>
      </c>
      <c r="C518" s="256">
        <f t="shared" si="31"/>
        <v>0</v>
      </c>
      <c r="D518" s="256">
        <f t="shared" si="32"/>
        <v>0</v>
      </c>
      <c r="E518" s="256">
        <f t="shared" si="33"/>
        <v>0</v>
      </c>
      <c r="F518" s="255"/>
      <c r="G518" s="250"/>
      <c r="H518" s="244"/>
      <c r="I518" s="250"/>
    </row>
    <row r="519" spans="1:9">
      <c r="A519" s="306">
        <v>464</v>
      </c>
      <c r="B519" s="256">
        <f t="shared" si="30"/>
        <v>0</v>
      </c>
      <c r="C519" s="256">
        <f t="shared" si="31"/>
        <v>0</v>
      </c>
      <c r="D519" s="256">
        <f t="shared" si="32"/>
        <v>0</v>
      </c>
      <c r="E519" s="256">
        <f t="shared" si="33"/>
        <v>0</v>
      </c>
      <c r="F519" s="255"/>
      <c r="G519" s="250"/>
      <c r="H519" s="244"/>
      <c r="I519" s="250"/>
    </row>
    <row r="520" spans="1:9">
      <c r="A520" s="306">
        <v>465</v>
      </c>
      <c r="B520" s="256">
        <f t="shared" si="30"/>
        <v>0</v>
      </c>
      <c r="C520" s="256">
        <f t="shared" si="31"/>
        <v>0</v>
      </c>
      <c r="D520" s="256">
        <f t="shared" si="32"/>
        <v>0</v>
      </c>
      <c r="E520" s="256">
        <f t="shared" si="33"/>
        <v>0</v>
      </c>
      <c r="F520" s="255"/>
      <c r="G520" s="250"/>
      <c r="H520" s="244"/>
      <c r="I520" s="250"/>
    </row>
    <row r="521" spans="1:9">
      <c r="A521" s="306">
        <v>466</v>
      </c>
      <c r="B521" s="256">
        <f t="shared" si="30"/>
        <v>0</v>
      </c>
      <c r="C521" s="256">
        <f t="shared" si="31"/>
        <v>0</v>
      </c>
      <c r="D521" s="256">
        <f t="shared" si="32"/>
        <v>0</v>
      </c>
      <c r="E521" s="256">
        <f t="shared" si="33"/>
        <v>0</v>
      </c>
      <c r="F521" s="255"/>
      <c r="G521" s="250"/>
      <c r="H521" s="244"/>
      <c r="I521" s="250"/>
    </row>
    <row r="522" spans="1:9">
      <c r="A522" s="306">
        <v>467</v>
      </c>
      <c r="B522" s="256">
        <f t="shared" si="30"/>
        <v>0</v>
      </c>
      <c r="C522" s="256">
        <f t="shared" si="31"/>
        <v>0</v>
      </c>
      <c r="D522" s="256">
        <f t="shared" si="32"/>
        <v>0</v>
      </c>
      <c r="E522" s="256">
        <f t="shared" si="33"/>
        <v>0</v>
      </c>
      <c r="F522" s="255"/>
      <c r="G522" s="250"/>
      <c r="H522" s="244"/>
      <c r="I522" s="250"/>
    </row>
    <row r="523" spans="1:9">
      <c r="A523" s="306">
        <v>468</v>
      </c>
      <c r="B523" s="256">
        <f t="shared" si="30"/>
        <v>0</v>
      </c>
      <c r="C523" s="256">
        <f t="shared" si="31"/>
        <v>0</v>
      </c>
      <c r="D523" s="256">
        <f t="shared" si="32"/>
        <v>0</v>
      </c>
      <c r="E523" s="256">
        <f t="shared" si="33"/>
        <v>0</v>
      </c>
      <c r="F523" s="255">
        <v>39</v>
      </c>
      <c r="G523" s="250"/>
      <c r="H523" s="244"/>
      <c r="I523" s="250"/>
    </row>
    <row r="524" spans="1:9">
      <c r="A524" s="306">
        <v>469</v>
      </c>
      <c r="B524" s="256">
        <f t="shared" si="30"/>
        <v>0</v>
      </c>
      <c r="C524" s="256">
        <f t="shared" si="31"/>
        <v>0</v>
      </c>
      <c r="D524" s="256">
        <f t="shared" si="32"/>
        <v>0</v>
      </c>
      <c r="E524" s="256">
        <f t="shared" si="33"/>
        <v>0</v>
      </c>
      <c r="F524" s="255"/>
      <c r="G524" s="250"/>
      <c r="H524" s="244"/>
      <c r="I524" s="250"/>
    </row>
    <row r="525" spans="1:9">
      <c r="A525" s="306">
        <v>470</v>
      </c>
      <c r="B525" s="256">
        <f t="shared" si="30"/>
        <v>0</v>
      </c>
      <c r="C525" s="256">
        <f t="shared" si="31"/>
        <v>0</v>
      </c>
      <c r="D525" s="256">
        <f t="shared" si="32"/>
        <v>0</v>
      </c>
      <c r="E525" s="256">
        <f t="shared" si="33"/>
        <v>0</v>
      </c>
      <c r="F525" s="255"/>
      <c r="G525" s="250"/>
      <c r="H525" s="244"/>
      <c r="I525" s="250"/>
    </row>
    <row r="526" spans="1:9">
      <c r="A526" s="306">
        <v>471</v>
      </c>
      <c r="B526" s="256">
        <f t="shared" si="30"/>
        <v>0</v>
      </c>
      <c r="C526" s="256">
        <f t="shared" si="31"/>
        <v>0</v>
      </c>
      <c r="D526" s="256">
        <f t="shared" si="32"/>
        <v>0</v>
      </c>
      <c r="E526" s="256">
        <f t="shared" si="33"/>
        <v>0</v>
      </c>
      <c r="F526" s="255"/>
      <c r="G526" s="250"/>
      <c r="H526" s="244"/>
      <c r="I526" s="250"/>
    </row>
    <row r="527" spans="1:9">
      <c r="A527" s="306">
        <v>472</v>
      </c>
      <c r="B527" s="256">
        <f t="shared" si="30"/>
        <v>0</v>
      </c>
      <c r="C527" s="256">
        <f t="shared" si="31"/>
        <v>0</v>
      </c>
      <c r="D527" s="256">
        <f t="shared" si="32"/>
        <v>0</v>
      </c>
      <c r="E527" s="256">
        <f t="shared" si="33"/>
        <v>0</v>
      </c>
      <c r="F527" s="255"/>
      <c r="G527" s="250"/>
      <c r="H527" s="244"/>
      <c r="I527" s="250"/>
    </row>
    <row r="528" spans="1:9">
      <c r="A528" s="306">
        <v>473</v>
      </c>
      <c r="B528" s="256">
        <f t="shared" si="30"/>
        <v>0</v>
      </c>
      <c r="C528" s="256">
        <f t="shared" si="31"/>
        <v>0</v>
      </c>
      <c r="D528" s="256">
        <f t="shared" si="32"/>
        <v>0</v>
      </c>
      <c r="E528" s="256">
        <f t="shared" si="33"/>
        <v>0</v>
      </c>
      <c r="F528" s="255"/>
      <c r="G528" s="250"/>
      <c r="H528" s="244"/>
      <c r="I528" s="250"/>
    </row>
    <row r="529" spans="1:9">
      <c r="A529" s="306">
        <v>474</v>
      </c>
      <c r="B529" s="256">
        <f t="shared" si="30"/>
        <v>0</v>
      </c>
      <c r="C529" s="256">
        <f t="shared" si="31"/>
        <v>0</v>
      </c>
      <c r="D529" s="256">
        <f t="shared" si="32"/>
        <v>0</v>
      </c>
      <c r="E529" s="256">
        <f t="shared" si="33"/>
        <v>0</v>
      </c>
      <c r="F529" s="255"/>
      <c r="G529" s="250"/>
      <c r="H529" s="244"/>
      <c r="I529" s="250"/>
    </row>
    <row r="530" spans="1:9">
      <c r="A530" s="306">
        <v>475</v>
      </c>
      <c r="B530" s="256">
        <f t="shared" si="30"/>
        <v>0</v>
      </c>
      <c r="C530" s="256">
        <f t="shared" si="31"/>
        <v>0</v>
      </c>
      <c r="D530" s="256">
        <f t="shared" si="32"/>
        <v>0</v>
      </c>
      <c r="E530" s="256">
        <f t="shared" si="33"/>
        <v>0</v>
      </c>
      <c r="F530" s="255"/>
      <c r="G530" s="250"/>
      <c r="H530" s="244"/>
      <c r="I530" s="250"/>
    </row>
    <row r="531" spans="1:9">
      <c r="A531" s="306">
        <v>476</v>
      </c>
      <c r="B531" s="256">
        <f t="shared" si="30"/>
        <v>0</v>
      </c>
      <c r="C531" s="256">
        <f t="shared" si="31"/>
        <v>0</v>
      </c>
      <c r="D531" s="256">
        <f t="shared" si="32"/>
        <v>0</v>
      </c>
      <c r="E531" s="256">
        <f t="shared" si="33"/>
        <v>0</v>
      </c>
      <c r="F531" s="255"/>
      <c r="G531" s="250"/>
      <c r="H531" s="244"/>
      <c r="I531" s="250"/>
    </row>
    <row r="532" spans="1:9">
      <c r="A532" s="306">
        <v>477</v>
      </c>
      <c r="B532" s="256">
        <f t="shared" si="30"/>
        <v>0</v>
      </c>
      <c r="C532" s="256">
        <f t="shared" si="31"/>
        <v>0</v>
      </c>
      <c r="D532" s="256">
        <f t="shared" si="32"/>
        <v>0</v>
      </c>
      <c r="E532" s="256">
        <f t="shared" si="33"/>
        <v>0</v>
      </c>
      <c r="F532" s="255"/>
      <c r="G532" s="250"/>
      <c r="H532" s="244"/>
      <c r="I532" s="250"/>
    </row>
    <row r="533" spans="1:9">
      <c r="A533" s="306">
        <v>478</v>
      </c>
      <c r="B533" s="256">
        <f t="shared" si="30"/>
        <v>0</v>
      </c>
      <c r="C533" s="256">
        <f t="shared" si="31"/>
        <v>0</v>
      </c>
      <c r="D533" s="256">
        <f t="shared" si="32"/>
        <v>0</v>
      </c>
      <c r="E533" s="256">
        <f t="shared" si="33"/>
        <v>0</v>
      </c>
      <c r="F533" s="255"/>
      <c r="G533" s="250"/>
      <c r="H533" s="244"/>
      <c r="I533" s="250"/>
    </row>
    <row r="534" spans="1:9">
      <c r="A534" s="306">
        <v>479</v>
      </c>
      <c r="B534" s="256">
        <f t="shared" si="30"/>
        <v>0</v>
      </c>
      <c r="C534" s="256">
        <f t="shared" si="31"/>
        <v>0</v>
      </c>
      <c r="D534" s="256">
        <f t="shared" si="32"/>
        <v>0</v>
      </c>
      <c r="E534" s="256">
        <f t="shared" si="33"/>
        <v>0</v>
      </c>
      <c r="F534" s="255"/>
      <c r="G534" s="250"/>
      <c r="H534" s="244"/>
      <c r="I534" s="250"/>
    </row>
    <row r="535" spans="1:9">
      <c r="A535" s="306">
        <v>480</v>
      </c>
      <c r="B535" s="256">
        <f t="shared" si="30"/>
        <v>0</v>
      </c>
      <c r="C535" s="256">
        <f t="shared" si="31"/>
        <v>0</v>
      </c>
      <c r="D535" s="256">
        <f t="shared" si="32"/>
        <v>0</v>
      </c>
      <c r="E535" s="256">
        <f t="shared" si="33"/>
        <v>0</v>
      </c>
      <c r="F535" s="255">
        <v>40</v>
      </c>
      <c r="G535" s="250"/>
      <c r="H535" s="244"/>
      <c r="I535" s="250"/>
    </row>
    <row r="536" spans="1:9">
      <c r="A536" s="235"/>
      <c r="G536" s="250"/>
      <c r="H536" s="244"/>
      <c r="I536" s="250"/>
    </row>
    <row r="537" spans="1:9">
      <c r="A537" s="235"/>
      <c r="G537" s="250"/>
      <c r="H537" s="244"/>
      <c r="I537" s="250"/>
    </row>
    <row r="538" spans="1:9">
      <c r="A538" s="235"/>
      <c r="G538" s="250"/>
      <c r="H538" s="244"/>
      <c r="I538" s="250"/>
    </row>
    <row r="539" spans="1:9">
      <c r="A539" s="235"/>
      <c r="G539" s="250"/>
      <c r="H539" s="244"/>
      <c r="I539" s="250"/>
    </row>
    <row r="540" spans="1:9">
      <c r="A540" s="235"/>
      <c r="G540" s="250"/>
      <c r="H540" s="244"/>
      <c r="I540" s="250"/>
    </row>
    <row r="541" spans="1:9">
      <c r="A541" s="235"/>
      <c r="G541" s="250"/>
      <c r="H541" s="244"/>
      <c r="I541" s="250"/>
    </row>
    <row r="542" spans="1:9">
      <c r="A542" s="235"/>
      <c r="G542" s="250"/>
      <c r="H542" s="244"/>
      <c r="I542" s="250"/>
    </row>
    <row r="543" spans="1:9">
      <c r="G543" s="250"/>
      <c r="H543" s="244"/>
      <c r="I543" s="250"/>
    </row>
    <row r="544" spans="1:9">
      <c r="G544" s="250"/>
      <c r="H544" s="244"/>
      <c r="I544" s="250"/>
    </row>
    <row r="545" spans="7:9">
      <c r="G545" s="250"/>
      <c r="H545" s="244"/>
      <c r="I545" s="250"/>
    </row>
    <row r="546" spans="7:9">
      <c r="G546" s="250"/>
      <c r="H546" s="244"/>
      <c r="I546" s="250"/>
    </row>
    <row r="547" spans="7:9">
      <c r="G547" s="250"/>
      <c r="H547" s="244"/>
      <c r="I547" s="250"/>
    </row>
    <row r="548" spans="7:9">
      <c r="G548" s="250"/>
      <c r="H548" s="244"/>
      <c r="I548" s="250"/>
    </row>
    <row r="549" spans="7:9">
      <c r="G549" s="250"/>
      <c r="H549" s="244"/>
      <c r="I549" s="250"/>
    </row>
    <row r="550" spans="7:9">
      <c r="G550" s="250"/>
      <c r="H550" s="244"/>
      <c r="I550" s="250"/>
    </row>
    <row r="551" spans="7:9">
      <c r="G551" s="250"/>
      <c r="H551" s="244"/>
      <c r="I551" s="250"/>
    </row>
    <row r="552" spans="7:9">
      <c r="G552" s="250"/>
      <c r="H552" s="244"/>
      <c r="I552" s="250"/>
    </row>
    <row r="553" spans="7:9">
      <c r="G553" s="250"/>
      <c r="H553" s="244"/>
      <c r="I553" s="250"/>
    </row>
    <row r="554" spans="7:9">
      <c r="G554" s="250"/>
      <c r="H554" s="244"/>
      <c r="I554" s="250"/>
    </row>
    <row r="555" spans="7:9">
      <c r="G555" s="250"/>
      <c r="H555" s="244"/>
      <c r="I555" s="250"/>
    </row>
    <row r="556" spans="7:9">
      <c r="G556" s="250"/>
      <c r="H556" s="244"/>
      <c r="I556" s="250"/>
    </row>
    <row r="557" spans="7:9">
      <c r="G557" s="250"/>
      <c r="H557" s="244"/>
      <c r="I557" s="250"/>
    </row>
    <row r="558" spans="7:9">
      <c r="G558" s="250"/>
      <c r="H558" s="244"/>
      <c r="I558" s="250"/>
    </row>
    <row r="559" spans="7:9">
      <c r="G559" s="250"/>
      <c r="H559" s="244"/>
      <c r="I559" s="250"/>
    </row>
    <row r="560" spans="7:9">
      <c r="G560" s="250"/>
      <c r="H560" s="244"/>
      <c r="I560" s="250"/>
    </row>
    <row r="561" spans="7:9">
      <c r="G561" s="250"/>
      <c r="H561" s="244"/>
      <c r="I561" s="250"/>
    </row>
    <row r="562" spans="7:9">
      <c r="G562" s="250"/>
      <c r="H562" s="244"/>
      <c r="I562" s="250"/>
    </row>
    <row r="563" spans="7:9">
      <c r="G563" s="250"/>
      <c r="H563" s="244"/>
      <c r="I563" s="250"/>
    </row>
    <row r="564" spans="7:9">
      <c r="G564" s="250"/>
      <c r="H564" s="244"/>
      <c r="I564" s="250"/>
    </row>
    <row r="565" spans="7:9">
      <c r="G565" s="250"/>
      <c r="H565" s="244"/>
      <c r="I565" s="250"/>
    </row>
    <row r="566" spans="7:9">
      <c r="G566" s="250"/>
      <c r="H566" s="244"/>
      <c r="I566" s="250"/>
    </row>
    <row r="567" spans="7:9">
      <c r="G567" s="250"/>
      <c r="H567" s="244"/>
      <c r="I567" s="250"/>
    </row>
    <row r="568" spans="7:9">
      <c r="G568" s="250"/>
      <c r="H568" s="244"/>
      <c r="I568" s="250"/>
    </row>
    <row r="569" spans="7:9">
      <c r="G569" s="250"/>
      <c r="H569" s="244"/>
      <c r="I569" s="250"/>
    </row>
    <row r="570" spans="7:9">
      <c r="G570" s="250"/>
      <c r="H570" s="244"/>
      <c r="I570" s="250"/>
    </row>
    <row r="571" spans="7:9">
      <c r="G571" s="250"/>
      <c r="H571" s="244"/>
      <c r="I571" s="250"/>
    </row>
    <row r="572" spans="7:9">
      <c r="G572" s="250"/>
      <c r="H572" s="244"/>
      <c r="I572" s="250"/>
    </row>
    <row r="573" spans="7:9">
      <c r="G573" s="250"/>
      <c r="H573" s="244"/>
      <c r="I573" s="250"/>
    </row>
    <row r="574" spans="7:9">
      <c r="G574" s="250"/>
      <c r="H574" s="244"/>
      <c r="I574" s="250"/>
    </row>
    <row r="575" spans="7:9">
      <c r="G575" s="250"/>
      <c r="H575" s="244"/>
      <c r="I575" s="250"/>
    </row>
    <row r="576" spans="7:9">
      <c r="G576" s="250"/>
      <c r="H576" s="244"/>
      <c r="I576" s="250"/>
    </row>
    <row r="577" spans="7:9">
      <c r="G577" s="250"/>
      <c r="H577" s="244"/>
      <c r="I577" s="250"/>
    </row>
    <row r="578" spans="7:9">
      <c r="G578" s="250"/>
      <c r="H578" s="244"/>
      <c r="I578" s="250"/>
    </row>
    <row r="579" spans="7:9">
      <c r="G579" s="250"/>
      <c r="H579" s="244"/>
      <c r="I579" s="250"/>
    </row>
    <row r="580" spans="7:9">
      <c r="G580" s="250"/>
      <c r="H580" s="244"/>
      <c r="I580" s="250"/>
    </row>
    <row r="581" spans="7:9">
      <c r="G581" s="250"/>
      <c r="H581" s="244"/>
      <c r="I581" s="250"/>
    </row>
    <row r="582" spans="7:9">
      <c r="G582" s="250"/>
      <c r="H582" s="244"/>
      <c r="I582" s="250"/>
    </row>
    <row r="583" spans="7:9">
      <c r="G583" s="250"/>
      <c r="H583" s="244"/>
      <c r="I583" s="250"/>
    </row>
    <row r="584" spans="7:9">
      <c r="G584" s="250"/>
      <c r="H584" s="244"/>
      <c r="I584" s="250"/>
    </row>
    <row r="585" spans="7:9">
      <c r="G585" s="250"/>
      <c r="H585" s="244"/>
      <c r="I585" s="250"/>
    </row>
    <row r="586" spans="7:9">
      <c r="G586" s="250"/>
      <c r="H586" s="244"/>
      <c r="I586" s="250"/>
    </row>
    <row r="587" spans="7:9">
      <c r="G587" s="250"/>
      <c r="H587" s="244"/>
      <c r="I587" s="250"/>
    </row>
    <row r="588" spans="7:9">
      <c r="G588" s="250"/>
      <c r="H588" s="244"/>
      <c r="I588" s="250"/>
    </row>
    <row r="589" spans="7:9">
      <c r="G589" s="250"/>
      <c r="H589" s="244"/>
      <c r="I589" s="250"/>
    </row>
    <row r="590" spans="7:9">
      <c r="G590" s="250"/>
      <c r="H590" s="244"/>
      <c r="I590" s="250"/>
    </row>
    <row r="591" spans="7:9">
      <c r="G591" s="250"/>
      <c r="H591" s="244"/>
      <c r="I591" s="250"/>
    </row>
    <row r="592" spans="7:9">
      <c r="G592" s="250"/>
      <c r="H592" s="244"/>
      <c r="I592" s="250"/>
    </row>
    <row r="593" spans="7:9">
      <c r="G593" s="250"/>
      <c r="H593" s="244"/>
      <c r="I593" s="250"/>
    </row>
    <row r="594" spans="7:9">
      <c r="G594" s="250"/>
      <c r="H594" s="244"/>
      <c r="I594" s="250"/>
    </row>
    <row r="595" spans="7:9">
      <c r="G595" s="250"/>
      <c r="H595" s="244"/>
      <c r="I595" s="250"/>
    </row>
    <row r="596" spans="7:9">
      <c r="G596" s="250"/>
      <c r="H596" s="244"/>
      <c r="I596" s="250"/>
    </row>
    <row r="597" spans="7:9">
      <c r="G597" s="250"/>
      <c r="H597" s="244"/>
      <c r="I597" s="250"/>
    </row>
    <row r="598" spans="7:9">
      <c r="G598" s="250"/>
      <c r="H598" s="244"/>
      <c r="I598" s="250"/>
    </row>
    <row r="599" spans="7:9">
      <c r="G599" s="250"/>
      <c r="H599" s="244"/>
      <c r="I599" s="250"/>
    </row>
    <row r="600" spans="7:9">
      <c r="G600" s="250"/>
      <c r="H600" s="244"/>
      <c r="I600" s="250"/>
    </row>
    <row r="601" spans="7:9">
      <c r="G601" s="250"/>
      <c r="H601" s="244"/>
      <c r="I601" s="250"/>
    </row>
    <row r="602" spans="7:9">
      <c r="G602" s="250"/>
      <c r="H602" s="244"/>
      <c r="I602" s="250"/>
    </row>
    <row r="603" spans="7:9">
      <c r="G603" s="250"/>
      <c r="H603" s="244"/>
      <c r="I603" s="250"/>
    </row>
    <row r="604" spans="7:9">
      <c r="G604" s="250"/>
      <c r="H604" s="244"/>
      <c r="I604" s="250"/>
    </row>
    <row r="605" spans="7:9">
      <c r="G605" s="250"/>
      <c r="H605" s="244"/>
      <c r="I605" s="250"/>
    </row>
    <row r="606" spans="7:9">
      <c r="G606" s="250"/>
      <c r="H606" s="244"/>
      <c r="I606" s="250"/>
    </row>
    <row r="607" spans="7:9">
      <c r="G607" s="250"/>
      <c r="H607" s="244"/>
      <c r="I607" s="250"/>
    </row>
    <row r="608" spans="7:9">
      <c r="G608" s="250"/>
      <c r="H608" s="244"/>
      <c r="I608" s="250"/>
    </row>
    <row r="609" spans="7:9">
      <c r="G609" s="250"/>
      <c r="H609" s="244"/>
      <c r="I609" s="250"/>
    </row>
    <row r="610" spans="7:9">
      <c r="G610" s="250"/>
      <c r="H610" s="244"/>
      <c r="I610" s="250"/>
    </row>
    <row r="611" spans="7:9">
      <c r="G611" s="250"/>
      <c r="H611" s="244"/>
      <c r="I611" s="250"/>
    </row>
    <row r="612" spans="7:9">
      <c r="G612" s="250"/>
      <c r="H612" s="244"/>
      <c r="I612" s="250"/>
    </row>
    <row r="613" spans="7:9">
      <c r="G613" s="250"/>
      <c r="H613" s="244"/>
      <c r="I613" s="250"/>
    </row>
    <row r="614" spans="7:9">
      <c r="G614" s="250"/>
      <c r="H614" s="244"/>
      <c r="I614" s="250"/>
    </row>
    <row r="615" spans="7:9">
      <c r="G615" s="250"/>
      <c r="H615" s="244"/>
      <c r="I615" s="250"/>
    </row>
    <row r="616" spans="7:9">
      <c r="G616" s="250"/>
      <c r="H616" s="244"/>
      <c r="I616" s="250"/>
    </row>
    <row r="617" spans="7:9">
      <c r="G617" s="250"/>
      <c r="H617" s="244"/>
      <c r="I617" s="250"/>
    </row>
    <row r="618" spans="7:9">
      <c r="G618" s="250"/>
      <c r="H618" s="244"/>
      <c r="I618" s="250"/>
    </row>
    <row r="619" spans="7:9">
      <c r="G619" s="250"/>
      <c r="H619" s="244"/>
      <c r="I619" s="250"/>
    </row>
    <row r="620" spans="7:9">
      <c r="G620" s="250"/>
      <c r="H620" s="244"/>
      <c r="I620" s="250"/>
    </row>
    <row r="621" spans="7:9">
      <c r="G621" s="250"/>
      <c r="H621" s="244"/>
      <c r="I621" s="250"/>
    </row>
    <row r="622" spans="7:9">
      <c r="G622" s="250"/>
      <c r="H622" s="244"/>
      <c r="I622" s="250"/>
    </row>
    <row r="623" spans="7:9">
      <c r="G623" s="250"/>
      <c r="H623" s="244"/>
      <c r="I623" s="250"/>
    </row>
    <row r="624" spans="7:9">
      <c r="G624" s="250"/>
      <c r="H624" s="244"/>
      <c r="I624" s="250"/>
    </row>
    <row r="625" spans="7:9">
      <c r="G625" s="250"/>
      <c r="H625" s="244"/>
      <c r="I625" s="250"/>
    </row>
    <row r="626" spans="7:9">
      <c r="G626" s="250"/>
      <c r="H626" s="244"/>
      <c r="I626" s="250"/>
    </row>
    <row r="627" spans="7:9">
      <c r="G627" s="250"/>
      <c r="H627" s="244"/>
      <c r="I627" s="250"/>
    </row>
    <row r="628" spans="7:9">
      <c r="G628" s="250"/>
      <c r="H628" s="244"/>
      <c r="I628" s="250"/>
    </row>
    <row r="629" spans="7:9">
      <c r="G629" s="250"/>
      <c r="H629" s="244"/>
      <c r="I629" s="250"/>
    </row>
    <row r="630" spans="7:9">
      <c r="G630" s="250"/>
      <c r="H630" s="244"/>
      <c r="I630" s="250"/>
    </row>
    <row r="631" spans="7:9">
      <c r="G631" s="250"/>
      <c r="H631" s="244"/>
      <c r="I631" s="250"/>
    </row>
    <row r="632" spans="7:9">
      <c r="G632" s="250"/>
      <c r="H632" s="244"/>
      <c r="I632" s="250"/>
    </row>
    <row r="633" spans="7:9">
      <c r="G633" s="250"/>
      <c r="H633" s="244"/>
      <c r="I633" s="250"/>
    </row>
    <row r="634" spans="7:9">
      <c r="G634" s="250"/>
      <c r="H634" s="244"/>
      <c r="I634" s="250"/>
    </row>
    <row r="635" spans="7:9">
      <c r="G635" s="250"/>
      <c r="H635" s="244"/>
      <c r="I635" s="250"/>
    </row>
    <row r="636" spans="7:9">
      <c r="G636" s="250"/>
      <c r="H636" s="244"/>
      <c r="I636" s="250"/>
    </row>
    <row r="637" spans="7:9">
      <c r="G637" s="250"/>
      <c r="H637" s="244"/>
      <c r="I637" s="250"/>
    </row>
    <row r="638" spans="7:9">
      <c r="G638" s="250"/>
      <c r="H638" s="244"/>
      <c r="I638" s="250"/>
    </row>
    <row r="639" spans="7:9">
      <c r="G639" s="250"/>
      <c r="H639" s="244"/>
      <c r="I639" s="250"/>
    </row>
    <row r="640" spans="7:9">
      <c r="G640" s="250"/>
      <c r="H640" s="244"/>
      <c r="I640" s="250"/>
    </row>
    <row r="641" spans="7:9">
      <c r="G641" s="250"/>
      <c r="H641" s="244"/>
      <c r="I641" s="250"/>
    </row>
    <row r="642" spans="7:9">
      <c r="G642" s="250"/>
      <c r="H642" s="244"/>
      <c r="I642" s="250"/>
    </row>
    <row r="643" spans="7:9">
      <c r="G643" s="250"/>
      <c r="H643" s="244"/>
      <c r="I643" s="250"/>
    </row>
    <row r="644" spans="7:9">
      <c r="G644" s="250"/>
      <c r="H644" s="244"/>
      <c r="I644" s="250"/>
    </row>
    <row r="645" spans="7:9">
      <c r="G645" s="250"/>
      <c r="H645" s="244"/>
      <c r="I645" s="250"/>
    </row>
    <row r="646" spans="7:9">
      <c r="G646" s="250"/>
      <c r="H646" s="244"/>
      <c r="I646" s="250"/>
    </row>
    <row r="647" spans="7:9">
      <c r="G647" s="250"/>
      <c r="H647" s="244"/>
      <c r="I647" s="250"/>
    </row>
    <row r="648" spans="7:9">
      <c r="G648" s="250"/>
      <c r="H648" s="244"/>
      <c r="I648" s="250"/>
    </row>
    <row r="649" spans="7:9">
      <c r="G649" s="250"/>
      <c r="H649" s="244"/>
      <c r="I649" s="250"/>
    </row>
    <row r="650" spans="7:9">
      <c r="G650" s="250"/>
      <c r="H650" s="244"/>
      <c r="I650" s="250"/>
    </row>
    <row r="651" spans="7:9">
      <c r="G651" s="250"/>
      <c r="H651" s="244"/>
      <c r="I651" s="250"/>
    </row>
    <row r="652" spans="7:9">
      <c r="G652" s="250"/>
      <c r="H652" s="244"/>
      <c r="I652" s="250"/>
    </row>
    <row r="653" spans="7:9">
      <c r="G653" s="250"/>
      <c r="H653" s="244"/>
      <c r="I653" s="250"/>
    </row>
    <row r="654" spans="7:9">
      <c r="G654" s="250"/>
      <c r="H654" s="244"/>
      <c r="I654" s="250"/>
    </row>
  </sheetData>
  <sheetProtection password="D64E" sheet="1" objects="1" scenarios="1"/>
  <mergeCells count="8">
    <mergeCell ref="A1:F1"/>
    <mergeCell ref="E5:F10"/>
    <mergeCell ref="A3:F3"/>
    <mergeCell ref="A51:F51"/>
    <mergeCell ref="C26:C27"/>
    <mergeCell ref="F26:F27"/>
    <mergeCell ref="A24:F24"/>
    <mergeCell ref="A50:F50"/>
  </mergeCells>
  <phoneticPr fontId="7"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W219"/>
  <sheetViews>
    <sheetView showGridLines="0" zoomScale="85" zoomScaleNormal="85" zoomScaleSheetLayoutView="90" workbookViewId="0">
      <selection activeCell="A124" sqref="A1:XFD1048576"/>
    </sheetView>
  </sheetViews>
  <sheetFormatPr defaultColWidth="9.140625" defaultRowHeight="12.75"/>
  <cols>
    <col min="1" max="1" width="2.42578125" style="406" customWidth="1"/>
    <col min="2" max="2" width="5.42578125" style="406" customWidth="1"/>
    <col min="3" max="3" width="18" style="406" customWidth="1"/>
    <col min="4" max="4" width="7.28515625" style="406" customWidth="1"/>
    <col min="5" max="5" width="12.5703125" style="406" customWidth="1"/>
    <col min="6" max="6" width="10.42578125" style="406" customWidth="1"/>
    <col min="7" max="8" width="6.42578125" style="406" customWidth="1"/>
    <col min="9" max="9" width="1.7109375" style="406" customWidth="1"/>
    <col min="10" max="11" width="6.42578125" style="406" customWidth="1"/>
    <col min="12" max="12" width="1.7109375" style="406" customWidth="1"/>
    <col min="13" max="14" width="6.42578125" style="406" customWidth="1"/>
    <col min="15" max="15" width="1.7109375" style="406" customWidth="1"/>
    <col min="16" max="17" width="6.42578125" style="406" customWidth="1"/>
    <col min="18" max="18" width="1.7109375" style="406" customWidth="1"/>
    <col min="19" max="20" width="7" style="406" customWidth="1"/>
    <col min="21" max="21" width="5.85546875" style="406" customWidth="1"/>
    <col min="22" max="22" width="24.85546875" style="406" customWidth="1"/>
    <col min="23" max="23" width="73.42578125" style="406" customWidth="1"/>
    <col min="24" max="16384" width="9.140625" style="406"/>
  </cols>
  <sheetData>
    <row r="1" spans="1:23" s="386" customFormat="1" ht="15" customHeight="1">
      <c r="A1" s="966" t="str">
        <f>CONCATENATE("PART FOUR -  USES OF FUNDS","  -  ",'Part I-Project Information'!$O$4," ",'Part I-Project Information'!$F$23,", ",'Part I-Project Information'!F26,", ",'Part I-Project Information'!J27," County")</f>
        <v>PART FOUR -  USES OF FUNDS  -  2013-011 Mountain View Senior Residences, Stone Mountain, DeKalb County</v>
      </c>
      <c r="B1" s="967"/>
      <c r="C1" s="967"/>
      <c r="D1" s="967"/>
      <c r="E1" s="967"/>
      <c r="F1" s="967"/>
      <c r="G1" s="967"/>
      <c r="H1" s="967"/>
      <c r="I1" s="967"/>
      <c r="J1" s="967"/>
      <c r="K1" s="967"/>
      <c r="L1" s="967"/>
      <c r="M1" s="967"/>
      <c r="N1" s="967"/>
      <c r="O1" s="967"/>
      <c r="P1" s="967"/>
      <c r="Q1" s="967"/>
      <c r="R1" s="967"/>
      <c r="S1" s="967"/>
      <c r="T1" s="967"/>
      <c r="V1" s="965" t="str">
        <f>A1</f>
        <v>PART FOUR -  USES OF FUNDS  -  2013-011 Mountain View Senior Residences, Stone Mountain, DeKalb County</v>
      </c>
      <c r="W1" s="965"/>
    </row>
    <row r="2" spans="1:23" ht="2.25" customHeight="1"/>
    <row r="3" spans="1:23" s="386" customFormat="1" ht="12.75" customHeight="1">
      <c r="A3" s="389"/>
      <c r="B3" s="389"/>
      <c r="C3" s="389"/>
      <c r="D3" s="389"/>
      <c r="E3" s="389"/>
      <c r="F3" s="389"/>
      <c r="G3" s="389"/>
      <c r="H3" s="389"/>
      <c r="I3" s="389"/>
      <c r="J3" s="389"/>
      <c r="K3" s="389"/>
      <c r="L3" s="389"/>
      <c r="M3" s="389"/>
      <c r="N3" s="389"/>
      <c r="O3" s="389"/>
      <c r="P3" s="389"/>
      <c r="Q3" s="389"/>
      <c r="R3" s="389"/>
      <c r="S3" s="389"/>
      <c r="T3" s="389"/>
    </row>
    <row r="4" spans="1:23" s="386" customFormat="1" ht="1.9" customHeight="1" thickBot="1">
      <c r="A4" s="687"/>
      <c r="B4" s="687"/>
      <c r="C4" s="687"/>
      <c r="D4" s="720"/>
      <c r="E4" s="720"/>
      <c r="F4" s="720"/>
      <c r="G4" s="720"/>
      <c r="H4" s="720"/>
      <c r="I4" s="389"/>
      <c r="J4" s="687"/>
      <c r="K4" s="687"/>
      <c r="L4" s="687"/>
      <c r="M4" s="687"/>
      <c r="N4" s="687"/>
      <c r="O4" s="687"/>
      <c r="P4" s="687"/>
      <c r="Q4" s="687"/>
      <c r="R4" s="687"/>
      <c r="S4" s="687"/>
      <c r="T4" s="687"/>
    </row>
    <row r="5" spans="1:23" s="386" customFormat="1" ht="21" customHeight="1" thickBot="1">
      <c r="A5" s="566" t="s">
        <v>796</v>
      </c>
      <c r="B5" s="566" t="s">
        <v>1296</v>
      </c>
      <c r="D5" s="720"/>
      <c r="E5" s="720"/>
      <c r="F5" s="720"/>
      <c r="G5" s="720"/>
      <c r="H5" s="720"/>
      <c r="I5" s="720"/>
      <c r="J5" s="941" t="s">
        <v>299</v>
      </c>
      <c r="K5" s="942"/>
      <c r="L5" s="445"/>
      <c r="M5" s="960" t="s">
        <v>623</v>
      </c>
      <c r="N5" s="961"/>
      <c r="P5" s="941" t="s">
        <v>300</v>
      </c>
      <c r="Q5" s="942"/>
      <c r="S5" s="941" t="s">
        <v>301</v>
      </c>
      <c r="T5" s="942"/>
      <c r="V5" s="567" t="str">
        <f>B5</f>
        <v>DEVELOPMENT BUDGET</v>
      </c>
    </row>
    <row r="6" spans="1:23" s="386" customFormat="1" ht="21" customHeight="1" thickBot="1">
      <c r="G6" s="954" t="s">
        <v>107</v>
      </c>
      <c r="H6" s="955"/>
      <c r="J6" s="943"/>
      <c r="K6" s="944"/>
      <c r="L6" s="445"/>
      <c r="M6" s="962"/>
      <c r="N6" s="963"/>
      <c r="P6" s="943"/>
      <c r="Q6" s="944"/>
      <c r="S6" s="943"/>
      <c r="T6" s="944"/>
      <c r="V6" s="938" t="s">
        <v>3547</v>
      </c>
      <c r="W6" s="938"/>
    </row>
    <row r="7" spans="1:23" s="386" customFormat="1" ht="13.15" customHeight="1">
      <c r="B7" s="389" t="s">
        <v>108</v>
      </c>
      <c r="O7" s="687" t="str">
        <f>B7</f>
        <v>PRE-DEVELOPMENT COSTS</v>
      </c>
      <c r="V7" s="386" t="str">
        <f>B7</f>
        <v>PRE-DEVELOPMENT COSTS</v>
      </c>
    </row>
    <row r="8" spans="1:23" s="386" customFormat="1" ht="12.6" customHeight="1">
      <c r="B8" s="386" t="s">
        <v>2712</v>
      </c>
      <c r="G8" s="1451"/>
      <c r="H8" s="1452"/>
      <c r="J8" s="1451"/>
      <c r="K8" s="1452"/>
      <c r="L8" s="797"/>
      <c r="M8" s="1451"/>
      <c r="N8" s="1452"/>
      <c r="P8" s="1451"/>
      <c r="Q8" s="1452"/>
      <c r="S8" s="1451"/>
      <c r="T8" s="1452"/>
      <c r="V8" s="1481"/>
      <c r="W8" s="1482"/>
    </row>
    <row r="9" spans="1:23" s="386" customFormat="1" ht="12.6" customHeight="1">
      <c r="B9" s="386" t="s">
        <v>584</v>
      </c>
      <c r="G9" s="1451">
        <v>5500</v>
      </c>
      <c r="H9" s="1452"/>
      <c r="J9" s="1451">
        <v>5500</v>
      </c>
      <c r="K9" s="1452"/>
      <c r="L9" s="797"/>
      <c r="M9" s="1451"/>
      <c r="N9" s="1452"/>
      <c r="P9" s="1451"/>
      <c r="Q9" s="1452"/>
      <c r="S9" s="1451"/>
      <c r="T9" s="1452"/>
      <c r="V9" s="1483"/>
      <c r="W9" s="1484"/>
    </row>
    <row r="10" spans="1:23" s="386" customFormat="1" ht="12.6" customHeight="1">
      <c r="B10" s="386" t="s">
        <v>620</v>
      </c>
      <c r="G10" s="1451">
        <v>14000</v>
      </c>
      <c r="H10" s="1452"/>
      <c r="J10" s="1451">
        <v>14000</v>
      </c>
      <c r="K10" s="1452"/>
      <c r="L10" s="797"/>
      <c r="M10" s="1451"/>
      <c r="N10" s="1452"/>
      <c r="P10" s="1451"/>
      <c r="Q10" s="1452"/>
      <c r="S10" s="1451"/>
      <c r="T10" s="1452"/>
      <c r="V10" s="1483"/>
      <c r="W10" s="1484"/>
    </row>
    <row r="11" spans="1:23" s="386" customFormat="1" ht="12.6" customHeight="1">
      <c r="B11" s="386" t="s">
        <v>621</v>
      </c>
      <c r="G11" s="1451">
        <v>10000</v>
      </c>
      <c r="H11" s="1452"/>
      <c r="J11" s="1451">
        <v>10000</v>
      </c>
      <c r="K11" s="1452"/>
      <c r="L11" s="797"/>
      <c r="M11" s="1451"/>
      <c r="N11" s="1452"/>
      <c r="P11" s="1451"/>
      <c r="Q11" s="1452"/>
      <c r="S11" s="1451"/>
      <c r="T11" s="1452"/>
      <c r="V11" s="1483"/>
      <c r="W11" s="1484"/>
    </row>
    <row r="12" spans="1:23" s="386" customFormat="1" ht="12.6" customHeight="1">
      <c r="B12" s="386" t="s">
        <v>3281</v>
      </c>
      <c r="G12" s="1451">
        <v>20000</v>
      </c>
      <c r="H12" s="1452"/>
      <c r="J12" s="1451">
        <v>20000</v>
      </c>
      <c r="K12" s="1452"/>
      <c r="L12" s="797"/>
      <c r="M12" s="1451"/>
      <c r="N12" s="1452"/>
      <c r="P12" s="1451"/>
      <c r="Q12" s="1452"/>
      <c r="S12" s="1451"/>
      <c r="T12" s="1452"/>
      <c r="V12" s="1483"/>
      <c r="W12" s="1484"/>
    </row>
    <row r="13" spans="1:23" s="386" customFormat="1" ht="12.6" customHeight="1">
      <c r="B13" s="386" t="s">
        <v>208</v>
      </c>
      <c r="G13" s="1451">
        <v>1000</v>
      </c>
      <c r="H13" s="1452"/>
      <c r="J13" s="1451">
        <v>1000</v>
      </c>
      <c r="K13" s="1452"/>
      <c r="L13" s="797"/>
      <c r="M13" s="1451"/>
      <c r="N13" s="1452"/>
      <c r="P13" s="1451"/>
      <c r="Q13" s="1452"/>
      <c r="S13" s="1451"/>
      <c r="T13" s="1452"/>
      <c r="V13" s="1483"/>
      <c r="W13" s="1484"/>
    </row>
    <row r="14" spans="1:23" s="386" customFormat="1" ht="12.6" customHeight="1">
      <c r="A14" s="480" t="str">
        <f>IF(AND(G14&gt;0,OR(C14="",C14="&lt;Enter detailed description here; use Comments section if needed&gt;")),"X","")</f>
        <v/>
      </c>
      <c r="B14" s="386" t="s">
        <v>1046</v>
      </c>
      <c r="C14" s="1300"/>
      <c r="D14" s="1300"/>
      <c r="E14" s="1300"/>
      <c r="F14" s="1301"/>
      <c r="G14" s="1451"/>
      <c r="H14" s="1452"/>
      <c r="J14" s="1451"/>
      <c r="K14" s="1452"/>
      <c r="L14" s="797"/>
      <c r="M14" s="1451"/>
      <c r="N14" s="1452"/>
      <c r="P14" s="1451"/>
      <c r="Q14" s="1452"/>
      <c r="S14" s="1451"/>
      <c r="T14" s="1452"/>
      <c r="U14" s="479" t="str">
        <f>IF(AND(G14&gt;0,OR(C14="",C14="&lt;Enter detailed description here; use Comments section if needed&gt;")),"NO DESCRIPTION PROVIDED - please enter detailed description in Other box at left; use Comments section below if needed.","")</f>
        <v/>
      </c>
      <c r="V14" s="1483"/>
      <c r="W14" s="1484"/>
    </row>
    <row r="15" spans="1:23" s="386" customFormat="1" ht="12.6" customHeight="1">
      <c r="A15" s="480" t="str">
        <f>IF(AND(G15&gt;0,OR(C15="",C15="&lt;Enter detailed description here; use Comments section if needed&gt;")),"X","")</f>
        <v/>
      </c>
      <c r="B15" s="386" t="s">
        <v>1046</v>
      </c>
      <c r="C15" s="1300" t="s">
        <v>3180</v>
      </c>
      <c r="D15" s="1300"/>
      <c r="E15" s="1300"/>
      <c r="F15" s="1301"/>
      <c r="G15" s="1451"/>
      <c r="H15" s="1452"/>
      <c r="J15" s="1451"/>
      <c r="K15" s="1452"/>
      <c r="L15" s="797"/>
      <c r="M15" s="1451"/>
      <c r="N15" s="1452"/>
      <c r="P15" s="1451"/>
      <c r="Q15" s="1452"/>
      <c r="S15" s="1451"/>
      <c r="T15" s="1452"/>
      <c r="U15" s="479" t="str">
        <f>IF(AND(G15&gt;0,OR(C15="",C15="&lt;Enter detailed description here; use Comments section if needed&gt;")),"NO DESCRIPTION PROVIDED - please enter detailed description in Other box at left; use Comments section below if needed.","")</f>
        <v/>
      </c>
      <c r="V15" s="1483"/>
      <c r="W15" s="1484"/>
    </row>
    <row r="16" spans="1:23" s="386" customFormat="1" ht="12.6" customHeight="1" thickBot="1">
      <c r="A16" s="480" t="str">
        <f>IF(AND(G16&gt;0,OR(C16="",C16="&lt;Enter detailed description here; use Comments section if needed&gt;")),"X","")</f>
        <v/>
      </c>
      <c r="B16" s="386" t="s">
        <v>1046</v>
      </c>
      <c r="C16" s="1300" t="s">
        <v>3180</v>
      </c>
      <c r="D16" s="1300"/>
      <c r="E16" s="1300"/>
      <c r="F16" s="1301"/>
      <c r="G16" s="1451"/>
      <c r="H16" s="1452"/>
      <c r="J16" s="1485"/>
      <c r="K16" s="1486"/>
      <c r="L16" s="797"/>
      <c r="M16" s="1451"/>
      <c r="N16" s="1452"/>
      <c r="P16" s="1451"/>
      <c r="Q16" s="1452"/>
      <c r="S16" s="1485"/>
      <c r="T16" s="1486"/>
      <c r="U16" s="479" t="str">
        <f>IF(AND(G16&gt;0,OR(C16="",C16="&lt;Enter detailed description here; use Comments section if needed&gt;")),"NO DESCRIPTION PROVIDED - please enter detailed description in Other box at left; use Comments section below if needed.","")</f>
        <v/>
      </c>
      <c r="V16" s="1483"/>
      <c r="W16" s="1484"/>
    </row>
    <row r="17" spans="2:23" s="386" customFormat="1" ht="12.6" customHeight="1" thickTop="1">
      <c r="F17" s="446" t="s">
        <v>209</v>
      </c>
      <c r="G17" s="935">
        <f>SUM(G8:H16)</f>
        <v>50500</v>
      </c>
      <c r="H17" s="939"/>
      <c r="J17" s="935">
        <f>SUM(J8:K16)</f>
        <v>50500</v>
      </c>
      <c r="K17" s="936"/>
      <c r="L17" s="797"/>
      <c r="M17" s="935">
        <f>SUM(M8:N16)</f>
        <v>0</v>
      </c>
      <c r="N17" s="939"/>
      <c r="P17" s="935">
        <f>SUM(P8:Q16)</f>
        <v>0</v>
      </c>
      <c r="Q17" s="939"/>
      <c r="S17" s="935">
        <f>SUM(S8:T16)</f>
        <v>0</v>
      </c>
      <c r="T17" s="939"/>
      <c r="V17" s="1487"/>
      <c r="W17" s="1488"/>
    </row>
    <row r="18" spans="2:23" s="386" customFormat="1" ht="13.15" customHeight="1">
      <c r="B18" s="389" t="s">
        <v>2915</v>
      </c>
      <c r="J18" s="445"/>
      <c r="K18" s="445"/>
      <c r="M18" s="445"/>
      <c r="N18" s="445"/>
      <c r="O18" s="447" t="str">
        <f>B18</f>
        <v>ACQUISITION</v>
      </c>
      <c r="P18" s="445"/>
      <c r="Q18" s="445"/>
      <c r="S18" s="445"/>
      <c r="T18" s="445"/>
      <c r="V18" s="386" t="str">
        <f>B18</f>
        <v>ACQUISITION</v>
      </c>
    </row>
    <row r="19" spans="2:23" s="386" customFormat="1" ht="12.6" customHeight="1">
      <c r="B19" s="386" t="s">
        <v>2916</v>
      </c>
      <c r="G19" s="1451"/>
      <c r="H19" s="1452"/>
      <c r="J19" s="448"/>
      <c r="K19" s="445"/>
      <c r="L19" s="448"/>
      <c r="M19" s="448"/>
      <c r="N19" s="445"/>
      <c r="P19" s="448"/>
      <c r="Q19" s="445"/>
      <c r="S19" s="1451"/>
      <c r="T19" s="1452"/>
      <c r="V19" s="1481"/>
      <c r="W19" s="1482"/>
    </row>
    <row r="20" spans="2:23" s="386" customFormat="1" ht="12.6" customHeight="1">
      <c r="B20" s="386" t="s">
        <v>1527</v>
      </c>
      <c r="G20" s="1451"/>
      <c r="H20" s="1452"/>
      <c r="J20" s="448"/>
      <c r="K20" s="445"/>
      <c r="L20" s="448"/>
      <c r="M20" s="448"/>
      <c r="N20" s="445"/>
      <c r="P20" s="448"/>
      <c r="Q20" s="445"/>
      <c r="S20" s="1451"/>
      <c r="T20" s="1452"/>
      <c r="V20" s="1483"/>
      <c r="W20" s="1484"/>
    </row>
    <row r="21" spans="2:23" s="386" customFormat="1" ht="12.6" customHeight="1">
      <c r="B21" s="386" t="s">
        <v>585</v>
      </c>
      <c r="G21" s="1451"/>
      <c r="H21" s="1452"/>
      <c r="J21" s="448"/>
      <c r="K21" s="445"/>
      <c r="L21" s="448"/>
      <c r="M21" s="1451"/>
      <c r="N21" s="1452"/>
      <c r="P21" s="448"/>
      <c r="Q21" s="445"/>
      <c r="S21" s="1451"/>
      <c r="T21" s="1452"/>
      <c r="V21" s="1483"/>
      <c r="W21" s="1484"/>
    </row>
    <row r="22" spans="2:23" s="386" customFormat="1" ht="12.6" customHeight="1" thickBot="1">
      <c r="B22" s="386" t="s">
        <v>553</v>
      </c>
      <c r="G22" s="1489">
        <v>0</v>
      </c>
      <c r="H22" s="1490"/>
      <c r="J22" s="448"/>
      <c r="K22" s="445"/>
      <c r="L22" s="448"/>
      <c r="M22" s="1489"/>
      <c r="N22" s="1490"/>
      <c r="P22" s="448"/>
      <c r="Q22" s="445"/>
      <c r="S22" s="1451">
        <v>0</v>
      </c>
      <c r="T22" s="1452"/>
      <c r="V22" s="1483"/>
      <c r="W22" s="1484"/>
    </row>
    <row r="23" spans="2:23" s="386" customFormat="1" ht="12.6" customHeight="1" thickTop="1">
      <c r="F23" s="446" t="s">
        <v>209</v>
      </c>
      <c r="G23" s="935">
        <f>SUM(G19:H22)</f>
        <v>0</v>
      </c>
      <c r="H23" s="939"/>
      <c r="J23" s="448"/>
      <c r="K23" s="445"/>
      <c r="L23" s="448"/>
      <c r="M23" s="935">
        <f>SUM(M21:N22)</f>
        <v>0</v>
      </c>
      <c r="N23" s="939"/>
      <c r="P23" s="448"/>
      <c r="Q23" s="445"/>
      <c r="S23" s="935">
        <f>SUM(S19:T22)</f>
        <v>0</v>
      </c>
      <c r="T23" s="939"/>
      <c r="V23" s="1487"/>
      <c r="W23" s="1488"/>
    </row>
    <row r="24" spans="2:23" s="386" customFormat="1" ht="13.15" customHeight="1">
      <c r="B24" s="389" t="s">
        <v>1528</v>
      </c>
      <c r="J24" s="448"/>
      <c r="K24" s="445"/>
      <c r="M24" s="448"/>
      <c r="N24" s="445"/>
      <c r="O24" s="447" t="str">
        <f>B24</f>
        <v>LAND IMPROVEMENTS</v>
      </c>
      <c r="P24" s="448"/>
      <c r="Q24" s="445"/>
      <c r="S24" s="448"/>
      <c r="T24" s="445"/>
      <c r="V24" s="386" t="str">
        <f>B24</f>
        <v>LAND IMPROVEMENTS</v>
      </c>
    </row>
    <row r="25" spans="2:23" s="386" customFormat="1" ht="12.6" customHeight="1">
      <c r="B25" s="386" t="s">
        <v>1529</v>
      </c>
      <c r="G25" s="1451">
        <v>743000</v>
      </c>
      <c r="H25" s="1452"/>
      <c r="J25" s="1485">
        <f>G25*0.8</f>
        <v>594400</v>
      </c>
      <c r="K25" s="1486"/>
      <c r="L25" s="797"/>
      <c r="M25" s="1485"/>
      <c r="N25" s="1486"/>
      <c r="P25" s="1485"/>
      <c r="Q25" s="1486"/>
      <c r="S25" s="1451">
        <f>G25*0.2</f>
        <v>148600</v>
      </c>
      <c r="T25" s="1452"/>
      <c r="V25" s="1481"/>
      <c r="W25" s="1482"/>
    </row>
    <row r="26" spans="2:23" s="386" customFormat="1" ht="12.6" customHeight="1" thickBot="1">
      <c r="B26" s="386" t="s">
        <v>1530</v>
      </c>
      <c r="G26" s="1451"/>
      <c r="H26" s="1452"/>
      <c r="J26" s="1485"/>
      <c r="K26" s="1486"/>
      <c r="L26" s="449"/>
      <c r="M26" s="937"/>
      <c r="N26" s="937"/>
      <c r="P26" s="937"/>
      <c r="Q26" s="937"/>
      <c r="S26" s="1451"/>
      <c r="T26" s="1452"/>
      <c r="V26" s="1483"/>
      <c r="W26" s="1484"/>
    </row>
    <row r="27" spans="2:23" s="386" customFormat="1" ht="12.6" customHeight="1" thickTop="1">
      <c r="F27" s="446" t="s">
        <v>209</v>
      </c>
      <c r="G27" s="935">
        <f>SUM(G25:H26)</f>
        <v>743000</v>
      </c>
      <c r="H27" s="939"/>
      <c r="J27" s="935">
        <f>SUM(J25:K26)</f>
        <v>594400</v>
      </c>
      <c r="K27" s="939"/>
      <c r="L27" s="448"/>
      <c r="M27" s="935">
        <f>M25</f>
        <v>0</v>
      </c>
      <c r="N27" s="939"/>
      <c r="P27" s="935">
        <f>P25</f>
        <v>0</v>
      </c>
      <c r="Q27" s="939"/>
      <c r="S27" s="935">
        <f>SUM(S25:T26)</f>
        <v>148600</v>
      </c>
      <c r="T27" s="939"/>
      <c r="V27" s="1487"/>
      <c r="W27" s="1488"/>
    </row>
    <row r="28" spans="2:23" s="386" customFormat="1" ht="13.15" customHeight="1">
      <c r="B28" s="389" t="s">
        <v>1531</v>
      </c>
      <c r="J28" s="448"/>
      <c r="K28" s="445"/>
      <c r="M28" s="448"/>
      <c r="N28" s="445"/>
      <c r="O28" s="447" t="str">
        <f>B28</f>
        <v>STRUCTURES</v>
      </c>
      <c r="P28" s="448"/>
      <c r="Q28" s="445"/>
      <c r="S28" s="448"/>
      <c r="T28" s="445"/>
      <c r="V28" s="386" t="str">
        <f>B28</f>
        <v>STRUCTURES</v>
      </c>
    </row>
    <row r="29" spans="2:23" s="386" customFormat="1" ht="12.6" customHeight="1">
      <c r="B29" s="386" t="s">
        <v>1532</v>
      </c>
      <c r="G29" s="1451">
        <f>5547500+168</f>
        <v>5547668</v>
      </c>
      <c r="H29" s="1452"/>
      <c r="J29" s="1451">
        <v>5547668</v>
      </c>
      <c r="K29" s="1452"/>
      <c r="L29" s="797"/>
      <c r="M29" s="1451"/>
      <c r="N29" s="1452"/>
      <c r="P29" s="1451"/>
      <c r="Q29" s="1452"/>
      <c r="S29" s="1451"/>
      <c r="T29" s="1452"/>
      <c r="V29" s="1481"/>
      <c r="W29" s="1482"/>
    </row>
    <row r="30" spans="2:23" s="386" customFormat="1" ht="12.6" customHeight="1">
      <c r="B30" s="386" t="s">
        <v>1533</v>
      </c>
      <c r="G30" s="1451"/>
      <c r="H30" s="1452"/>
      <c r="J30" s="1451"/>
      <c r="K30" s="1452"/>
      <c r="L30" s="797"/>
      <c r="M30" s="1451"/>
      <c r="N30" s="1452"/>
      <c r="P30" s="1451"/>
      <c r="Q30" s="1452"/>
      <c r="S30" s="1451"/>
      <c r="T30" s="1452"/>
      <c r="V30" s="1483"/>
      <c r="W30" s="1484"/>
    </row>
    <row r="31" spans="2:23" ht="12.6" customHeight="1" thickBot="1">
      <c r="B31" s="386" t="s">
        <v>1534</v>
      </c>
      <c r="G31" s="1451"/>
      <c r="H31" s="1452"/>
      <c r="I31" s="386"/>
      <c r="J31" s="1451"/>
      <c r="K31" s="1452"/>
      <c r="L31" s="797"/>
      <c r="M31" s="1451"/>
      <c r="N31" s="1452"/>
      <c r="O31" s="386"/>
      <c r="P31" s="1451"/>
      <c r="Q31" s="1452"/>
      <c r="R31" s="386"/>
      <c r="S31" s="1451"/>
      <c r="T31" s="1452"/>
      <c r="V31" s="1483"/>
      <c r="W31" s="1484"/>
    </row>
    <row r="32" spans="2:23" s="386" customFormat="1" ht="12.6" customHeight="1" thickTop="1">
      <c r="C32" s="996"/>
      <c r="D32" s="996"/>
      <c r="E32" s="799"/>
      <c r="F32" s="446" t="s">
        <v>209</v>
      </c>
      <c r="G32" s="935">
        <f>SUM(G29:H31)</f>
        <v>5547668</v>
      </c>
      <c r="H32" s="939"/>
      <c r="J32" s="935">
        <f>SUM(J29:K31)</f>
        <v>5547668</v>
      </c>
      <c r="K32" s="939"/>
      <c r="L32" s="797"/>
      <c r="M32" s="935">
        <f>SUM(M29:N31)</f>
        <v>0</v>
      </c>
      <c r="N32" s="939"/>
      <c r="P32" s="935">
        <f>SUM(P29:Q31)</f>
        <v>0</v>
      </c>
      <c r="Q32" s="939"/>
      <c r="S32" s="935">
        <f>SUM(S29:T31)</f>
        <v>0</v>
      </c>
      <c r="T32" s="939"/>
      <c r="V32" s="1487"/>
      <c r="W32" s="1488"/>
    </row>
    <row r="33" spans="1:23" s="386" customFormat="1" ht="13.15" customHeight="1">
      <c r="B33" s="389" t="s">
        <v>3075</v>
      </c>
      <c r="E33" s="721">
        <f>SUM(E34:E36)</f>
        <v>0.14000000000000001</v>
      </c>
      <c r="F33" s="787"/>
      <c r="G33" s="472"/>
      <c r="H33" s="406"/>
      <c r="I33" s="406"/>
      <c r="J33" s="448"/>
      <c r="K33" s="445"/>
      <c r="M33" s="448"/>
      <c r="N33" s="445"/>
      <c r="O33" s="447" t="str">
        <f>B33</f>
        <v>CONTRACTOR SERVICES</v>
      </c>
      <c r="P33" s="448"/>
      <c r="Q33" s="445"/>
      <c r="S33" s="448"/>
      <c r="T33" s="445"/>
      <c r="V33" s="386" t="str">
        <f>B33</f>
        <v>CONTRACTOR SERVICES</v>
      </c>
    </row>
    <row r="34" spans="1:23" s="386" customFormat="1" ht="12.6" customHeight="1">
      <c r="B34" s="386" t="s">
        <v>3076</v>
      </c>
      <c r="E34" s="450">
        <f>'DCA Underwriting Assumptions'!$R$36</f>
        <v>0.06</v>
      </c>
      <c r="F34" s="521">
        <f>E34*($G$27+$G$32)</f>
        <v>377440.07999999996</v>
      </c>
      <c r="G34" s="1451">
        <v>377440</v>
      </c>
      <c r="H34" s="1452"/>
      <c r="I34" s="406"/>
      <c r="J34" s="1451">
        <v>377440</v>
      </c>
      <c r="K34" s="1452"/>
      <c r="L34" s="797"/>
      <c r="M34" s="1451"/>
      <c r="N34" s="1452"/>
      <c r="P34" s="1451"/>
      <c r="Q34" s="1452"/>
      <c r="S34" s="1451"/>
      <c r="T34" s="1452"/>
      <c r="V34" s="1481"/>
      <c r="W34" s="1482"/>
    </row>
    <row r="35" spans="1:23" s="386" customFormat="1" ht="12.6" customHeight="1">
      <c r="B35" s="386" t="s">
        <v>3751</v>
      </c>
      <c r="E35" s="520">
        <f>'DCA Underwriting Assumptions'!$R$37</f>
        <v>0.02</v>
      </c>
      <c r="F35" s="521">
        <f>E35*($G$27+$G$32)</f>
        <v>125813.36</v>
      </c>
      <c r="G35" s="1451">
        <v>125813</v>
      </c>
      <c r="H35" s="1452"/>
      <c r="I35" s="406"/>
      <c r="J35" s="1451">
        <v>125813</v>
      </c>
      <c r="K35" s="1452"/>
      <c r="L35" s="797"/>
      <c r="M35" s="1451"/>
      <c r="N35" s="1452"/>
      <c r="P35" s="1451"/>
      <c r="Q35" s="1452"/>
      <c r="S35" s="1451"/>
      <c r="T35" s="1452"/>
      <c r="V35" s="1483"/>
      <c r="W35" s="1484"/>
    </row>
    <row r="36" spans="1:23" s="386" customFormat="1" ht="12.6" customHeight="1" thickBot="1">
      <c r="B36" s="386" t="s">
        <v>3752</v>
      </c>
      <c r="E36" s="520">
        <f>'DCA Underwriting Assumptions'!$R$38</f>
        <v>0.06</v>
      </c>
      <c r="F36" s="521">
        <f>E36*($G$27+$G$32)</f>
        <v>377440.07999999996</v>
      </c>
      <c r="G36" s="1451">
        <f>377440-58000</f>
        <v>319440</v>
      </c>
      <c r="H36" s="1452"/>
      <c r="I36" s="406"/>
      <c r="J36" s="1451">
        <v>319440</v>
      </c>
      <c r="K36" s="1452"/>
      <c r="L36" s="797"/>
      <c r="M36" s="1451"/>
      <c r="N36" s="1452"/>
      <c r="P36" s="1451"/>
      <c r="Q36" s="1452"/>
      <c r="S36" s="1451"/>
      <c r="T36" s="1452"/>
      <c r="V36" s="1483"/>
      <c r="W36" s="1484"/>
    </row>
    <row r="37" spans="1:23" s="386" customFormat="1" ht="12.6" customHeight="1" thickTop="1">
      <c r="B37" s="386" t="s">
        <v>2753</v>
      </c>
      <c r="D37" s="453"/>
      <c r="E37" s="787"/>
      <c r="F37" s="522" t="s">
        <v>209</v>
      </c>
      <c r="G37" s="935">
        <f>SUM(G34:H36)</f>
        <v>822693</v>
      </c>
      <c r="H37" s="939"/>
      <c r="J37" s="935">
        <f>SUM(J34:K36)</f>
        <v>822693</v>
      </c>
      <c r="K37" s="939"/>
      <c r="L37" s="448"/>
      <c r="M37" s="935">
        <f>SUM(M34:N36)</f>
        <v>0</v>
      </c>
      <c r="N37" s="939"/>
      <c r="P37" s="935">
        <f>SUM(P34:Q36)</f>
        <v>0</v>
      </c>
      <c r="Q37" s="939"/>
      <c r="S37" s="935">
        <f>SUM(S34:T36)</f>
        <v>0</v>
      </c>
      <c r="T37" s="939"/>
      <c r="V37" s="1487"/>
      <c r="W37" s="1488"/>
    </row>
    <row r="38" spans="1:23" s="386" customFormat="1" ht="3" customHeight="1">
      <c r="A38" s="687"/>
      <c r="B38" s="687"/>
      <c r="C38" s="687"/>
      <c r="D38" s="687"/>
      <c r="E38" s="687"/>
      <c r="F38" s="687"/>
      <c r="G38" s="687"/>
      <c r="H38" s="687"/>
      <c r="I38" s="687"/>
      <c r="J38" s="687"/>
      <c r="K38" s="687"/>
      <c r="L38" s="687"/>
      <c r="M38" s="687"/>
      <c r="N38" s="687"/>
      <c r="O38" s="687"/>
      <c r="P38" s="687"/>
      <c r="Q38" s="687"/>
      <c r="R38" s="687"/>
      <c r="S38" s="687"/>
      <c r="T38" s="687"/>
    </row>
    <row r="39" spans="1:23" s="386" customFormat="1" ht="13.15" customHeight="1">
      <c r="B39" s="389" t="s">
        <v>3756</v>
      </c>
      <c r="J39" s="448"/>
      <c r="K39" s="445"/>
      <c r="M39" s="448"/>
      <c r="N39" s="445"/>
      <c r="O39" s="447" t="str">
        <f>B39</f>
        <v>OTHER CONSTRUCTION HARD COSTS (Non-GC work scope items done by Owner)</v>
      </c>
      <c r="P39" s="448"/>
      <c r="Q39" s="445"/>
      <c r="S39" s="448"/>
      <c r="T39" s="445"/>
      <c r="V39" s="386" t="str">
        <f>B39</f>
        <v>OTHER CONSTRUCTION HARD COSTS (Non-GC work scope items done by Owner)</v>
      </c>
    </row>
    <row r="40" spans="1:23" ht="12.6" customHeight="1">
      <c r="B40" s="386" t="s">
        <v>1046</v>
      </c>
      <c r="C40" s="1300" t="s">
        <v>266</v>
      </c>
      <c r="D40" s="1491"/>
      <c r="E40" s="1491"/>
      <c r="F40" s="1492"/>
      <c r="G40" s="1451"/>
      <c r="H40" s="1452"/>
      <c r="I40" s="386"/>
      <c r="J40" s="1451"/>
      <c r="K40" s="1452"/>
      <c r="L40" s="797"/>
      <c r="M40" s="1451"/>
      <c r="N40" s="1452"/>
      <c r="O40" s="386"/>
      <c r="P40" s="1451"/>
      <c r="Q40" s="1452"/>
      <c r="R40" s="386"/>
      <c r="S40" s="1451"/>
      <c r="T40" s="1452"/>
      <c r="V40" s="1481"/>
      <c r="W40" s="1482"/>
    </row>
    <row r="41" spans="1:23" s="386" customFormat="1" ht="6" customHeight="1">
      <c r="A41" s="687"/>
      <c r="B41" s="687"/>
      <c r="C41" s="687"/>
      <c r="D41" s="523"/>
      <c r="E41" s="523"/>
      <c r="F41" s="523"/>
      <c r="G41" s="687"/>
      <c r="H41" s="687"/>
      <c r="I41" s="687"/>
      <c r="J41" s="687"/>
      <c r="K41" s="687"/>
      <c r="L41" s="687"/>
      <c r="M41" s="687"/>
      <c r="N41" s="687"/>
      <c r="O41" s="687"/>
      <c r="P41" s="687"/>
      <c r="Q41" s="687"/>
      <c r="R41" s="687"/>
      <c r="S41" s="687"/>
      <c r="T41" s="687"/>
      <c r="V41" s="1483"/>
      <c r="W41" s="1484"/>
    </row>
    <row r="42" spans="1:23" s="386" customFormat="1" ht="12.6" customHeight="1">
      <c r="B42" s="454" t="s">
        <v>3765</v>
      </c>
      <c r="C42" s="455"/>
      <c r="D42" s="969" t="s">
        <v>3764</v>
      </c>
      <c r="E42" s="456">
        <f>B43/'Part VI-Revenues &amp; Expenses'!$M$60</f>
        <v>88917.012499999997</v>
      </c>
      <c r="F42" s="688" t="s">
        <v>3730</v>
      </c>
      <c r="G42" s="964">
        <f>B43/'Part VI-Revenues &amp; Expenses'!$M$62</f>
        <v>88917.012499999997</v>
      </c>
      <c r="H42" s="964"/>
      <c r="I42" s="690"/>
      <c r="J42" s="457" t="s">
        <v>1840</v>
      </c>
      <c r="V42" s="1483"/>
      <c r="W42" s="1484"/>
    </row>
    <row r="43" spans="1:23" s="386" customFormat="1" ht="12.6" customHeight="1">
      <c r="B43" s="956">
        <f>G27+G32+G37+G40</f>
        <v>7113361</v>
      </c>
      <c r="C43" s="957"/>
      <c r="D43" s="970"/>
      <c r="E43" s="800">
        <f>B43/'Part VI-Revenues &amp; Expenses'!$M$98</f>
        <v>113.2700796178344</v>
      </c>
      <c r="F43" s="689" t="s">
        <v>3731</v>
      </c>
      <c r="G43" s="968">
        <f>B43/'Part VI-Revenues &amp; Expenses'!$M$100</f>
        <v>113.2700796178344</v>
      </c>
      <c r="H43" s="968"/>
      <c r="I43" s="792"/>
      <c r="J43" s="458" t="s">
        <v>1151</v>
      </c>
      <c r="K43" s="445"/>
      <c r="L43" s="459"/>
      <c r="M43" s="445"/>
      <c r="N43" s="797"/>
      <c r="P43" s="445"/>
      <c r="Q43" s="797"/>
      <c r="S43" s="445"/>
      <c r="T43" s="797"/>
      <c r="V43" s="1487"/>
      <c r="W43" s="1488"/>
    </row>
    <row r="44" spans="1:23" s="386" customFormat="1" ht="3" customHeight="1">
      <c r="A44" s="687"/>
      <c r="B44" s="687"/>
      <c r="C44" s="687"/>
      <c r="D44" s="687"/>
      <c r="E44" s="687"/>
      <c r="F44" s="687"/>
      <c r="G44" s="687"/>
      <c r="H44" s="687"/>
      <c r="I44" s="687"/>
      <c r="J44" s="687"/>
      <c r="K44" s="687"/>
      <c r="L44" s="687"/>
      <c r="M44" s="687"/>
      <c r="N44" s="687"/>
      <c r="O44" s="687"/>
      <c r="P44" s="687"/>
      <c r="Q44" s="687"/>
      <c r="R44" s="687"/>
      <c r="S44" s="687"/>
      <c r="T44" s="687"/>
    </row>
    <row r="45" spans="1:23" s="386" customFormat="1" ht="13.15" customHeight="1">
      <c r="B45" s="389" t="s">
        <v>1535</v>
      </c>
      <c r="J45" s="448"/>
      <c r="K45" s="445"/>
      <c r="M45" s="448"/>
      <c r="N45" s="445"/>
      <c r="O45" s="447" t="str">
        <f>B45</f>
        <v>CONSTRUCTION CONTINGENCY</v>
      </c>
      <c r="P45" s="448"/>
      <c r="Q45" s="445"/>
      <c r="S45" s="448"/>
      <c r="T45" s="445"/>
      <c r="V45" s="386" t="str">
        <f>B45</f>
        <v>CONSTRUCTION CONTINGENCY</v>
      </c>
    </row>
    <row r="46" spans="1:23" ht="12.6" customHeight="1">
      <c r="B46" s="386" t="s">
        <v>2672</v>
      </c>
      <c r="F46" s="526">
        <f>G46/$B$43</f>
        <v>5.0407957644775798E-2</v>
      </c>
      <c r="G46" s="1451">
        <v>358570</v>
      </c>
      <c r="H46" s="1452"/>
      <c r="I46" s="386"/>
      <c r="J46" s="1451">
        <v>358570</v>
      </c>
      <c r="K46" s="1452"/>
      <c r="L46" s="797"/>
      <c r="M46" s="1451"/>
      <c r="N46" s="1452"/>
      <c r="O46" s="386"/>
      <c r="P46" s="1451"/>
      <c r="Q46" s="1452"/>
      <c r="R46" s="386"/>
      <c r="S46" s="1451"/>
      <c r="T46" s="1452"/>
      <c r="V46" s="1493"/>
      <c r="W46" s="1494"/>
    </row>
    <row r="47" spans="1:23" s="386" customFormat="1" ht="3" customHeight="1">
      <c r="A47" s="687"/>
      <c r="B47" s="687"/>
      <c r="C47" s="687"/>
      <c r="D47" s="687"/>
      <c r="E47" s="687"/>
      <c r="F47" s="687"/>
      <c r="G47" s="687"/>
      <c r="H47" s="687"/>
      <c r="I47" s="687"/>
      <c r="J47" s="687"/>
      <c r="K47" s="687"/>
      <c r="L47" s="687"/>
      <c r="M47" s="687"/>
      <c r="N47" s="687"/>
      <c r="O47" s="687"/>
      <c r="P47" s="687"/>
      <c r="Q47" s="687"/>
      <c r="R47" s="687"/>
      <c r="S47" s="687"/>
      <c r="T47" s="687"/>
    </row>
    <row r="48" spans="1:23" s="386" customFormat="1" ht="3" customHeight="1" thickBot="1">
      <c r="A48" s="687"/>
      <c r="B48" s="687"/>
      <c r="C48" s="687"/>
      <c r="D48" s="687"/>
      <c r="E48" s="687"/>
      <c r="F48" s="687"/>
      <c r="G48" s="687"/>
      <c r="H48" s="687"/>
      <c r="I48" s="687"/>
      <c r="J48" s="687"/>
      <c r="K48" s="687"/>
      <c r="L48" s="687"/>
      <c r="M48" s="687"/>
      <c r="N48" s="687"/>
      <c r="O48" s="687"/>
      <c r="P48" s="687"/>
      <c r="Q48" s="687"/>
      <c r="R48" s="687"/>
      <c r="S48" s="687"/>
      <c r="T48" s="687"/>
    </row>
    <row r="49" spans="1:23" s="386" customFormat="1" ht="18.75" customHeight="1" thickBot="1">
      <c r="A49" s="566" t="s">
        <v>796</v>
      </c>
      <c r="B49" s="566" t="s">
        <v>1296</v>
      </c>
      <c r="H49" s="787"/>
      <c r="I49" s="787"/>
      <c r="J49" s="941" t="s">
        <v>299</v>
      </c>
      <c r="K49" s="942"/>
      <c r="L49" s="445"/>
      <c r="M49" s="960" t="s">
        <v>623</v>
      </c>
      <c r="N49" s="961"/>
      <c r="P49" s="941" t="s">
        <v>300</v>
      </c>
      <c r="Q49" s="942"/>
      <c r="S49" s="941" t="s">
        <v>301</v>
      </c>
      <c r="T49" s="942"/>
      <c r="V49" s="567" t="str">
        <f>B49</f>
        <v>DEVELOPMENT BUDGET</v>
      </c>
    </row>
    <row r="50" spans="1:23" s="386" customFormat="1" ht="18.75" customHeight="1" thickBot="1">
      <c r="G50" s="954" t="s">
        <v>107</v>
      </c>
      <c r="H50" s="955"/>
      <c r="J50" s="943"/>
      <c r="K50" s="944"/>
      <c r="L50" s="445"/>
      <c r="M50" s="962"/>
      <c r="N50" s="963"/>
      <c r="P50" s="943"/>
      <c r="Q50" s="944"/>
      <c r="S50" s="943"/>
      <c r="T50" s="944"/>
      <c r="V50" s="938" t="s">
        <v>3547</v>
      </c>
      <c r="W50" s="938"/>
    </row>
    <row r="51" spans="1:23" s="386" customFormat="1" ht="12" customHeight="1">
      <c r="B51" s="389" t="s">
        <v>915</v>
      </c>
      <c r="J51" s="448"/>
      <c r="K51" s="445"/>
      <c r="M51" s="448"/>
      <c r="N51" s="445"/>
      <c r="O51" s="447" t="str">
        <f>B51</f>
        <v>CONSTRUCTION PERIOD FINANCING</v>
      </c>
      <c r="P51" s="448"/>
      <c r="Q51" s="445"/>
      <c r="S51" s="448"/>
      <c r="T51" s="445"/>
      <c r="V51" s="386" t="str">
        <f>B51</f>
        <v>CONSTRUCTION PERIOD FINANCING</v>
      </c>
    </row>
    <row r="52" spans="1:23" s="386" customFormat="1" ht="12" customHeight="1">
      <c r="B52" s="386" t="s">
        <v>3078</v>
      </c>
      <c r="G52" s="1451">
        <v>19000</v>
      </c>
      <c r="H52" s="1452"/>
      <c r="J52" s="1451">
        <v>19000</v>
      </c>
      <c r="K52" s="1452"/>
      <c r="L52" s="797"/>
      <c r="M52" s="1451"/>
      <c r="N52" s="1452"/>
      <c r="P52" s="1451"/>
      <c r="Q52" s="1452"/>
      <c r="S52" s="1451"/>
      <c r="T52" s="1452"/>
      <c r="V52" s="1481"/>
      <c r="W52" s="1482"/>
    </row>
    <row r="53" spans="1:23" s="386" customFormat="1" ht="12" customHeight="1">
      <c r="B53" s="386" t="s">
        <v>3079</v>
      </c>
      <c r="G53" s="1451">
        <v>114000</v>
      </c>
      <c r="H53" s="1452"/>
      <c r="J53" s="1451">
        <v>114000</v>
      </c>
      <c r="K53" s="1452"/>
      <c r="L53" s="797"/>
      <c r="M53" s="1451"/>
      <c r="N53" s="1452"/>
      <c r="P53" s="1451"/>
      <c r="Q53" s="1452"/>
      <c r="S53" s="1451">
        <v>0</v>
      </c>
      <c r="T53" s="1452"/>
      <c r="V53" s="1483"/>
      <c r="W53" s="1484"/>
    </row>
    <row r="54" spans="1:23" s="386" customFormat="1" ht="12" customHeight="1">
      <c r="B54" s="386" t="s">
        <v>3080</v>
      </c>
      <c r="G54" s="1451">
        <v>24000</v>
      </c>
      <c r="H54" s="1452"/>
      <c r="J54" s="1451">
        <v>24000</v>
      </c>
      <c r="K54" s="1452"/>
      <c r="L54" s="797"/>
      <c r="M54" s="1451"/>
      <c r="N54" s="1452"/>
      <c r="P54" s="1451"/>
      <c r="Q54" s="1452"/>
      <c r="S54" s="1451"/>
      <c r="T54" s="1452"/>
      <c r="V54" s="1483"/>
      <c r="W54" s="1484"/>
    </row>
    <row r="55" spans="1:23" s="386" customFormat="1" ht="12" customHeight="1">
      <c r="B55" s="386" t="s">
        <v>3579</v>
      </c>
      <c r="G55" s="1451">
        <f>1000*14</f>
        <v>14000</v>
      </c>
      <c r="H55" s="1452"/>
      <c r="J55" s="1451">
        <f>1000*14</f>
        <v>14000</v>
      </c>
      <c r="K55" s="1452"/>
      <c r="L55" s="797"/>
      <c r="M55" s="1451"/>
      <c r="N55" s="1452"/>
      <c r="P55" s="1451"/>
      <c r="Q55" s="1452"/>
      <c r="S55" s="1451"/>
      <c r="T55" s="1452"/>
      <c r="V55" s="1483"/>
      <c r="W55" s="1484"/>
    </row>
    <row r="56" spans="1:23" s="386" customFormat="1" ht="12" customHeight="1">
      <c r="B56" s="386" t="s">
        <v>916</v>
      </c>
      <c r="G56" s="1451"/>
      <c r="H56" s="1452"/>
      <c r="J56" s="1451"/>
      <c r="K56" s="1452"/>
      <c r="L56" s="797"/>
      <c r="M56" s="1451"/>
      <c r="N56" s="1452"/>
      <c r="P56" s="1451"/>
      <c r="Q56" s="1452"/>
      <c r="S56" s="1451"/>
      <c r="T56" s="1452"/>
      <c r="V56" s="1483"/>
      <c r="W56" s="1484"/>
    </row>
    <row r="57" spans="1:23" s="386" customFormat="1" ht="12" customHeight="1">
      <c r="B57" s="386" t="s">
        <v>3081</v>
      </c>
      <c r="G57" s="1451">
        <v>12500</v>
      </c>
      <c r="H57" s="1452"/>
      <c r="J57" s="1451">
        <v>12500</v>
      </c>
      <c r="K57" s="1452"/>
      <c r="L57" s="797"/>
      <c r="M57" s="1451"/>
      <c r="N57" s="1452"/>
      <c r="P57" s="1451"/>
      <c r="Q57" s="1452"/>
      <c r="S57" s="1451"/>
      <c r="T57" s="1452"/>
      <c r="V57" s="1483"/>
      <c r="W57" s="1484"/>
    </row>
    <row r="58" spans="1:23" s="386" customFormat="1" ht="12" customHeight="1">
      <c r="B58" s="386" t="s">
        <v>1701</v>
      </c>
      <c r="G58" s="1451"/>
      <c r="H58" s="1452"/>
      <c r="J58" s="1451"/>
      <c r="K58" s="1452"/>
      <c r="L58" s="797"/>
      <c r="M58" s="1451"/>
      <c r="N58" s="1452"/>
      <c r="P58" s="1451"/>
      <c r="Q58" s="1452"/>
      <c r="S58" s="1451"/>
      <c r="T58" s="1452"/>
      <c r="V58" s="1483"/>
      <c r="W58" s="1484"/>
    </row>
    <row r="59" spans="1:23" s="386" customFormat="1" ht="12" customHeight="1">
      <c r="B59" s="386" t="s">
        <v>309</v>
      </c>
      <c r="G59" s="1451"/>
      <c r="H59" s="1452"/>
      <c r="J59" s="1451"/>
      <c r="K59" s="1452"/>
      <c r="L59" s="797"/>
      <c r="M59" s="1451"/>
      <c r="N59" s="1452"/>
      <c r="P59" s="1451"/>
      <c r="Q59" s="1452"/>
      <c r="S59" s="1451"/>
      <c r="T59" s="1452"/>
      <c r="V59" s="1483"/>
      <c r="W59" s="1484"/>
    </row>
    <row r="60" spans="1:23" s="386" customFormat="1" ht="12" customHeight="1">
      <c r="B60" s="452" t="s">
        <v>1566</v>
      </c>
      <c r="D60" s="450"/>
      <c r="E60" s="450"/>
      <c r="F60" s="451"/>
      <c r="G60" s="1451">
        <v>58000</v>
      </c>
      <c r="H60" s="1452"/>
      <c r="I60" s="406"/>
      <c r="J60" s="1451">
        <v>58000</v>
      </c>
      <c r="K60" s="1452"/>
      <c r="L60" s="797"/>
      <c r="M60" s="1451"/>
      <c r="N60" s="1452"/>
      <c r="P60" s="1451"/>
      <c r="Q60" s="1452"/>
      <c r="S60" s="1451"/>
      <c r="T60" s="1452"/>
      <c r="V60" s="1483"/>
      <c r="W60" s="1484"/>
    </row>
    <row r="61" spans="1:23" s="386" customFormat="1" ht="12" customHeight="1">
      <c r="A61" s="480" t="str">
        <f>IF(AND(G61&gt;0,OR(C61="",C61="&lt;Enter detailed description here; use Comments section if needed&gt;")),"X","")</f>
        <v/>
      </c>
      <c r="B61" s="386" t="s">
        <v>1046</v>
      </c>
      <c r="C61" s="1300" t="s">
        <v>3180</v>
      </c>
      <c r="D61" s="1300"/>
      <c r="E61" s="1300"/>
      <c r="F61" s="1301"/>
      <c r="G61" s="1451"/>
      <c r="H61" s="1452"/>
      <c r="J61" s="1451"/>
      <c r="K61" s="1452"/>
      <c r="L61" s="797"/>
      <c r="M61" s="1451"/>
      <c r="N61" s="1452"/>
      <c r="P61" s="1451"/>
      <c r="Q61" s="1452"/>
      <c r="S61" s="1451"/>
      <c r="T61" s="1452"/>
      <c r="U61" s="479" t="str">
        <f>IF(AND(G61&gt;0,OR(C61="",C61="&lt;Enter detailed description here; use Comments section if needed&gt;")),"NO DESCRIPTION PROVIDED - please enter detailed description in Other box at left; use Comments section below if needed.","")</f>
        <v/>
      </c>
      <c r="V61" s="1483"/>
      <c r="W61" s="1484"/>
    </row>
    <row r="62" spans="1:23" s="386" customFormat="1" ht="12" customHeight="1" thickBot="1">
      <c r="A62" s="480" t="str">
        <f>IF(AND(G62&gt;0,OR(C62="",C62="&lt;Enter detailed description here; use Comments section if needed&gt;")),"X","")</f>
        <v/>
      </c>
      <c r="B62" s="386" t="s">
        <v>1046</v>
      </c>
      <c r="C62" s="1300" t="s">
        <v>3180</v>
      </c>
      <c r="D62" s="1300"/>
      <c r="E62" s="1300"/>
      <c r="F62" s="1301"/>
      <c r="G62" s="1451"/>
      <c r="H62" s="1452"/>
      <c r="J62" s="1451"/>
      <c r="K62" s="1452"/>
      <c r="L62" s="797"/>
      <c r="M62" s="1451"/>
      <c r="N62" s="1452"/>
      <c r="P62" s="1451"/>
      <c r="Q62" s="1452"/>
      <c r="S62" s="1451"/>
      <c r="T62" s="1452"/>
      <c r="U62" s="479" t="str">
        <f>IF(AND(G62&gt;0,OR(C62="",C62="&lt;Enter detailed description here; use Comments section if needed&gt;")),"NO DESCRIPTION PROVIDED - please enter detailed description in Other box at left; use Comments section below if needed.","")</f>
        <v/>
      </c>
      <c r="V62" s="1483"/>
      <c r="W62" s="1484"/>
    </row>
    <row r="63" spans="1:23" s="386" customFormat="1" ht="12" customHeight="1" thickTop="1">
      <c r="F63" s="446" t="s">
        <v>209</v>
      </c>
      <c r="G63" s="935">
        <f>SUM(G52:H62)</f>
        <v>241500</v>
      </c>
      <c r="H63" s="939"/>
      <c r="J63" s="935">
        <f>SUM(J52:K62)</f>
        <v>241500</v>
      </c>
      <c r="K63" s="939"/>
      <c r="L63" s="448"/>
      <c r="M63" s="935">
        <f>SUM(M52:N62)</f>
        <v>0</v>
      </c>
      <c r="N63" s="939"/>
      <c r="P63" s="935">
        <f>SUM(P52:Q62)</f>
        <v>0</v>
      </c>
      <c r="Q63" s="939"/>
      <c r="S63" s="935">
        <f>SUM(S52:T62)</f>
        <v>0</v>
      </c>
      <c r="T63" s="939"/>
      <c r="V63" s="1487"/>
      <c r="W63" s="1488"/>
    </row>
    <row r="64" spans="1:23" s="386" customFormat="1" ht="12" customHeight="1">
      <c r="B64" s="389" t="s">
        <v>608</v>
      </c>
      <c r="G64" s="445"/>
      <c r="H64" s="445"/>
      <c r="J64" s="445"/>
      <c r="K64" s="445"/>
      <c r="M64" s="445"/>
      <c r="N64" s="445"/>
      <c r="O64" s="447" t="str">
        <f>B64</f>
        <v>PROFESSIONAL SERVICES</v>
      </c>
      <c r="P64" s="445"/>
      <c r="Q64" s="445"/>
      <c r="S64" s="445"/>
      <c r="T64" s="445"/>
      <c r="V64" s="386" t="str">
        <f>B64</f>
        <v>PROFESSIONAL SERVICES</v>
      </c>
    </row>
    <row r="65" spans="1:23" s="386" customFormat="1" ht="12" customHeight="1">
      <c r="B65" s="386" t="s">
        <v>609</v>
      </c>
      <c r="G65" s="1451">
        <v>265000</v>
      </c>
      <c r="H65" s="1452"/>
      <c r="J65" s="1451">
        <v>265000</v>
      </c>
      <c r="K65" s="1452"/>
      <c r="L65" s="797"/>
      <c r="M65" s="1451"/>
      <c r="N65" s="1452"/>
      <c r="P65" s="1451"/>
      <c r="Q65" s="1452"/>
      <c r="S65" s="1451"/>
      <c r="T65" s="1452"/>
      <c r="V65" s="1481"/>
      <c r="W65" s="1482"/>
    </row>
    <row r="66" spans="1:23" s="386" customFormat="1" ht="12" customHeight="1">
      <c r="B66" s="386" t="s">
        <v>610</v>
      </c>
      <c r="G66" s="1451">
        <v>30000</v>
      </c>
      <c r="H66" s="1452"/>
      <c r="J66" s="1451">
        <v>30000</v>
      </c>
      <c r="K66" s="1452"/>
      <c r="L66" s="797"/>
      <c r="M66" s="1451"/>
      <c r="N66" s="1452"/>
      <c r="P66" s="1451"/>
      <c r="Q66" s="1452"/>
      <c r="S66" s="1451"/>
      <c r="T66" s="1452"/>
      <c r="V66" s="1483"/>
      <c r="W66" s="1484"/>
    </row>
    <row r="67" spans="1:23" s="386" customFormat="1" ht="12" customHeight="1">
      <c r="B67" s="386" t="s">
        <v>1537</v>
      </c>
      <c r="F67" s="386" t="s">
        <v>3951</v>
      </c>
      <c r="G67" s="1451"/>
      <c r="H67" s="1452"/>
      <c r="J67" s="1451"/>
      <c r="K67" s="1452"/>
      <c r="L67" s="797"/>
      <c r="M67" s="1451"/>
      <c r="N67" s="1452"/>
      <c r="P67" s="1451"/>
      <c r="Q67" s="1452"/>
      <c r="S67" s="1451"/>
      <c r="T67" s="1452"/>
      <c r="V67" s="1483"/>
      <c r="W67" s="1484"/>
    </row>
    <row r="68" spans="1:23" s="386" customFormat="1" ht="12" customHeight="1">
      <c r="B68" s="386" t="s">
        <v>1538</v>
      </c>
      <c r="G68" s="1451">
        <v>15000</v>
      </c>
      <c r="H68" s="1452"/>
      <c r="J68" s="1451">
        <v>15000</v>
      </c>
      <c r="K68" s="1452"/>
      <c r="L68" s="797"/>
      <c r="M68" s="1451"/>
      <c r="N68" s="1452"/>
      <c r="P68" s="1451"/>
      <c r="Q68" s="1452"/>
      <c r="S68" s="1451"/>
      <c r="T68" s="1452"/>
      <c r="V68" s="1483"/>
      <c r="W68" s="1484"/>
    </row>
    <row r="69" spans="1:23" s="386" customFormat="1" ht="12" customHeight="1">
      <c r="B69" s="386" t="s">
        <v>1539</v>
      </c>
      <c r="G69" s="1451">
        <v>7500</v>
      </c>
      <c r="H69" s="1452"/>
      <c r="J69" s="1451">
        <v>7500</v>
      </c>
      <c r="K69" s="1452"/>
      <c r="L69" s="797"/>
      <c r="M69" s="1451"/>
      <c r="N69" s="1452"/>
      <c r="P69" s="1451"/>
      <c r="Q69" s="1452"/>
      <c r="S69" s="1451"/>
      <c r="T69" s="1452"/>
      <c r="V69" s="1483"/>
      <c r="W69" s="1484"/>
    </row>
    <row r="70" spans="1:23" s="386" customFormat="1" ht="12" customHeight="1">
      <c r="B70" s="386" t="s">
        <v>1540</v>
      </c>
      <c r="G70" s="1451"/>
      <c r="H70" s="1452"/>
      <c r="J70" s="1451"/>
      <c r="K70" s="1452"/>
      <c r="L70" s="797"/>
      <c r="M70" s="1451"/>
      <c r="N70" s="1452"/>
      <c r="P70" s="1451"/>
      <c r="Q70" s="1452"/>
      <c r="S70" s="1451"/>
      <c r="T70" s="1452"/>
      <c r="V70" s="1483"/>
      <c r="W70" s="1484"/>
    </row>
    <row r="71" spans="1:23" s="386" customFormat="1" ht="12" customHeight="1">
      <c r="B71" s="386" t="s">
        <v>611</v>
      </c>
      <c r="G71" s="1451">
        <v>60000</v>
      </c>
      <c r="H71" s="1452"/>
      <c r="J71" s="1451">
        <v>60000</v>
      </c>
      <c r="K71" s="1452"/>
      <c r="L71" s="797"/>
      <c r="M71" s="1451"/>
      <c r="N71" s="1452"/>
      <c r="P71" s="1451"/>
      <c r="Q71" s="1452"/>
      <c r="S71" s="1451"/>
      <c r="T71" s="1452"/>
      <c r="V71" s="1483"/>
      <c r="W71" s="1484"/>
    </row>
    <row r="72" spans="1:23" s="386" customFormat="1" ht="12" customHeight="1">
      <c r="B72" s="386" t="s">
        <v>612</v>
      </c>
      <c r="G72" s="1451">
        <v>85000</v>
      </c>
      <c r="H72" s="1452"/>
      <c r="J72" s="1451">
        <v>85000</v>
      </c>
      <c r="K72" s="1452"/>
      <c r="L72" s="797"/>
      <c r="M72" s="1451"/>
      <c r="N72" s="1452"/>
      <c r="P72" s="1451"/>
      <c r="Q72" s="1452"/>
      <c r="S72" s="1451">
        <v>0</v>
      </c>
      <c r="T72" s="1452"/>
      <c r="V72" s="1483"/>
      <c r="W72" s="1484"/>
    </row>
    <row r="73" spans="1:23" s="386" customFormat="1" ht="12" customHeight="1">
      <c r="B73" s="386" t="s">
        <v>2763</v>
      </c>
      <c r="G73" s="1451">
        <v>20000</v>
      </c>
      <c r="H73" s="1452"/>
      <c r="J73" s="1451">
        <v>12000</v>
      </c>
      <c r="K73" s="1452"/>
      <c r="L73" s="797"/>
      <c r="M73" s="1451"/>
      <c r="N73" s="1452"/>
      <c r="P73" s="1451"/>
      <c r="Q73" s="1452"/>
      <c r="S73" s="1451">
        <v>8000</v>
      </c>
      <c r="T73" s="1452"/>
      <c r="V73" s="1483"/>
      <c r="W73" s="1484"/>
    </row>
    <row r="74" spans="1:23" s="386" customFormat="1" ht="12" customHeight="1">
      <c r="B74" s="386" t="s">
        <v>1702</v>
      </c>
      <c r="G74" s="1451"/>
      <c r="H74" s="1452"/>
      <c r="J74" s="1451"/>
      <c r="K74" s="1452"/>
      <c r="L74" s="797"/>
      <c r="M74" s="1451"/>
      <c r="N74" s="1452"/>
      <c r="P74" s="1451"/>
      <c r="Q74" s="1452"/>
      <c r="S74" s="1451"/>
      <c r="T74" s="1452"/>
      <c r="V74" s="1483"/>
      <c r="W74" s="1484"/>
    </row>
    <row r="75" spans="1:23" s="386" customFormat="1" ht="12" customHeight="1" thickBot="1">
      <c r="A75" s="480" t="str">
        <f>IF(AND(G75&gt;0,OR(C75="",C75="&lt;Enter detailed description here; use Comments section if needed&gt;")),"X","")</f>
        <v/>
      </c>
      <c r="B75" s="386" t="s">
        <v>1046</v>
      </c>
      <c r="C75" s="1300" t="s">
        <v>4102</v>
      </c>
      <c r="D75" s="1300"/>
      <c r="E75" s="1300"/>
      <c r="F75" s="1301"/>
      <c r="G75" s="1451">
        <v>12000</v>
      </c>
      <c r="H75" s="1452"/>
      <c r="J75" s="1451"/>
      <c r="K75" s="1452"/>
      <c r="L75" s="797"/>
      <c r="M75" s="1451"/>
      <c r="N75" s="1452"/>
      <c r="P75" s="1451"/>
      <c r="Q75" s="1452"/>
      <c r="S75" s="1451">
        <v>12000</v>
      </c>
      <c r="T75" s="1452"/>
      <c r="U75" s="479" t="str">
        <f>IF(AND(G75&gt;0,OR(C75="",C75="&lt;Enter detailed description here; use Comments section if needed&gt;")),"NO DESCRIPTION PROVIDED - please enter detailed description in Other box at left; use Comments section below if needed.","")</f>
        <v/>
      </c>
      <c r="V75" s="1483"/>
      <c r="W75" s="1484"/>
    </row>
    <row r="76" spans="1:23" s="386" customFormat="1" ht="12" customHeight="1" thickTop="1">
      <c r="F76" s="446" t="s">
        <v>209</v>
      </c>
      <c r="G76" s="935">
        <f>SUM(G65:H75)</f>
        <v>494500</v>
      </c>
      <c r="H76" s="939"/>
      <c r="J76" s="935">
        <f>SUM(J65:K75)</f>
        <v>474500</v>
      </c>
      <c r="K76" s="939"/>
      <c r="L76" s="448"/>
      <c r="M76" s="935">
        <f>SUM(M65:N75)</f>
        <v>0</v>
      </c>
      <c r="N76" s="939"/>
      <c r="P76" s="935">
        <f>SUM(P65:Q75)</f>
        <v>0</v>
      </c>
      <c r="Q76" s="939"/>
      <c r="S76" s="935">
        <f>SUM(S65:T75)</f>
        <v>20000</v>
      </c>
      <c r="T76" s="939"/>
      <c r="V76" s="1487"/>
      <c r="W76" s="1488"/>
    </row>
    <row r="77" spans="1:23" ht="12" customHeight="1">
      <c r="A77" s="386"/>
      <c r="B77" s="389" t="s">
        <v>1694</v>
      </c>
      <c r="C77" s="386"/>
      <c r="D77" s="386"/>
      <c r="E77" s="386"/>
      <c r="F77" s="386"/>
      <c r="G77" s="386"/>
      <c r="H77" s="386"/>
      <c r="I77" s="386"/>
      <c r="J77" s="448"/>
      <c r="K77" s="448"/>
      <c r="M77" s="448"/>
      <c r="N77" s="448"/>
      <c r="O77" s="447" t="str">
        <f>B77</f>
        <v>LOCAL GOVERNMENT FEES</v>
      </c>
      <c r="P77" s="448"/>
      <c r="Q77" s="448"/>
      <c r="S77" s="448"/>
      <c r="T77" s="448"/>
      <c r="V77" s="386" t="str">
        <f>B77</f>
        <v>LOCAL GOVERNMENT FEES</v>
      </c>
    </row>
    <row r="78" spans="1:23" s="386" customFormat="1" ht="12" customHeight="1">
      <c r="B78" s="386" t="s">
        <v>1695</v>
      </c>
      <c r="G78" s="1451">
        <v>40671.18</v>
      </c>
      <c r="H78" s="1452"/>
      <c r="J78" s="1451">
        <v>40671</v>
      </c>
      <c r="K78" s="1452"/>
      <c r="L78" s="797"/>
      <c r="M78" s="1451"/>
      <c r="N78" s="1452"/>
      <c r="P78" s="1451"/>
      <c r="Q78" s="1452"/>
      <c r="S78" s="1451"/>
      <c r="T78" s="1452"/>
      <c r="V78" s="1495"/>
      <c r="W78" s="1496"/>
    </row>
    <row r="79" spans="1:23" s="386" customFormat="1" ht="12" customHeight="1">
      <c r="B79" s="386" t="s">
        <v>1696</v>
      </c>
      <c r="G79" s="1451"/>
      <c r="H79" s="1452"/>
      <c r="J79" s="1451"/>
      <c r="K79" s="1452"/>
      <c r="L79" s="797"/>
      <c r="M79" s="1451"/>
      <c r="N79" s="1452"/>
      <c r="P79" s="1451"/>
      <c r="Q79" s="1452"/>
      <c r="S79" s="1451"/>
      <c r="T79" s="1452"/>
      <c r="V79" s="1497"/>
      <c r="W79" s="1498"/>
    </row>
    <row r="80" spans="1:23" s="386" customFormat="1" ht="12" customHeight="1">
      <c r="B80" s="386" t="s">
        <v>1697</v>
      </c>
      <c r="D80" s="461" t="s">
        <v>1841</v>
      </c>
      <c r="E80" s="1499" t="s">
        <v>4074</v>
      </c>
      <c r="G80" s="1451">
        <v>13250</v>
      </c>
      <c r="H80" s="1452"/>
      <c r="I80" s="406"/>
      <c r="J80" s="1451">
        <v>13250</v>
      </c>
      <c r="K80" s="1452"/>
      <c r="L80" s="797"/>
      <c r="M80" s="1451"/>
      <c r="N80" s="1452"/>
      <c r="P80" s="1451"/>
      <c r="Q80" s="1452"/>
      <c r="S80" s="1451"/>
      <c r="T80" s="1452"/>
      <c r="V80" s="1497"/>
      <c r="W80" s="1498"/>
    </row>
    <row r="81" spans="1:23" s="386" customFormat="1" ht="12" customHeight="1" thickBot="1">
      <c r="B81" s="386" t="s">
        <v>1698</v>
      </c>
      <c r="D81" s="461" t="s">
        <v>1841</v>
      </c>
      <c r="E81" s="1499" t="s">
        <v>4074</v>
      </c>
      <c r="G81" s="1451">
        <v>144000</v>
      </c>
      <c r="H81" s="1452"/>
      <c r="I81" s="406"/>
      <c r="J81" s="1451">
        <v>144000</v>
      </c>
      <c r="K81" s="1452"/>
      <c r="L81" s="797"/>
      <c r="M81" s="1451"/>
      <c r="N81" s="1452"/>
      <c r="P81" s="1451"/>
      <c r="Q81" s="1452"/>
      <c r="S81" s="1451"/>
      <c r="T81" s="1452"/>
      <c r="V81" s="1497"/>
      <c r="W81" s="1498"/>
    </row>
    <row r="82" spans="1:23" s="386" customFormat="1" ht="12" customHeight="1" thickTop="1">
      <c r="F82" s="446" t="s">
        <v>209</v>
      </c>
      <c r="G82" s="935">
        <f>SUM(G78:H81)</f>
        <v>197921.18</v>
      </c>
      <c r="H82" s="939"/>
      <c r="J82" s="935">
        <f>SUM(J78:K81)</f>
        <v>197921</v>
      </c>
      <c r="K82" s="939"/>
      <c r="L82" s="448"/>
      <c r="M82" s="935">
        <f>SUM(M78:N81)</f>
        <v>0</v>
      </c>
      <c r="N82" s="939"/>
      <c r="P82" s="935">
        <f>SUM(P78:Q81)</f>
        <v>0</v>
      </c>
      <c r="Q82" s="939"/>
      <c r="S82" s="935">
        <f>SUM(S78:T81)</f>
        <v>0</v>
      </c>
      <c r="T82" s="939"/>
      <c r="V82" s="1500"/>
      <c r="W82" s="1501"/>
    </row>
    <row r="83" spans="1:23" s="386" customFormat="1" ht="12" customHeight="1">
      <c r="B83" s="389" t="s">
        <v>917</v>
      </c>
      <c r="J83" s="448"/>
      <c r="K83" s="448"/>
      <c r="M83" s="448"/>
      <c r="N83" s="448"/>
      <c r="O83" s="447" t="str">
        <f>B83</f>
        <v>PERMANENT FINANCING FEES</v>
      </c>
      <c r="P83" s="448"/>
      <c r="Q83" s="448"/>
      <c r="S83" s="448"/>
      <c r="T83" s="448"/>
      <c r="V83" s="386" t="str">
        <f>B83</f>
        <v>PERMANENT FINANCING FEES</v>
      </c>
    </row>
    <row r="84" spans="1:23" s="386" customFormat="1" ht="12" customHeight="1">
      <c r="B84" s="386" t="s">
        <v>1699</v>
      </c>
      <c r="G84" s="1451">
        <v>19000</v>
      </c>
      <c r="H84" s="1452"/>
      <c r="J84" s="940"/>
      <c r="K84" s="940"/>
      <c r="L84" s="797"/>
      <c r="M84" s="940"/>
      <c r="N84" s="940"/>
      <c r="P84" s="940"/>
      <c r="Q84" s="940"/>
      <c r="S84" s="1451">
        <v>18000</v>
      </c>
      <c r="T84" s="1452"/>
      <c r="V84" s="1495"/>
      <c r="W84" s="1496"/>
    </row>
    <row r="85" spans="1:23" s="386" customFormat="1" ht="12" customHeight="1">
      <c r="B85" s="386" t="s">
        <v>1700</v>
      </c>
      <c r="G85" s="1451">
        <v>10000</v>
      </c>
      <c r="H85" s="1452"/>
      <c r="J85" s="940"/>
      <c r="K85" s="940"/>
      <c r="L85" s="797"/>
      <c r="M85" s="940"/>
      <c r="N85" s="940"/>
      <c r="P85" s="940"/>
      <c r="Q85" s="940"/>
      <c r="S85" s="1451">
        <v>10000</v>
      </c>
      <c r="T85" s="1452"/>
      <c r="V85" s="1497"/>
      <c r="W85" s="1498"/>
    </row>
    <row r="86" spans="1:23" s="386" customFormat="1" ht="12" customHeight="1">
      <c r="B86" s="386" t="s">
        <v>1701</v>
      </c>
      <c r="G86" s="1451">
        <v>41000</v>
      </c>
      <c r="H86" s="1452"/>
      <c r="J86" s="940"/>
      <c r="K86" s="940"/>
      <c r="L86" s="797"/>
      <c r="M86" s="940"/>
      <c r="N86" s="940"/>
      <c r="P86" s="940"/>
      <c r="Q86" s="940"/>
      <c r="S86" s="1451">
        <v>42000</v>
      </c>
      <c r="T86" s="1452"/>
      <c r="V86" s="1497"/>
      <c r="W86" s="1498"/>
    </row>
    <row r="87" spans="1:23" s="386" customFormat="1" ht="12" customHeight="1">
      <c r="B87" s="386" t="s">
        <v>1703</v>
      </c>
      <c r="G87" s="1451"/>
      <c r="H87" s="1452"/>
      <c r="J87" s="940"/>
      <c r="K87" s="940"/>
      <c r="L87" s="797"/>
      <c r="M87" s="940"/>
      <c r="N87" s="940"/>
      <c r="P87" s="940"/>
      <c r="Q87" s="940"/>
      <c r="S87" s="1451"/>
      <c r="T87" s="1452"/>
      <c r="V87" s="1497"/>
      <c r="W87" s="1498"/>
    </row>
    <row r="88" spans="1:23" s="386" customFormat="1" ht="12" customHeight="1">
      <c r="B88" s="386" t="s">
        <v>3026</v>
      </c>
      <c r="G88" s="1451"/>
      <c r="H88" s="1452"/>
      <c r="J88" s="940"/>
      <c r="K88" s="940"/>
      <c r="L88" s="797"/>
      <c r="M88" s="940"/>
      <c r="N88" s="940"/>
      <c r="P88" s="940"/>
      <c r="Q88" s="940"/>
      <c r="S88" s="1451"/>
      <c r="T88" s="1452"/>
      <c r="V88" s="1497"/>
      <c r="W88" s="1498"/>
    </row>
    <row r="89" spans="1:23" s="386" customFormat="1" ht="12" customHeight="1" thickBot="1">
      <c r="A89" s="480" t="str">
        <f>IF(AND(G89&gt;0,OR(C89="",C89="&lt;Enter detailed description here; use Comments section if needed&gt;")),"X","")</f>
        <v/>
      </c>
      <c r="B89" s="386" t="s">
        <v>1046</v>
      </c>
      <c r="C89" s="1300" t="s">
        <v>4080</v>
      </c>
      <c r="D89" s="1300"/>
      <c r="E89" s="1300"/>
      <c r="F89" s="1301"/>
      <c r="G89" s="1451">
        <v>5000</v>
      </c>
      <c r="H89" s="1452"/>
      <c r="J89" s="940"/>
      <c r="K89" s="940"/>
      <c r="L89" s="797"/>
      <c r="M89" s="940"/>
      <c r="N89" s="940"/>
      <c r="P89" s="940"/>
      <c r="Q89" s="940"/>
      <c r="S89" s="1451">
        <v>5000</v>
      </c>
      <c r="T89" s="1452"/>
      <c r="U89" s="479" t="str">
        <f>IF(AND(G89&gt;0,OR(C89="",C89="&lt;Enter detailed description here; use Comments section if needed&gt;")),"NO DESCRIPTION PROVIDED - please enter detailed description in Other box at left; use Comments section below if needed.","")</f>
        <v/>
      </c>
      <c r="V89" s="1497"/>
      <c r="W89" s="1498"/>
    </row>
    <row r="90" spans="1:23" s="386" customFormat="1" ht="12" customHeight="1" thickTop="1">
      <c r="F90" s="446" t="s">
        <v>209</v>
      </c>
      <c r="G90" s="935">
        <f>SUM(G84:H89)</f>
        <v>75000</v>
      </c>
      <c r="H90" s="939"/>
      <c r="J90" s="940"/>
      <c r="K90" s="940"/>
      <c r="L90" s="448"/>
      <c r="M90" s="940"/>
      <c r="N90" s="940"/>
      <c r="P90" s="940"/>
      <c r="Q90" s="940"/>
      <c r="S90" s="935">
        <f>SUM(S84:T89)</f>
        <v>75000</v>
      </c>
      <c r="T90" s="939"/>
      <c r="V90" s="1500"/>
      <c r="W90" s="1501"/>
    </row>
    <row r="91" spans="1:23" s="386" customFormat="1" ht="6" customHeight="1" thickBot="1">
      <c r="A91" s="687"/>
      <c r="B91" s="687"/>
      <c r="C91" s="687"/>
      <c r="D91" s="687"/>
      <c r="E91" s="687"/>
      <c r="F91" s="687"/>
      <c r="G91" s="687"/>
      <c r="H91" s="687"/>
      <c r="I91" s="687"/>
      <c r="J91" s="687"/>
      <c r="K91" s="687"/>
      <c r="L91" s="687"/>
      <c r="M91" s="687"/>
      <c r="N91" s="687"/>
      <c r="O91" s="687"/>
      <c r="P91" s="687"/>
      <c r="Q91" s="687"/>
      <c r="R91" s="687"/>
      <c r="S91" s="687"/>
      <c r="T91" s="687"/>
    </row>
    <row r="92" spans="1:23" s="386" customFormat="1" ht="18" customHeight="1" thickBot="1">
      <c r="A92" s="566" t="s">
        <v>796</v>
      </c>
      <c r="B92" s="566" t="s">
        <v>1296</v>
      </c>
      <c r="H92" s="787"/>
      <c r="I92" s="787"/>
      <c r="J92" s="941" t="s">
        <v>299</v>
      </c>
      <c r="K92" s="942"/>
      <c r="L92" s="445"/>
      <c r="M92" s="960" t="s">
        <v>623</v>
      </c>
      <c r="N92" s="961"/>
      <c r="P92" s="941" t="s">
        <v>300</v>
      </c>
      <c r="Q92" s="942"/>
      <c r="S92" s="941" t="s">
        <v>301</v>
      </c>
      <c r="T92" s="942"/>
      <c r="V92" s="567" t="str">
        <f>B92</f>
        <v>DEVELOPMENT BUDGET</v>
      </c>
    </row>
    <row r="93" spans="1:23" s="386" customFormat="1" ht="18" customHeight="1" thickBot="1">
      <c r="G93" s="954" t="s">
        <v>107</v>
      </c>
      <c r="H93" s="955"/>
      <c r="J93" s="943"/>
      <c r="K93" s="944"/>
      <c r="L93" s="445"/>
      <c r="M93" s="962"/>
      <c r="N93" s="963"/>
      <c r="P93" s="943"/>
      <c r="Q93" s="944"/>
      <c r="S93" s="943"/>
      <c r="T93" s="944"/>
      <c r="V93" s="938" t="s">
        <v>3547</v>
      </c>
      <c r="W93" s="938"/>
    </row>
    <row r="94" spans="1:23" s="386" customFormat="1" ht="13.15" customHeight="1">
      <c r="B94" s="389" t="s">
        <v>918</v>
      </c>
      <c r="J94" s="448"/>
      <c r="K94" s="448"/>
      <c r="M94" s="448"/>
      <c r="N94" s="448"/>
      <c r="O94" s="447" t="str">
        <f>B94</f>
        <v>DCA-RELATED COSTS</v>
      </c>
      <c r="P94" s="448"/>
      <c r="Q94" s="448"/>
      <c r="S94" s="448"/>
      <c r="T94" s="448"/>
      <c r="V94" s="386" t="str">
        <f>B94</f>
        <v>DCA-RELATED COSTS</v>
      </c>
    </row>
    <row r="95" spans="1:23" s="386" customFormat="1" ht="12.6" customHeight="1">
      <c r="B95" s="386" t="s">
        <v>1994</v>
      </c>
      <c r="G95" s="1451"/>
      <c r="H95" s="1452"/>
      <c r="J95" s="448"/>
      <c r="K95" s="448"/>
      <c r="L95" s="797"/>
      <c r="M95" s="448"/>
      <c r="N95" s="448"/>
      <c r="P95" s="448"/>
      <c r="Q95" s="448"/>
      <c r="S95" s="1451"/>
      <c r="T95" s="1452"/>
      <c r="V95" s="1495"/>
      <c r="W95" s="1496"/>
    </row>
    <row r="96" spans="1:23" s="386" customFormat="1" ht="12.6" customHeight="1">
      <c r="B96" s="386" t="s">
        <v>1618</v>
      </c>
      <c r="G96" s="1451">
        <v>5500</v>
      </c>
      <c r="H96" s="1452"/>
      <c r="J96" s="448"/>
      <c r="K96" s="448"/>
      <c r="L96" s="462"/>
      <c r="M96" s="448"/>
      <c r="N96" s="448"/>
      <c r="P96" s="448"/>
      <c r="Q96" s="448"/>
      <c r="S96" s="1451">
        <v>5500</v>
      </c>
      <c r="T96" s="1452"/>
      <c r="V96" s="1497"/>
      <c r="W96" s="1498"/>
    </row>
    <row r="97" spans="1:23" s="386" customFormat="1" ht="12.6" customHeight="1">
      <c r="B97" s="386" t="s">
        <v>3589</v>
      </c>
      <c r="G97" s="1451"/>
      <c r="H97" s="1452"/>
      <c r="J97" s="448"/>
      <c r="K97" s="448"/>
      <c r="L97" s="462"/>
      <c r="M97" s="448"/>
      <c r="N97" s="448"/>
      <c r="O97" s="787"/>
      <c r="P97" s="448"/>
      <c r="Q97" s="448"/>
      <c r="S97" s="1451"/>
      <c r="T97" s="1452"/>
      <c r="V97" s="1497"/>
      <c r="W97" s="1498"/>
    </row>
    <row r="98" spans="1:23" s="386" customFormat="1" ht="12.6" customHeight="1">
      <c r="B98" s="386" t="s">
        <v>686</v>
      </c>
      <c r="E98" s="958">
        <f ca="1">'DCA Underwriting Assumptions'!$Q$39*$J$172</f>
        <v>45927.68</v>
      </c>
      <c r="F98" s="959"/>
      <c r="G98" s="1451">
        <f ca="1">E98</f>
        <v>45927.68</v>
      </c>
      <c r="H98" s="1452"/>
      <c r="J98" s="448"/>
      <c r="K98" s="448"/>
      <c r="L98" s="797"/>
      <c r="M98" s="448"/>
      <c r="N98" s="448"/>
      <c r="O98" s="787"/>
      <c r="P98" s="448"/>
      <c r="Q98" s="448"/>
      <c r="S98" s="1451">
        <f ca="1">G98</f>
        <v>45927.68</v>
      </c>
      <c r="T98" s="1452"/>
      <c r="V98" s="1497"/>
      <c r="W98" s="1498"/>
    </row>
    <row r="99" spans="1:23" s="386" customFormat="1" ht="12.6" customHeight="1">
      <c r="B99" s="386" t="s">
        <v>1058</v>
      </c>
      <c r="E99" s="958">
        <f>IF('Part VI-Revenues &amp; Expenses'!$M$89&gt;0,('Part VI-Revenues &amp; Expenses'!$M$89*'DCA Underwriting Assumptions'!$Q$45)+('Part VI-Revenues &amp; Expenses'!$M$62-'Part VI-Revenues &amp; Expenses'!$M$89)*'DCA Underwriting Assumptions'!$Q$43,IF('Part III-Sources of Funds'!$B$8="Yes",'Part VI-Revenues &amp; Expenses'!$M$62*'DCA Underwriting Assumptions'!$Q$44,'Part VI-Revenues &amp; Expenses'!$M$62*'DCA Underwriting Assumptions'!$Q$43))</f>
        <v>64000</v>
      </c>
      <c r="F99" s="959"/>
      <c r="G99" s="1451">
        <v>64000</v>
      </c>
      <c r="H99" s="1452"/>
      <c r="J99" s="353"/>
      <c r="K99" s="353"/>
      <c r="L99" s="353"/>
      <c r="M99" s="353"/>
      <c r="N99" s="353"/>
      <c r="O99" s="353"/>
      <c r="P99" s="353"/>
      <c r="Q99" s="353"/>
      <c r="S99" s="1451">
        <v>64000</v>
      </c>
      <c r="T99" s="1452"/>
      <c r="V99" s="1497"/>
      <c r="W99" s="1498"/>
    </row>
    <row r="100" spans="1:23" s="386" customFormat="1" ht="12.6" customHeight="1">
      <c r="B100" s="386" t="s">
        <v>618</v>
      </c>
      <c r="G100" s="1451"/>
      <c r="H100" s="1452"/>
      <c r="J100" s="353"/>
      <c r="K100" s="353"/>
      <c r="L100" s="353"/>
      <c r="M100" s="353"/>
      <c r="N100" s="353"/>
      <c r="O100" s="353"/>
      <c r="P100" s="353"/>
      <c r="Q100" s="353"/>
      <c r="S100" s="1451"/>
      <c r="T100" s="1452"/>
      <c r="V100" s="1497"/>
      <c r="W100" s="1498"/>
    </row>
    <row r="101" spans="1:23" s="386" customFormat="1" ht="12.6" customHeight="1">
      <c r="B101" s="386" t="s">
        <v>3104</v>
      </c>
      <c r="G101" s="1451">
        <v>3000</v>
      </c>
      <c r="H101" s="1452"/>
      <c r="J101" s="353"/>
      <c r="K101" s="353"/>
      <c r="L101" s="353"/>
      <c r="M101" s="353"/>
      <c r="N101" s="353"/>
      <c r="O101" s="353"/>
      <c r="P101" s="353"/>
      <c r="Q101" s="353"/>
      <c r="S101" s="1451">
        <v>3000</v>
      </c>
      <c r="T101" s="1452"/>
      <c r="V101" s="1497"/>
      <c r="W101" s="1498"/>
    </row>
    <row r="102" spans="1:23" s="386" customFormat="1" ht="12.6" customHeight="1">
      <c r="A102" s="480" t="str">
        <f>IF(AND(G102&gt;0,OR(C102="",C102="&lt;Enter detailed description here; use Comments section if needed&gt;")),"X","")</f>
        <v/>
      </c>
      <c r="B102" s="386" t="s">
        <v>1046</v>
      </c>
      <c r="C102" s="1300" t="s">
        <v>3180</v>
      </c>
      <c r="D102" s="1300"/>
      <c r="E102" s="1300"/>
      <c r="F102" s="1301"/>
      <c r="G102" s="1451"/>
      <c r="H102" s="1452"/>
      <c r="J102" s="353"/>
      <c r="K102" s="353"/>
      <c r="L102" s="353"/>
      <c r="M102" s="353"/>
      <c r="N102" s="353"/>
      <c r="O102" s="353"/>
      <c r="P102" s="353"/>
      <c r="Q102" s="353"/>
      <c r="S102" s="1451"/>
      <c r="T102" s="1452"/>
      <c r="U102" s="479" t="str">
        <f>IF(AND(G102&gt;0,OR(C102="",C102="&lt;Enter detailed description here; use Comments section if needed&gt;")),"NO DESCRIPTION PROVIDED - please enter detailed description in Other box at left; use Comments section below if needed.","")</f>
        <v/>
      </c>
      <c r="V102" s="1497"/>
      <c r="W102" s="1498"/>
    </row>
    <row r="103" spans="1:23" s="386" customFormat="1" ht="12.6" customHeight="1" thickBot="1">
      <c r="A103" s="480" t="str">
        <f>IF(AND(G103&gt;0,OR(C103="",C103="&lt;Enter detailed description here; use Comments section if needed&gt;")),"X","")</f>
        <v/>
      </c>
      <c r="B103" s="386" t="s">
        <v>1046</v>
      </c>
      <c r="C103" s="1300" t="s">
        <v>3180</v>
      </c>
      <c r="D103" s="1300"/>
      <c r="E103" s="1300"/>
      <c r="F103" s="1301"/>
      <c r="G103" s="1451"/>
      <c r="H103" s="1452"/>
      <c r="J103" s="353"/>
      <c r="K103" s="353"/>
      <c r="L103" s="353"/>
      <c r="M103" s="353"/>
      <c r="N103" s="353"/>
      <c r="O103" s="353"/>
      <c r="P103" s="353"/>
      <c r="Q103" s="353"/>
      <c r="S103" s="1451"/>
      <c r="T103" s="1452"/>
      <c r="U103" s="479" t="str">
        <f>IF(AND(G103&gt;0,OR(C103="",C103="&lt;Enter detailed description here; use Comments section if needed&gt;")),"NO DESCRIPTION PROVIDED - please enter detailed description in Other box at left; use Comments section below if needed.","")</f>
        <v/>
      </c>
      <c r="V103" s="1497"/>
      <c r="W103" s="1498"/>
    </row>
    <row r="104" spans="1:23" s="386" customFormat="1" ht="12.6" customHeight="1" thickTop="1">
      <c r="F104" s="446" t="s">
        <v>209</v>
      </c>
      <c r="G104" s="935">
        <f ca="1">SUM(G95:H103)</f>
        <v>118427.68</v>
      </c>
      <c r="H104" s="939"/>
      <c r="J104" s="448"/>
      <c r="K104" s="448"/>
      <c r="L104" s="797"/>
      <c r="M104" s="448"/>
      <c r="N104" s="448"/>
      <c r="P104" s="448"/>
      <c r="Q104" s="448"/>
      <c r="S104" s="935">
        <f ca="1">SUM(S95:T103)</f>
        <v>118427.68</v>
      </c>
      <c r="T104" s="939"/>
      <c r="V104" s="1500"/>
      <c r="W104" s="1501"/>
    </row>
    <row r="105" spans="1:23" s="386" customFormat="1" ht="13.15" customHeight="1">
      <c r="B105" s="389" t="s">
        <v>3027</v>
      </c>
      <c r="J105" s="448"/>
      <c r="K105" s="448"/>
      <c r="M105" s="448"/>
      <c r="N105" s="448"/>
      <c r="O105" s="447" t="str">
        <f>B105</f>
        <v>EQUITY COSTS</v>
      </c>
      <c r="P105" s="448"/>
      <c r="Q105" s="448"/>
      <c r="S105" s="448"/>
      <c r="T105" s="448"/>
      <c r="V105" s="386" t="str">
        <f>B105</f>
        <v>EQUITY COSTS</v>
      </c>
    </row>
    <row r="106" spans="1:23" s="386" customFormat="1" ht="12.6" customHeight="1">
      <c r="B106" s="386" t="s">
        <v>308</v>
      </c>
      <c r="G106" s="1451"/>
      <c r="H106" s="1452"/>
      <c r="J106" s="940"/>
      <c r="K106" s="940"/>
      <c r="L106" s="797"/>
      <c r="M106" s="940"/>
      <c r="N106" s="940"/>
      <c r="O106" s="787"/>
      <c r="P106" s="940"/>
      <c r="Q106" s="940"/>
      <c r="S106" s="1451"/>
      <c r="T106" s="1452"/>
      <c r="V106" s="1495"/>
      <c r="W106" s="1496"/>
    </row>
    <row r="107" spans="1:23" s="386" customFormat="1" ht="12.6" customHeight="1">
      <c r="B107" s="386" t="s">
        <v>310</v>
      </c>
      <c r="G107" s="1451"/>
      <c r="H107" s="1452"/>
      <c r="J107" s="940"/>
      <c r="K107" s="940"/>
      <c r="L107" s="797"/>
      <c r="M107" s="940"/>
      <c r="N107" s="940"/>
      <c r="O107" s="787"/>
      <c r="P107" s="940"/>
      <c r="Q107" s="940"/>
      <c r="S107" s="1451"/>
      <c r="T107" s="1452"/>
      <c r="V107" s="1497"/>
      <c r="W107" s="1498"/>
    </row>
    <row r="108" spans="1:23" s="386" customFormat="1" ht="12.6" customHeight="1">
      <c r="B108" s="386" t="s">
        <v>3142</v>
      </c>
      <c r="G108" s="1451">
        <v>25000</v>
      </c>
      <c r="H108" s="1452"/>
      <c r="J108" s="940"/>
      <c r="K108" s="940"/>
      <c r="L108" s="797"/>
      <c r="M108" s="940"/>
      <c r="N108" s="940"/>
      <c r="O108" s="787"/>
      <c r="P108" s="940"/>
      <c r="Q108" s="940"/>
      <c r="S108" s="1451">
        <v>25000</v>
      </c>
      <c r="T108" s="1452"/>
      <c r="V108" s="1497"/>
      <c r="W108" s="1498"/>
    </row>
    <row r="109" spans="1:23" s="386" customFormat="1" ht="12.6" customHeight="1" thickBot="1">
      <c r="A109" s="480" t="str">
        <f>IF(AND(G109&gt;0,OR(C109="",C109="&lt;Enter detailed description here; use Comments section if needed&gt;")),"X","")</f>
        <v/>
      </c>
      <c r="B109" s="386" t="s">
        <v>1046</v>
      </c>
      <c r="C109" s="1300"/>
      <c r="D109" s="1300"/>
      <c r="E109" s="1300"/>
      <c r="F109" s="1301"/>
      <c r="G109" s="1451"/>
      <c r="H109" s="1452"/>
      <c r="J109" s="940"/>
      <c r="K109" s="940"/>
      <c r="L109" s="797"/>
      <c r="M109" s="940"/>
      <c r="N109" s="940"/>
      <c r="O109" s="787"/>
      <c r="P109" s="940"/>
      <c r="Q109" s="940"/>
      <c r="S109" s="1451"/>
      <c r="T109" s="1452"/>
      <c r="U109" s="479" t="str">
        <f>IF(AND(G109&gt;0,OR(C109="",C109="&lt;Enter detailed description here; use Comments section if needed&gt;")),"NO DESCRIPTION PROVIDED - please enter detailed description in Other box at left; use Comments section below if needed.","")</f>
        <v/>
      </c>
      <c r="V109" s="1497"/>
      <c r="W109" s="1498"/>
    </row>
    <row r="110" spans="1:23" s="386" customFormat="1" ht="12.6" customHeight="1" thickTop="1">
      <c r="F110" s="446" t="s">
        <v>209</v>
      </c>
      <c r="G110" s="935">
        <f>SUM(G106:H109)</f>
        <v>25000</v>
      </c>
      <c r="H110" s="939"/>
      <c r="J110" s="940"/>
      <c r="K110" s="940"/>
      <c r="L110" s="797"/>
      <c r="M110" s="940"/>
      <c r="N110" s="940"/>
      <c r="O110" s="787"/>
      <c r="P110" s="940"/>
      <c r="Q110" s="940"/>
      <c r="S110" s="935">
        <f>SUM(S106:T109)</f>
        <v>25000</v>
      </c>
      <c r="T110" s="939"/>
      <c r="V110" s="1500"/>
      <c r="W110" s="1501"/>
    </row>
    <row r="111" spans="1:23" s="386" customFormat="1" ht="13.15" customHeight="1">
      <c r="B111" s="389" t="s">
        <v>311</v>
      </c>
      <c r="J111" s="448"/>
      <c r="K111" s="445"/>
      <c r="M111" s="448"/>
      <c r="N111" s="445"/>
      <c r="O111" s="447" t="str">
        <f>B111</f>
        <v>DEVELOPER'S FEE</v>
      </c>
      <c r="P111" s="448"/>
      <c r="Q111" s="445"/>
      <c r="S111" s="448"/>
      <c r="T111" s="445"/>
      <c r="V111" s="386" t="str">
        <f>B111</f>
        <v>DEVELOPER'S FEE</v>
      </c>
    </row>
    <row r="112" spans="1:23" s="386" customFormat="1" ht="12.6" customHeight="1">
      <c r="B112" s="386" t="s">
        <v>2564</v>
      </c>
      <c r="F112" s="527">
        <f>G112/$G$115</f>
        <v>0.20000014642531869</v>
      </c>
      <c r="G112" s="1451">
        <v>273177</v>
      </c>
      <c r="H112" s="1452"/>
      <c r="J112" s="1451">
        <f>G112</f>
        <v>273177</v>
      </c>
      <c r="K112" s="1452"/>
      <c r="L112" s="447"/>
      <c r="M112" s="1451"/>
      <c r="N112" s="1452"/>
      <c r="P112" s="1451"/>
      <c r="Q112" s="1452"/>
      <c r="S112" s="1451">
        <v>0</v>
      </c>
      <c r="T112" s="1452"/>
      <c r="V112" s="1495"/>
      <c r="W112" s="1496"/>
    </row>
    <row r="113" spans="1:23" s="386" customFormat="1" ht="12.6" customHeight="1">
      <c r="B113" s="386" t="s">
        <v>2565</v>
      </c>
      <c r="F113" s="527">
        <f>G113/$G$115</f>
        <v>0</v>
      </c>
      <c r="G113" s="1451"/>
      <c r="H113" s="1452"/>
      <c r="J113" s="1451"/>
      <c r="K113" s="1452"/>
      <c r="L113" s="797"/>
      <c r="M113" s="1451"/>
      <c r="N113" s="1452"/>
      <c r="P113" s="1451"/>
      <c r="Q113" s="1452"/>
      <c r="S113" s="1451"/>
      <c r="T113" s="1452"/>
      <c r="V113" s="1497"/>
      <c r="W113" s="1498"/>
    </row>
    <row r="114" spans="1:23" s="386" customFormat="1" ht="12.6" customHeight="1" thickBot="1">
      <c r="B114" s="386" t="s">
        <v>2557</v>
      </c>
      <c r="F114" s="527">
        <f>G114/$G$115</f>
        <v>0.79999985357468129</v>
      </c>
      <c r="G114" s="1451">
        <v>1092707</v>
      </c>
      <c r="H114" s="1452"/>
      <c r="J114" s="1451">
        <f>G114</f>
        <v>1092707</v>
      </c>
      <c r="K114" s="1452"/>
      <c r="L114" s="797"/>
      <c r="M114" s="1451"/>
      <c r="N114" s="1452"/>
      <c r="P114" s="1451"/>
      <c r="Q114" s="1452"/>
      <c r="S114" s="1451"/>
      <c r="T114" s="1452"/>
      <c r="V114" s="1497"/>
      <c r="W114" s="1498"/>
    </row>
    <row r="115" spans="1:23" s="386" customFormat="1" ht="12.6" customHeight="1" thickTop="1">
      <c r="C115" s="479" t="str">
        <f>IF(G115&lt;='DCA Underwriting Assumptions'!$Q$46,"","Developer Fee exceeds DCA Program Maximum !!!")</f>
        <v/>
      </c>
      <c r="F115" s="446" t="s">
        <v>209</v>
      </c>
      <c r="G115" s="935">
        <f>SUM(G112:H114)</f>
        <v>1365884</v>
      </c>
      <c r="H115" s="939"/>
      <c r="J115" s="935">
        <f>SUM(J112:K114)</f>
        <v>1365884</v>
      </c>
      <c r="K115" s="939"/>
      <c r="L115" s="797"/>
      <c r="M115" s="935">
        <f>SUM(M112:N114)</f>
        <v>0</v>
      </c>
      <c r="N115" s="939"/>
      <c r="P115" s="935">
        <f>SUM(P112:Q114)</f>
        <v>0</v>
      </c>
      <c r="Q115" s="939"/>
      <c r="S115" s="935">
        <f>SUM(S112:T114)</f>
        <v>0</v>
      </c>
      <c r="T115" s="939"/>
      <c r="V115" s="1500"/>
      <c r="W115" s="1501"/>
    </row>
    <row r="116" spans="1:23" s="386" customFormat="1" ht="13.15" customHeight="1">
      <c r="B116" s="389" t="s">
        <v>1743</v>
      </c>
      <c r="J116" s="445"/>
      <c r="K116" s="445"/>
      <c r="M116" s="445"/>
      <c r="N116" s="445"/>
      <c r="O116" s="447" t="str">
        <f>B116</f>
        <v>START-UP AND RESERVES</v>
      </c>
      <c r="P116" s="445"/>
      <c r="Q116" s="445"/>
      <c r="S116" s="445"/>
      <c r="T116" s="445"/>
      <c r="V116" s="386" t="str">
        <f>B116</f>
        <v>START-UP AND RESERVES</v>
      </c>
    </row>
    <row r="117" spans="1:23" s="386" customFormat="1" ht="12.6" customHeight="1">
      <c r="B117" s="386" t="s">
        <v>275</v>
      </c>
      <c r="G117" s="1451">
        <v>10000</v>
      </c>
      <c r="H117" s="1452"/>
      <c r="J117" s="463"/>
      <c r="K117" s="463"/>
      <c r="L117" s="463"/>
      <c r="M117" s="463"/>
      <c r="N117" s="463"/>
      <c r="P117" s="463"/>
      <c r="Q117" s="463"/>
      <c r="S117" s="1451">
        <v>10000</v>
      </c>
      <c r="T117" s="1452"/>
      <c r="V117" s="1495"/>
      <c r="W117" s="1496"/>
    </row>
    <row r="118" spans="1:23" s="386" customFormat="1" ht="12.6" customHeight="1">
      <c r="B118" s="386" t="s">
        <v>1993</v>
      </c>
      <c r="F118" s="754">
        <f>+'Part VI-Revenues &amp; Expenses'!P157*('DCA Underwriting Assumptions'!$Q$58/12)</f>
        <v>84183.25</v>
      </c>
      <c r="G118" s="1451">
        <v>84184</v>
      </c>
      <c r="H118" s="1452"/>
      <c r="J118" s="940"/>
      <c r="K118" s="940"/>
      <c r="L118" s="797"/>
      <c r="M118" s="940"/>
      <c r="N118" s="940"/>
      <c r="O118" s="787"/>
      <c r="P118" s="940"/>
      <c r="Q118" s="940"/>
      <c r="R118" s="787"/>
      <c r="S118" s="1451">
        <f>G118</f>
        <v>84184</v>
      </c>
      <c r="T118" s="1452"/>
      <c r="V118" s="1497"/>
      <c r="W118" s="1498"/>
    </row>
    <row r="119" spans="1:23" s="386" customFormat="1" ht="12.6" customHeight="1">
      <c r="B119" s="386" t="s">
        <v>864</v>
      </c>
      <c r="F119" s="755">
        <f>'Part VI-Revenues &amp; Expenses'!P157*('DCA Underwriting Assumptions'!Q57/12)+('Part VII-Pro Forma'!B23+'Part VII-Pro Forma'!B24+'Part VII-Pro Forma'!B25+'Part VII-Pro Forma'!B26)*'DCA Underwriting Assumptions'!Q56/(-12)</f>
        <v>236715.25986741376</v>
      </c>
      <c r="G119" s="1451">
        <f>F119</f>
        <v>236715.25986741376</v>
      </c>
      <c r="H119" s="1452"/>
      <c r="J119" s="462"/>
      <c r="K119" s="462"/>
      <c r="L119" s="462"/>
      <c r="M119" s="462"/>
      <c r="N119" s="462"/>
      <c r="O119" s="787"/>
      <c r="P119" s="462"/>
      <c r="Q119" s="462"/>
      <c r="R119" s="787"/>
      <c r="S119" s="1451">
        <f>G119</f>
        <v>236715.25986741376</v>
      </c>
      <c r="T119" s="1452"/>
      <c r="V119" s="1497"/>
      <c r="W119" s="1498"/>
    </row>
    <row r="120" spans="1:23" s="386" customFormat="1" ht="12.6" customHeight="1">
      <c r="B120" s="386" t="s">
        <v>1667</v>
      </c>
      <c r="G120" s="1451"/>
      <c r="H120" s="1452"/>
      <c r="J120" s="463"/>
      <c r="K120" s="463"/>
      <c r="L120" s="463"/>
      <c r="M120" s="463"/>
      <c r="N120" s="463"/>
      <c r="P120" s="463"/>
      <c r="Q120" s="463"/>
      <c r="S120" s="1451"/>
      <c r="T120" s="1452"/>
      <c r="V120" s="1497"/>
      <c r="W120" s="1498"/>
    </row>
    <row r="121" spans="1:23" s="386" customFormat="1" ht="12.6" customHeight="1">
      <c r="B121" s="386" t="s">
        <v>1668</v>
      </c>
      <c r="E121" s="386" t="s">
        <v>3942</v>
      </c>
      <c r="F121" s="650">
        <f>G121/'Part VI-Revenues &amp; Expenses'!$M$62</f>
        <v>1249.9937500000001</v>
      </c>
      <c r="G121" s="1451">
        <v>99999.5</v>
      </c>
      <c r="H121" s="1452"/>
      <c r="J121" s="1451">
        <v>100000</v>
      </c>
      <c r="K121" s="1452"/>
      <c r="L121" s="797"/>
      <c r="M121" s="1451"/>
      <c r="N121" s="1452"/>
      <c r="P121" s="1451"/>
      <c r="Q121" s="1452"/>
      <c r="S121" s="1451"/>
      <c r="T121" s="1452"/>
      <c r="V121" s="1497"/>
      <c r="W121" s="1498"/>
    </row>
    <row r="122" spans="1:23" s="386" customFormat="1" ht="12.6" customHeight="1" thickBot="1">
      <c r="A122" s="480" t="str">
        <f>IF(AND(G122&gt;0,OR(C122="",C122="&lt;Enter detailed description here; use Comments section if needed&gt;")),"X","")</f>
        <v/>
      </c>
      <c r="B122" s="386" t="s">
        <v>1046</v>
      </c>
      <c r="C122" s="1300" t="s">
        <v>3180</v>
      </c>
      <c r="D122" s="1300"/>
      <c r="E122" s="1300"/>
      <c r="F122" s="1301"/>
      <c r="G122" s="1451"/>
      <c r="H122" s="1452"/>
      <c r="J122" s="1451"/>
      <c r="K122" s="1452"/>
      <c r="L122" s="797"/>
      <c r="M122" s="1451"/>
      <c r="N122" s="1452"/>
      <c r="P122" s="1451"/>
      <c r="Q122" s="1452"/>
      <c r="S122" s="1451"/>
      <c r="T122" s="1452"/>
      <c r="U122" s="479" t="str">
        <f>IF(AND(G122&gt;0,OR(C122="",C122="&lt;Enter detailed description here; use Comments section if needed&gt;")),"NO DESCRIPTION PROVIDED - please enter detailed description in Other box at left; use Comments section below if needed.","")</f>
        <v/>
      </c>
      <c r="V122" s="1497"/>
      <c r="W122" s="1498"/>
    </row>
    <row r="123" spans="1:23" s="386" customFormat="1" ht="12.6" customHeight="1" thickTop="1">
      <c r="B123" s="464"/>
      <c r="F123" s="446" t="s">
        <v>209</v>
      </c>
      <c r="G123" s="935">
        <f>SUM(G117:H122)</f>
        <v>430898.75986741378</v>
      </c>
      <c r="H123" s="939"/>
      <c r="J123" s="935">
        <f>SUM(J121:K122)</f>
        <v>100000</v>
      </c>
      <c r="K123" s="939"/>
      <c r="L123" s="797"/>
      <c r="M123" s="935">
        <f>SUM(M121:N122)</f>
        <v>0</v>
      </c>
      <c r="N123" s="939"/>
      <c r="P123" s="935">
        <f>SUM(P121:Q122)</f>
        <v>0</v>
      </c>
      <c r="Q123" s="939"/>
      <c r="S123" s="935">
        <f>SUM(S117:T122)</f>
        <v>330899.25986741378</v>
      </c>
      <c r="T123" s="939"/>
      <c r="V123" s="1500"/>
      <c r="W123" s="1501"/>
    </row>
    <row r="124" spans="1:23" s="386" customFormat="1" ht="13.15" customHeight="1">
      <c r="B124" s="389" t="s">
        <v>790</v>
      </c>
      <c r="C124" s="782"/>
      <c r="H124" s="460"/>
      <c r="I124" s="460"/>
      <c r="J124" s="445"/>
      <c r="K124" s="445"/>
      <c r="M124" s="445"/>
      <c r="N124" s="445"/>
      <c r="O124" s="447" t="str">
        <f>B124</f>
        <v>OTHER COSTS</v>
      </c>
      <c r="P124" s="445"/>
      <c r="Q124" s="445"/>
      <c r="S124" s="445"/>
      <c r="T124" s="445"/>
      <c r="V124" s="386" t="str">
        <f>B124</f>
        <v>OTHER COSTS</v>
      </c>
    </row>
    <row r="125" spans="1:23" s="386" customFormat="1" ht="12.6" customHeight="1">
      <c r="B125" s="386" t="s">
        <v>791</v>
      </c>
      <c r="C125" s="782"/>
      <c r="G125" s="1451"/>
      <c r="H125" s="1452"/>
      <c r="J125" s="1451"/>
      <c r="K125" s="1452"/>
      <c r="L125" s="447"/>
      <c r="M125" s="1451"/>
      <c r="N125" s="1452"/>
      <c r="P125" s="1451"/>
      <c r="Q125" s="1452"/>
      <c r="S125" s="1451"/>
      <c r="T125" s="1452"/>
      <c r="V125" s="1495"/>
      <c r="W125" s="1496"/>
    </row>
    <row r="126" spans="1:23" s="386" customFormat="1" ht="12.6" customHeight="1" thickBot="1">
      <c r="A126" s="480" t="str">
        <f>IF(AND(G126&gt;0,OR(C126="",C126="&lt;Enter detailed description here; use Comments section if needed&gt;")),"X","")</f>
        <v/>
      </c>
      <c r="B126" s="386" t="s">
        <v>1046</v>
      </c>
      <c r="C126" s="1300"/>
      <c r="D126" s="1300"/>
      <c r="E126" s="1300"/>
      <c r="F126" s="1301"/>
      <c r="G126" s="1451"/>
      <c r="H126" s="1452"/>
      <c r="J126" s="1451"/>
      <c r="K126" s="1452"/>
      <c r="L126" s="797"/>
      <c r="M126" s="1451"/>
      <c r="N126" s="1452"/>
      <c r="P126" s="1451"/>
      <c r="Q126" s="1452"/>
      <c r="S126" s="1451"/>
      <c r="T126" s="1452"/>
      <c r="U126" s="479" t="str">
        <f>IF(AND(G126&gt;0,OR(C126="",C126="&lt;Enter detailed description here; use Comments section if needed&gt;")),"NO DESCRIPTION PROVIDED - please enter detailed description in Other box at left; use Comments section below if needed.","")</f>
        <v/>
      </c>
      <c r="V126" s="1497"/>
      <c r="W126" s="1498"/>
    </row>
    <row r="127" spans="1:23" s="386" customFormat="1" ht="12.6" customHeight="1" thickTop="1">
      <c r="C127" s="782"/>
      <c r="F127" s="446" t="s">
        <v>209</v>
      </c>
      <c r="G127" s="935">
        <f>SUM(G125:H126)</f>
        <v>0</v>
      </c>
      <c r="H127" s="939"/>
      <c r="J127" s="935">
        <f>SUM(J125:K126)</f>
        <v>0</v>
      </c>
      <c r="K127" s="939"/>
      <c r="L127" s="797"/>
      <c r="M127" s="935">
        <f>SUM(M125:N126)</f>
        <v>0</v>
      </c>
      <c r="N127" s="939"/>
      <c r="P127" s="935">
        <f>SUM(P125:Q126)</f>
        <v>0</v>
      </c>
      <c r="Q127" s="939"/>
      <c r="S127" s="935">
        <f>SUM(S125:T126)</f>
        <v>0</v>
      </c>
      <c r="T127" s="939"/>
      <c r="V127" s="1497"/>
      <c r="W127" s="1498"/>
    </row>
    <row r="128" spans="1:23" s="386" customFormat="1" ht="3" customHeight="1" thickBot="1">
      <c r="C128" s="782"/>
      <c r="H128" s="460"/>
      <c r="I128" s="460"/>
      <c r="L128" s="787"/>
      <c r="V128" s="1497"/>
      <c r="W128" s="1498"/>
    </row>
    <row r="129" spans="1:23" s="386" customFormat="1" ht="13.9" customHeight="1" thickBot="1">
      <c r="B129" s="393" t="s">
        <v>3959</v>
      </c>
      <c r="G129" s="945">
        <f ca="1">G17+G23+G27+G32+G37+G40+G46+G63+G76+G82+G90+G104+G110+G115+G123+G127</f>
        <v>10471562.619867412</v>
      </c>
      <c r="H129" s="946"/>
      <c r="J129" s="945">
        <f>J17+J23+J27+J32+J37+J40+J46+J63+J76+J82+J90+J104+J110+J115+J123+J127</f>
        <v>9753636</v>
      </c>
      <c r="K129" s="946"/>
      <c r="M129" s="945">
        <f>M17+M23+M27+M32+M37+M40+M46+M63+M76+M82+M90+M104+M110+M115+M123+M127</f>
        <v>0</v>
      </c>
      <c r="N129" s="946"/>
      <c r="P129" s="945">
        <f>P17+P23+P27+P32+P37+P40+P46+P63+P76+P82+P90+P104+P110+P115+P123+P127</f>
        <v>0</v>
      </c>
      <c r="Q129" s="946"/>
      <c r="S129" s="945">
        <f ca="1">S17+S23+S27+S32+S37+S40+S46+S63+S76+S82+S90+S104+S110+S115+S123+S127</f>
        <v>717926.93986741384</v>
      </c>
      <c r="T129" s="946"/>
      <c r="V129" s="1500"/>
      <c r="W129" s="1501"/>
    </row>
    <row r="130" spans="1:23" s="386" customFormat="1" ht="3" customHeight="1">
      <c r="C130" s="782"/>
      <c r="H130" s="460"/>
      <c r="I130" s="460"/>
      <c r="L130" s="787"/>
    </row>
    <row r="131" spans="1:23" s="386" customFormat="1" ht="13.9" customHeight="1">
      <c r="B131" s="769" t="s">
        <v>3960</v>
      </c>
      <c r="C131" s="767"/>
      <c r="D131" s="952">
        <f ca="1">G129/'Part VI-Revenues &amp; Expenses'!$M$62</f>
        <v>130894.53274834265</v>
      </c>
      <c r="E131" s="952"/>
      <c r="F131" s="768" t="s">
        <v>3958</v>
      </c>
      <c r="G131" s="952">
        <f ca="1">G129/'Part VI-Revenues &amp; Expenses'!$M$100</f>
        <v>166.74462770489509</v>
      </c>
      <c r="H131" s="953"/>
      <c r="I131" s="465"/>
    </row>
    <row r="132" spans="1:23" s="386" customFormat="1" ht="3" customHeight="1">
      <c r="I132" s="465"/>
      <c r="L132" s="465"/>
    </row>
    <row r="133" spans="1:23" s="386" customFormat="1" ht="3.6" customHeight="1" thickBot="1">
      <c r="D133" s="782"/>
      <c r="E133" s="782"/>
      <c r="I133" s="460"/>
      <c r="J133" s="460"/>
      <c r="K133" s="466"/>
      <c r="L133" s="392"/>
      <c r="P133" s="787"/>
    </row>
    <row r="134" spans="1:23" s="386" customFormat="1" ht="25.9" customHeight="1">
      <c r="A134" s="566" t="s">
        <v>1045</v>
      </c>
      <c r="B134" s="568" t="s">
        <v>1869</v>
      </c>
      <c r="C134" s="387"/>
      <c r="D134" s="797"/>
      <c r="E134" s="797"/>
      <c r="G134" s="787"/>
      <c r="H134" s="787"/>
      <c r="I134" s="467"/>
      <c r="J134" s="941" t="s">
        <v>299</v>
      </c>
      <c r="K134" s="942"/>
      <c r="M134" s="941" t="s">
        <v>106</v>
      </c>
      <c r="N134" s="942"/>
      <c r="P134" s="941" t="s">
        <v>300</v>
      </c>
      <c r="Q134" s="942"/>
      <c r="V134" s="567" t="str">
        <f>B134</f>
        <v>TAX CREDIT CALCULATION - BASIS METHOD</v>
      </c>
    </row>
    <row r="135" spans="1:23" s="386" customFormat="1" ht="15" customHeight="1" thickBot="1">
      <c r="B135" s="393" t="s">
        <v>2758</v>
      </c>
      <c r="D135" s="797"/>
      <c r="E135" s="797"/>
      <c r="I135" s="467"/>
      <c r="J135" s="943"/>
      <c r="K135" s="944"/>
      <c r="L135" s="387"/>
      <c r="M135" s="943"/>
      <c r="N135" s="944"/>
      <c r="P135" s="943"/>
      <c r="Q135" s="944"/>
      <c r="V135" s="386" t="str">
        <f>B135</f>
        <v>Subtractions From Eligible Basis</v>
      </c>
      <c r="W135" s="430"/>
    </row>
    <row r="136" spans="1:23" s="386" customFormat="1" ht="6" customHeight="1">
      <c r="D136" s="782"/>
      <c r="E136" s="782"/>
      <c r="I136" s="460"/>
      <c r="J136" s="460"/>
      <c r="K136" s="466"/>
      <c r="L136" s="392"/>
      <c r="P136" s="787"/>
    </row>
    <row r="137" spans="1:23" s="386" customFormat="1" ht="13.9" customHeight="1">
      <c r="B137" s="782" t="s">
        <v>151</v>
      </c>
      <c r="D137" s="787"/>
      <c r="E137" s="787"/>
      <c r="F137" s="787"/>
      <c r="G137" s="787"/>
      <c r="H137" s="787"/>
      <c r="I137" s="467"/>
      <c r="J137" s="1502"/>
      <c r="K137" s="1503"/>
      <c r="P137" s="1502"/>
      <c r="Q137" s="1503"/>
      <c r="V137" s="1495"/>
      <c r="W137" s="1496"/>
    </row>
    <row r="138" spans="1:23" s="386" customFormat="1" ht="13.9" customHeight="1">
      <c r="B138" s="787" t="s">
        <v>2868</v>
      </c>
      <c r="D138" s="787"/>
      <c r="E138" s="787"/>
      <c r="F138" s="787"/>
      <c r="G138" s="787"/>
      <c r="H138" s="787"/>
      <c r="I138" s="467"/>
      <c r="J138" s="1502"/>
      <c r="K138" s="1503"/>
      <c r="P138" s="1502"/>
      <c r="Q138" s="1503"/>
      <c r="V138" s="1497"/>
      <c r="W138" s="1498"/>
    </row>
    <row r="139" spans="1:23" s="386" customFormat="1" ht="13.9" customHeight="1">
      <c r="B139" s="787" t="s">
        <v>2567</v>
      </c>
      <c r="D139" s="787"/>
      <c r="E139" s="787"/>
      <c r="I139" s="467"/>
      <c r="J139" s="1502"/>
      <c r="K139" s="1503"/>
      <c r="P139" s="1502"/>
      <c r="Q139" s="1503"/>
      <c r="V139" s="1497"/>
      <c r="W139" s="1498"/>
    </row>
    <row r="140" spans="1:23" s="386" customFormat="1" ht="13.9" customHeight="1">
      <c r="B140" s="787" t="s">
        <v>2568</v>
      </c>
      <c r="D140" s="787"/>
      <c r="E140" s="787"/>
      <c r="I140" s="467"/>
      <c r="J140" s="1502"/>
      <c r="K140" s="1503"/>
      <c r="P140" s="1502"/>
      <c r="Q140" s="1503"/>
      <c r="V140" s="1497"/>
      <c r="W140" s="1498"/>
    </row>
    <row r="141" spans="1:23" s="386" customFormat="1" ht="13.9" customHeight="1">
      <c r="B141" s="787" t="s">
        <v>279</v>
      </c>
      <c r="D141" s="787"/>
      <c r="E141" s="787"/>
      <c r="I141" s="467"/>
      <c r="J141" s="1502"/>
      <c r="K141" s="1503"/>
      <c r="P141" s="1502"/>
      <c r="Q141" s="1503"/>
      <c r="V141" s="1497"/>
      <c r="W141" s="1498"/>
    </row>
    <row r="142" spans="1:23" s="386" customFormat="1" ht="13.9" customHeight="1" thickBot="1">
      <c r="B142" s="787" t="s">
        <v>2066</v>
      </c>
      <c r="C142" s="1300" t="s">
        <v>3180</v>
      </c>
      <c r="D142" s="1300"/>
      <c r="E142" s="1300"/>
      <c r="F142" s="1300"/>
      <c r="G142" s="1300"/>
      <c r="H142" s="1300"/>
      <c r="I142" s="1301"/>
      <c r="J142" s="1502"/>
      <c r="K142" s="1503"/>
      <c r="P142" s="1502"/>
      <c r="Q142" s="1503"/>
      <c r="V142" s="1497"/>
      <c r="W142" s="1498"/>
    </row>
    <row r="143" spans="1:23" s="386" customFormat="1" ht="13.9" customHeight="1" thickBot="1">
      <c r="B143" s="398" t="s">
        <v>2569</v>
      </c>
      <c r="C143" s="401"/>
      <c r="J143" s="895">
        <f>SUM(J137:K142)</f>
        <v>0</v>
      </c>
      <c r="K143" s="896"/>
      <c r="P143" s="895">
        <f>SUM(P137:Q142)</f>
        <v>0</v>
      </c>
      <c r="Q143" s="896"/>
      <c r="V143" s="1500"/>
      <c r="W143" s="1501"/>
    </row>
    <row r="144" spans="1:23" s="386" customFormat="1" ht="3" customHeight="1"/>
    <row r="145" spans="1:23" s="386" customFormat="1" ht="15" customHeight="1" thickBot="1">
      <c r="B145" s="389" t="s">
        <v>3071</v>
      </c>
      <c r="V145" s="386" t="str">
        <f>B145</f>
        <v>Eligible Basis Calculation</v>
      </c>
    </row>
    <row r="146" spans="1:23" s="386" customFormat="1" ht="13.9" customHeight="1">
      <c r="B146" s="386" t="s">
        <v>2486</v>
      </c>
      <c r="J146" s="1000">
        <f>J129</f>
        <v>9753636</v>
      </c>
      <c r="K146" s="1001"/>
      <c r="M146" s="1002">
        <f>M129</f>
        <v>0</v>
      </c>
      <c r="N146" s="1003"/>
      <c r="P146" s="1000">
        <f>P129</f>
        <v>0</v>
      </c>
      <c r="Q146" s="1001"/>
      <c r="V146" s="1495"/>
      <c r="W146" s="1496"/>
    </row>
    <row r="147" spans="1:23" s="386" customFormat="1" ht="13.9" customHeight="1">
      <c r="B147" s="386" t="s">
        <v>2943</v>
      </c>
      <c r="J147" s="947">
        <f>J143</f>
        <v>0</v>
      </c>
      <c r="K147" s="948"/>
      <c r="M147" s="951"/>
      <c r="N147" s="951"/>
      <c r="P147" s="947">
        <f>P143</f>
        <v>0</v>
      </c>
      <c r="Q147" s="948"/>
      <c r="V147" s="1497"/>
      <c r="W147" s="1498"/>
    </row>
    <row r="148" spans="1:23" s="386" customFormat="1" ht="13.9" customHeight="1">
      <c r="B148" s="386" t="s">
        <v>2944</v>
      </c>
      <c r="J148" s="947">
        <f>J146-J147</f>
        <v>9753636</v>
      </c>
      <c r="K148" s="948"/>
      <c r="M148" s="947">
        <f>M146</f>
        <v>0</v>
      </c>
      <c r="N148" s="948"/>
      <c r="P148" s="947">
        <f>P146-P147</f>
        <v>0</v>
      </c>
      <c r="Q148" s="948"/>
      <c r="V148" s="1497"/>
      <c r="W148" s="1498"/>
    </row>
    <row r="149" spans="1:23" s="386" customFormat="1" ht="13.9" customHeight="1">
      <c r="B149" s="386" t="s">
        <v>1937</v>
      </c>
      <c r="G149" s="779" t="s">
        <v>2404</v>
      </c>
      <c r="H149" s="1290" t="s">
        <v>4079</v>
      </c>
      <c r="I149" s="1291"/>
      <c r="J149" s="1504">
        <v>1</v>
      </c>
      <c r="K149" s="1505"/>
      <c r="M149" s="999"/>
      <c r="N149" s="999"/>
      <c r="P149" s="1504"/>
      <c r="Q149" s="1505"/>
      <c r="V149" s="1497"/>
      <c r="W149" s="1498"/>
    </row>
    <row r="150" spans="1:23" s="386" customFormat="1" ht="13.9" customHeight="1">
      <c r="B150" s="386" t="s">
        <v>2769</v>
      </c>
      <c r="J150" s="947">
        <f>J148*J149</f>
        <v>9753636</v>
      </c>
      <c r="K150" s="948"/>
      <c r="M150" s="947">
        <f>+M148</f>
        <v>0</v>
      </c>
      <c r="N150" s="948"/>
      <c r="P150" s="947">
        <f>P148*P149</f>
        <v>0</v>
      </c>
      <c r="Q150" s="948"/>
      <c r="V150" s="1497"/>
      <c r="W150" s="1498"/>
    </row>
    <row r="151" spans="1:23" s="386" customFormat="1" ht="13.9" customHeight="1">
      <c r="B151" s="386" t="s">
        <v>3338</v>
      </c>
      <c r="J151" s="949">
        <f>MIN('Part VI-Revenues &amp; Expenses'!$M$58/'Part VI-Revenues &amp; Expenses'!$M$60,'Part VI-Revenues &amp; Expenses'!$M$96/'Part VI-Revenues &amp; Expenses'!$M$98)</f>
        <v>0.93391719745222934</v>
      </c>
      <c r="K151" s="950"/>
      <c r="M151" s="949">
        <f>MIN('Part VI-Revenues &amp; Expenses'!$M$58/'Part VI-Revenues &amp; Expenses'!$M$60,'Part VI-Revenues &amp; Expenses'!$M$96/'Part VI-Revenues &amp; Expenses'!$M$98)</f>
        <v>0.93391719745222934</v>
      </c>
      <c r="N151" s="950"/>
      <c r="P151" s="949">
        <f>MIN('Part VI-Revenues &amp; Expenses'!$M$58/'Part VI-Revenues &amp; Expenses'!$M$60,'Part VI-Revenues &amp; Expenses'!$M$96/'Part VI-Revenues &amp; Expenses'!$M$98)</f>
        <v>0.93391719745222934</v>
      </c>
      <c r="Q151" s="950"/>
      <c r="V151" s="1497"/>
      <c r="W151" s="1498"/>
    </row>
    <row r="152" spans="1:23" s="386" customFormat="1" ht="13.9" customHeight="1">
      <c r="B152" s="386" t="s">
        <v>2759</v>
      </c>
      <c r="J152" s="947">
        <f>J150*J151</f>
        <v>9109088.3980891723</v>
      </c>
      <c r="K152" s="948"/>
      <c r="M152" s="947">
        <f>M150*M151</f>
        <v>0</v>
      </c>
      <c r="N152" s="948"/>
      <c r="P152" s="947">
        <f>P150*P151</f>
        <v>0</v>
      </c>
      <c r="Q152" s="948"/>
      <c r="V152" s="1497"/>
      <c r="W152" s="1498"/>
    </row>
    <row r="153" spans="1:23" s="386" customFormat="1" ht="13.9" customHeight="1">
      <c r="B153" s="386" t="s">
        <v>2760</v>
      </c>
      <c r="J153" s="1504">
        <v>7.4099999999999999E-2</v>
      </c>
      <c r="K153" s="1505"/>
      <c r="M153" s="1504"/>
      <c r="N153" s="1505"/>
      <c r="P153" s="1504"/>
      <c r="Q153" s="1505"/>
      <c r="V153" s="1497"/>
      <c r="W153" s="1498"/>
    </row>
    <row r="154" spans="1:23" s="386" customFormat="1" ht="13.9" customHeight="1" thickBot="1">
      <c r="B154" s="386" t="s">
        <v>3339</v>
      </c>
      <c r="J154" s="997">
        <f>J152*J153</f>
        <v>674983.4502984077</v>
      </c>
      <c r="K154" s="998"/>
      <c r="M154" s="997">
        <f>M152*M153</f>
        <v>0</v>
      </c>
      <c r="N154" s="998"/>
      <c r="P154" s="997">
        <f>P152*P153</f>
        <v>0</v>
      </c>
      <c r="Q154" s="998"/>
      <c r="V154" s="1497"/>
      <c r="W154" s="1498"/>
    </row>
    <row r="155" spans="1:23" s="386" customFormat="1" ht="13.9" customHeight="1" thickBot="1">
      <c r="B155" s="389" t="s">
        <v>1867</v>
      </c>
      <c r="J155" s="895">
        <f>J154+M154+P154</f>
        <v>674983.4502984077</v>
      </c>
      <c r="K155" s="989"/>
      <c r="L155" s="989"/>
      <c r="M155" s="989"/>
      <c r="N155" s="989"/>
      <c r="O155" s="989"/>
      <c r="P155" s="989"/>
      <c r="Q155" s="896"/>
      <c r="V155" s="1500"/>
      <c r="W155" s="1501"/>
    </row>
    <row r="156" spans="1:23" s="386" customFormat="1" ht="6" customHeight="1">
      <c r="B156" s="468"/>
      <c r="L156" s="469"/>
      <c r="M156" s="469"/>
      <c r="N156" s="469"/>
      <c r="O156" s="469"/>
    </row>
    <row r="157" spans="1:23" s="386" customFormat="1" ht="13.9" customHeight="1">
      <c r="A157" s="567" t="s">
        <v>1047</v>
      </c>
      <c r="B157" s="567" t="s">
        <v>1870</v>
      </c>
      <c r="H157" s="460"/>
      <c r="I157" s="460"/>
      <c r="L157" s="787"/>
      <c r="M157" s="673"/>
      <c r="N157" s="787"/>
      <c r="O157" s="787"/>
      <c r="P157" s="787"/>
      <c r="Q157" s="787"/>
      <c r="R157" s="787"/>
      <c r="S157" s="787"/>
      <c r="T157" s="787"/>
    </row>
    <row r="158" spans="1:23" s="386" customFormat="1" ht="15" customHeight="1" thickBot="1">
      <c r="B158" s="389" t="s">
        <v>191</v>
      </c>
      <c r="H158" s="351"/>
      <c r="M158" s="673"/>
      <c r="N158" s="787"/>
      <c r="O158" s="787"/>
      <c r="P158" s="787"/>
      <c r="Q158" s="787"/>
      <c r="R158" s="787"/>
      <c r="S158" s="787"/>
      <c r="T158" s="787"/>
      <c r="V158" s="567" t="str">
        <f>B157</f>
        <v>TAX CREDIT CALCULATION - GAP METHOD</v>
      </c>
    </row>
    <row r="159" spans="1:23" s="386" customFormat="1" ht="15" customHeight="1">
      <c r="B159" s="377" t="s">
        <v>3927</v>
      </c>
      <c r="G159" s="984" t="str">
        <f>IF(J160&gt;J159,"TDC exceeds QAP PUCL!","")</f>
        <v/>
      </c>
      <c r="H159" s="984"/>
      <c r="I159" s="985"/>
      <c r="J159" s="986">
        <f>'Part VIII-Threshold Criteria'!$P$48</f>
        <v>10514744</v>
      </c>
      <c r="K159" s="987"/>
      <c r="L159" s="988"/>
      <c r="M159" s="974" t="s">
        <v>3769</v>
      </c>
      <c r="N159" s="975"/>
      <c r="O159" s="975"/>
      <c r="P159" s="975"/>
      <c r="Q159" s="975"/>
      <c r="R159" s="976"/>
      <c r="S159" s="980" t="s">
        <v>3669</v>
      </c>
      <c r="T159" s="981"/>
      <c r="V159" s="1495"/>
      <c r="W159" s="1496"/>
    </row>
    <row r="160" spans="1:23" s="386" customFormat="1" ht="13.9" customHeight="1">
      <c r="B160" s="386" t="s">
        <v>3771</v>
      </c>
      <c r="J160" s="1506">
        <v>10471563</v>
      </c>
      <c r="K160" s="1507"/>
      <c r="L160" s="1508"/>
      <c r="M160" s="977"/>
      <c r="N160" s="978"/>
      <c r="O160" s="978"/>
      <c r="P160" s="978"/>
      <c r="Q160" s="978"/>
      <c r="R160" s="979"/>
      <c r="S160" s="982"/>
      <c r="T160" s="983"/>
      <c r="V160" s="1497"/>
      <c r="W160" s="1498"/>
    </row>
    <row r="161" spans="1:23" s="386" customFormat="1" ht="13.9" customHeight="1">
      <c r="B161" s="386" t="s">
        <v>289</v>
      </c>
      <c r="J161" s="947">
        <f ca="1">'Part III-Sources of Funds'!$H$49-'Part III-Sources of Funds'!H36-'Part III-Sources of Funds'!$H$37-'Part III-Sources of Funds'!$H$40-'Part III-Sources of Funds'!$H$41</f>
        <v>3525000.0000000009</v>
      </c>
      <c r="K161" s="951"/>
      <c r="L161" s="990"/>
      <c r="M161" s="977"/>
      <c r="N161" s="978"/>
      <c r="O161" s="978"/>
      <c r="P161" s="978"/>
      <c r="Q161" s="978"/>
      <c r="R161" s="979"/>
      <c r="S161" s="982"/>
      <c r="T161" s="983"/>
      <c r="V161" s="1497"/>
      <c r="W161" s="1498"/>
    </row>
    <row r="162" spans="1:23" s="386" customFormat="1" ht="13.9" customHeight="1" thickBot="1">
      <c r="B162" s="386" t="s">
        <v>2956</v>
      </c>
      <c r="J162" s="947">
        <f ca="1">+J160-J161</f>
        <v>6946562.9999999991</v>
      </c>
      <c r="K162" s="951"/>
      <c r="L162" s="990"/>
      <c r="M162" s="1005" t="s">
        <v>3770</v>
      </c>
      <c r="N162" s="1006"/>
      <c r="O162" s="991">
        <f>'Part III-Sources of Funds'!H36</f>
        <v>0</v>
      </c>
      <c r="P162" s="991"/>
      <c r="Q162" s="991"/>
      <c r="R162" s="992"/>
      <c r="S162" s="540" t="s">
        <v>2342</v>
      </c>
      <c r="T162" s="1509"/>
      <c r="V162" s="1497"/>
      <c r="W162" s="1498"/>
    </row>
    <row r="163" spans="1:23" s="386" customFormat="1" ht="13.9" customHeight="1">
      <c r="B163" s="386" t="s">
        <v>1720</v>
      </c>
      <c r="J163" s="1004" t="str">
        <f>"/ 10"</f>
        <v>/ 10</v>
      </c>
      <c r="K163" s="1004"/>
      <c r="L163" s="1004"/>
      <c r="M163" s="787"/>
      <c r="N163" s="668"/>
      <c r="O163" s="668"/>
      <c r="P163" s="668"/>
      <c r="Q163" s="668"/>
      <c r="R163" s="668"/>
      <c r="V163" s="1497"/>
      <c r="W163" s="1498"/>
    </row>
    <row r="164" spans="1:23" s="386" customFormat="1" ht="13.9" customHeight="1">
      <c r="B164" s="386" t="s">
        <v>1721</v>
      </c>
      <c r="J164" s="947">
        <f ca="1">J162/10</f>
        <v>694656.29999999993</v>
      </c>
      <c r="K164" s="951"/>
      <c r="L164" s="948"/>
      <c r="M164" s="406"/>
      <c r="N164" s="829" t="s">
        <v>1722</v>
      </c>
      <c r="O164" s="829"/>
      <c r="Q164" s="829" t="s">
        <v>2495</v>
      </c>
      <c r="R164" s="829"/>
      <c r="V164" s="1497"/>
      <c r="W164" s="1498"/>
    </row>
    <row r="165" spans="1:23" s="386" customFormat="1" ht="13.9" customHeight="1" thickBot="1">
      <c r="B165" s="386" t="s">
        <v>1936</v>
      </c>
      <c r="J165" s="993">
        <f>N165+Q165</f>
        <v>1.21</v>
      </c>
      <c r="K165" s="994"/>
      <c r="L165" s="995"/>
      <c r="M165" s="779" t="s">
        <v>1723</v>
      </c>
      <c r="N165" s="1510">
        <v>0.88</v>
      </c>
      <c r="O165" s="1511"/>
      <c r="P165" s="779" t="s">
        <v>792</v>
      </c>
      <c r="Q165" s="1510">
        <v>0.33</v>
      </c>
      <c r="R165" s="1511"/>
      <c r="V165" s="1497"/>
      <c r="W165" s="1498"/>
    </row>
    <row r="166" spans="1:23" s="386" customFormat="1" ht="13.9" customHeight="1" thickBot="1">
      <c r="B166" s="389" t="s">
        <v>1868</v>
      </c>
      <c r="J166" s="895">
        <f ca="1">IF(J165=0,"",J164/J165)</f>
        <v>574096.11570247926</v>
      </c>
      <c r="K166" s="989"/>
      <c r="L166" s="896"/>
      <c r="M166" s="406"/>
      <c r="N166" s="787"/>
      <c r="O166" s="787"/>
      <c r="V166" s="1497"/>
      <c r="W166" s="1498"/>
    </row>
    <row r="167" spans="1:23" s="386" customFormat="1" ht="6" customHeight="1">
      <c r="J167" s="470"/>
      <c r="K167" s="470"/>
      <c r="L167" s="470"/>
      <c r="M167" s="406"/>
      <c r="N167" s="790"/>
      <c r="O167" s="790"/>
      <c r="V167" s="1497"/>
      <c r="W167" s="1498"/>
    </row>
    <row r="168" spans="1:23" s="386" customFormat="1" ht="16.149999999999999" customHeight="1">
      <c r="B168" s="389" t="s">
        <v>381</v>
      </c>
      <c r="J168" s="971">
        <f ca="1">+MIN(J155,J166,'DCA Underwriting Assumptions'!$R$6)</f>
        <v>574096.11570247926</v>
      </c>
      <c r="K168" s="972"/>
      <c r="L168" s="973"/>
      <c r="M168" s="406"/>
      <c r="N168" s="790"/>
      <c r="O168" s="790"/>
      <c r="V168" s="1497"/>
      <c r="W168" s="1498"/>
    </row>
    <row r="169" spans="1:23" s="386" customFormat="1" ht="3" customHeight="1">
      <c r="J169" s="470"/>
      <c r="K169" s="470"/>
      <c r="L169" s="470"/>
      <c r="M169" s="406"/>
      <c r="N169" s="790"/>
      <c r="O169" s="790"/>
      <c r="V169" s="1497"/>
      <c r="W169" s="1498"/>
    </row>
    <row r="170" spans="1:23" s="386" customFormat="1" ht="16.149999999999999" customHeight="1">
      <c r="B170" s="389" t="s">
        <v>382</v>
      </c>
      <c r="J170" s="1512">
        <v>574096</v>
      </c>
      <c r="K170" s="1513"/>
      <c r="L170" s="1514"/>
      <c r="M170" s="471" t="str">
        <f ca="1">IF(J168=0,"",IF(J170&gt;J168,"ALLOCATION CANNOT EXCEED MAXIMUM - REVISE REQUEST!",""))</f>
        <v/>
      </c>
      <c r="N170" s="790"/>
      <c r="O170" s="790"/>
      <c r="V170" s="1497"/>
      <c r="W170" s="1498"/>
    </row>
    <row r="171" spans="1:23" s="386" customFormat="1" ht="3" customHeight="1">
      <c r="J171" s="470"/>
      <c r="K171" s="470"/>
      <c r="L171" s="470"/>
      <c r="M171" s="406"/>
      <c r="N171" s="790"/>
      <c r="O171" s="790"/>
      <c r="V171" s="1497"/>
      <c r="W171" s="1498"/>
    </row>
    <row r="172" spans="1:23" s="386" customFormat="1" ht="16.149999999999999" customHeight="1">
      <c r="A172" s="567" t="s">
        <v>2488</v>
      </c>
      <c r="B172" s="567" t="s">
        <v>3419</v>
      </c>
      <c r="D172" s="406"/>
      <c r="E172" s="406"/>
      <c r="F172" s="392"/>
      <c r="J172" s="971">
        <f ca="1">IF(J170="",0,+MIN(J168,J170))</f>
        <v>574096</v>
      </c>
      <c r="K172" s="972"/>
      <c r="L172" s="973"/>
      <c r="N172" s="1515"/>
      <c r="O172" s="1515"/>
      <c r="P172" s="1515"/>
      <c r="Q172" s="1515"/>
      <c r="R172" s="1515"/>
      <c r="S172" s="1515"/>
      <c r="T172" s="1515"/>
      <c r="V172" s="1500"/>
      <c r="W172" s="1501"/>
    </row>
    <row r="173" spans="1:23" ht="3" customHeight="1"/>
    <row r="174" spans="1:23" ht="6" customHeight="1"/>
    <row r="175" spans="1:23" ht="12" customHeight="1">
      <c r="A175" s="389" t="s">
        <v>2490</v>
      </c>
      <c r="B175" s="415" t="s">
        <v>744</v>
      </c>
      <c r="K175" s="389" t="s">
        <v>697</v>
      </c>
      <c r="L175" s="389" t="s">
        <v>83</v>
      </c>
    </row>
    <row r="176" spans="1:23" ht="201" customHeight="1">
      <c r="A176" s="1516" t="s">
        <v>4178</v>
      </c>
      <c r="B176" s="1517"/>
      <c r="C176" s="1517"/>
      <c r="D176" s="1517"/>
      <c r="E176" s="1517"/>
      <c r="F176" s="1517"/>
      <c r="G176" s="1517"/>
      <c r="H176" s="1517"/>
      <c r="I176" s="1517"/>
      <c r="J176" s="1518"/>
      <c r="K176" s="1519"/>
      <c r="L176" s="1517"/>
      <c r="M176" s="1517"/>
      <c r="N176" s="1517"/>
      <c r="O176" s="1517"/>
      <c r="P176" s="1517"/>
      <c r="Q176" s="1517"/>
      <c r="R176" s="1517"/>
      <c r="S176" s="1517"/>
      <c r="T176" s="1518"/>
      <c r="V176" s="915" t="s">
        <v>3595</v>
      </c>
      <c r="W176" s="915"/>
    </row>
    <row r="177" spans="1:1" ht="11.25" customHeight="1"/>
    <row r="178" spans="1:1" ht="12" customHeight="1"/>
    <row r="179" spans="1:1" ht="12" customHeight="1"/>
    <row r="180" spans="1:1" ht="14.45" customHeight="1"/>
    <row r="181" spans="1:1" s="386" customFormat="1" ht="14.45" customHeight="1"/>
    <row r="182" spans="1:1" s="386" customFormat="1" ht="14.45" customHeight="1"/>
    <row r="183" spans="1:1" s="386" customFormat="1" ht="14.45" customHeight="1"/>
    <row r="184" spans="1:1" ht="14.45" customHeight="1"/>
    <row r="185" spans="1:1" s="386" customFormat="1" ht="14.45" customHeight="1">
      <c r="A185" s="393"/>
    </row>
    <row r="186" spans="1:1" ht="14.45" customHeight="1"/>
    <row r="187" spans="1:1" s="386" customFormat="1" ht="14.45" customHeight="1"/>
    <row r="188" spans="1:1" s="386" customFormat="1" ht="14.45" customHeight="1">
      <c r="A188" s="393"/>
    </row>
    <row r="189" spans="1:1" s="386" customFormat="1" ht="14.45" customHeight="1">
      <c r="A189" s="687"/>
    </row>
    <row r="190" spans="1:1" s="386" customFormat="1" ht="14.45" customHeight="1"/>
    <row r="191" spans="1:1" s="386" customFormat="1" ht="14.45" customHeight="1">
      <c r="A191" s="431"/>
    </row>
    <row r="192" spans="1:1" s="386" customFormat="1" ht="14.45" customHeight="1">
      <c r="A192" s="431"/>
    </row>
    <row r="193" spans="1:1" s="386" customFormat="1" ht="14.45" customHeight="1">
      <c r="A193" s="431"/>
    </row>
    <row r="194" spans="1:1" s="386" customFormat="1" ht="14.45" customHeight="1"/>
    <row r="195" spans="1:1" s="386" customFormat="1" ht="14.45" customHeight="1"/>
    <row r="196" spans="1: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s="386" customFormat="1" ht="14.45" customHeight="1"/>
    <row r="205" spans="1: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sheetData>
  <sheetProtection password="BD88" sheet="1" objects="1" scenarios="1" formatColumns="0" formatRows="0"/>
  <mergeCells count="550">
    <mergeCell ref="P78:Q78"/>
    <mergeCell ref="M78:N78"/>
    <mergeCell ref="P75:Q75"/>
    <mergeCell ref="M84:N84"/>
    <mergeCell ref="M92:N93"/>
    <mergeCell ref="M90:N90"/>
    <mergeCell ref="M88:N88"/>
    <mergeCell ref="J90:K90"/>
    <mergeCell ref="J125:K125"/>
    <mergeCell ref="P80:Q80"/>
    <mergeCell ref="M89:N89"/>
    <mergeCell ref="J89:K89"/>
    <mergeCell ref="J92:K93"/>
    <mergeCell ref="M108:N108"/>
    <mergeCell ref="M106:N106"/>
    <mergeCell ref="M109:N109"/>
    <mergeCell ref="M80:N80"/>
    <mergeCell ref="M75:N75"/>
    <mergeCell ref="J78:K78"/>
    <mergeCell ref="J85:K85"/>
    <mergeCell ref="J87:K87"/>
    <mergeCell ref="M76:N76"/>
    <mergeCell ref="M81:N81"/>
    <mergeCell ref="M79:N79"/>
    <mergeCell ref="S120:T120"/>
    <mergeCell ref="P123:Q123"/>
    <mergeCell ref="J112:K112"/>
    <mergeCell ref="J113:K113"/>
    <mergeCell ref="S121:T121"/>
    <mergeCell ref="M123:N123"/>
    <mergeCell ref="P114:Q114"/>
    <mergeCell ref="P118:Q118"/>
    <mergeCell ref="P115:Q115"/>
    <mergeCell ref="S117:T117"/>
    <mergeCell ref="S119:T119"/>
    <mergeCell ref="S123:T123"/>
    <mergeCell ref="M115:N115"/>
    <mergeCell ref="V176:W176"/>
    <mergeCell ref="V159:W172"/>
    <mergeCell ref="J121:K121"/>
    <mergeCell ref="M121:N121"/>
    <mergeCell ref="J170:L170"/>
    <mergeCell ref="J162:L162"/>
    <mergeCell ref="J163:L163"/>
    <mergeCell ref="P122:Q122"/>
    <mergeCell ref="P143:Q143"/>
    <mergeCell ref="P140:Q140"/>
    <mergeCell ref="P127:Q127"/>
    <mergeCell ref="J168:L168"/>
    <mergeCell ref="J152:K152"/>
    <mergeCell ref="J147:K147"/>
    <mergeCell ref="M162:N162"/>
    <mergeCell ref="J142:K142"/>
    <mergeCell ref="A176:J176"/>
    <mergeCell ref="K176:T176"/>
    <mergeCell ref="J127:K127"/>
    <mergeCell ref="G123:H123"/>
    <mergeCell ref="G125:H125"/>
    <mergeCell ref="J153:K153"/>
    <mergeCell ref="M154:N154"/>
    <mergeCell ref="M153:N153"/>
    <mergeCell ref="C32:D32"/>
    <mergeCell ref="P154:Q154"/>
    <mergeCell ref="P153:Q153"/>
    <mergeCell ref="J154:K154"/>
    <mergeCell ref="J151:K151"/>
    <mergeCell ref="M149:N149"/>
    <mergeCell ref="J146:K146"/>
    <mergeCell ref="C142:I142"/>
    <mergeCell ref="J138:K138"/>
    <mergeCell ref="J137:K137"/>
    <mergeCell ref="P148:Q148"/>
    <mergeCell ref="M146:N146"/>
    <mergeCell ref="J141:K141"/>
    <mergeCell ref="J143:K143"/>
    <mergeCell ref="J139:K139"/>
    <mergeCell ref="P139:Q139"/>
    <mergeCell ref="P138:Q138"/>
    <mergeCell ref="P146:Q146"/>
    <mergeCell ref="J140:K140"/>
    <mergeCell ref="P142:Q142"/>
    <mergeCell ref="J74:K74"/>
    <mergeCell ref="M74:N74"/>
    <mergeCell ref="P74:Q74"/>
    <mergeCell ref="J123:K123"/>
    <mergeCell ref="G19:H19"/>
    <mergeCell ref="J172:L172"/>
    <mergeCell ref="J160:L160"/>
    <mergeCell ref="M159:R161"/>
    <mergeCell ref="S159:T161"/>
    <mergeCell ref="G159:I159"/>
    <mergeCell ref="J159:L159"/>
    <mergeCell ref="J166:L166"/>
    <mergeCell ref="J161:L161"/>
    <mergeCell ref="Q165:R165"/>
    <mergeCell ref="O162:R162"/>
    <mergeCell ref="J164:L164"/>
    <mergeCell ref="J165:L165"/>
    <mergeCell ref="N165:O165"/>
    <mergeCell ref="N164:O164"/>
    <mergeCell ref="Q164:R164"/>
    <mergeCell ref="J155:Q155"/>
    <mergeCell ref="H149:I149"/>
    <mergeCell ref="P137:Q137"/>
    <mergeCell ref="S74:T74"/>
    <mergeCell ref="J122:K122"/>
    <mergeCell ref="J126:K126"/>
    <mergeCell ref="J110:K110"/>
    <mergeCell ref="P110:Q110"/>
    <mergeCell ref="C15:F15"/>
    <mergeCell ref="G129:H129"/>
    <mergeCell ref="D131:E131"/>
    <mergeCell ref="J129:K129"/>
    <mergeCell ref="G115:H115"/>
    <mergeCell ref="M134:N135"/>
    <mergeCell ref="M126:N126"/>
    <mergeCell ref="M127:N127"/>
    <mergeCell ref="G120:H120"/>
    <mergeCell ref="J118:K118"/>
    <mergeCell ref="G119:H119"/>
    <mergeCell ref="G118:H118"/>
    <mergeCell ref="C61:F61"/>
    <mergeCell ref="G61:H61"/>
    <mergeCell ref="J61:K61"/>
    <mergeCell ref="M61:N61"/>
    <mergeCell ref="G23:H23"/>
    <mergeCell ref="G15:H15"/>
    <mergeCell ref="J26:K26"/>
    <mergeCell ref="C16:F16"/>
    <mergeCell ref="J25:K25"/>
    <mergeCell ref="M21:N21"/>
    <mergeCell ref="M23:N23"/>
    <mergeCell ref="J16:K16"/>
    <mergeCell ref="M25:N25"/>
    <mergeCell ref="G25:H25"/>
    <mergeCell ref="P49:Q50"/>
    <mergeCell ref="G30:H30"/>
    <mergeCell ref="G31:H31"/>
    <mergeCell ref="G29:H29"/>
    <mergeCell ref="G32:H32"/>
    <mergeCell ref="M26:N26"/>
    <mergeCell ref="J31:K31"/>
    <mergeCell ref="J29:K29"/>
    <mergeCell ref="G26:H26"/>
    <mergeCell ref="P40:Q40"/>
    <mergeCell ref="G34:H34"/>
    <mergeCell ref="G36:H36"/>
    <mergeCell ref="P36:Q36"/>
    <mergeCell ref="P34:Q34"/>
    <mergeCell ref="G27:H27"/>
    <mergeCell ref="V1:W1"/>
    <mergeCell ref="P92:Q93"/>
    <mergeCell ref="P89:Q89"/>
    <mergeCell ref="S46:T46"/>
    <mergeCell ref="S68:T68"/>
    <mergeCell ref="S78:T78"/>
    <mergeCell ref="P79:Q79"/>
    <mergeCell ref="P76:Q76"/>
    <mergeCell ref="S80:T80"/>
    <mergeCell ref="S34:T34"/>
    <mergeCell ref="S31:T31"/>
    <mergeCell ref="A1:T1"/>
    <mergeCell ref="M30:N30"/>
    <mergeCell ref="S16:T16"/>
    <mergeCell ref="S5:T6"/>
    <mergeCell ref="S73:T73"/>
    <mergeCell ref="G67:H67"/>
    <mergeCell ref="G50:H50"/>
    <mergeCell ref="G55:H55"/>
    <mergeCell ref="G65:H65"/>
    <mergeCell ref="G43:H43"/>
    <mergeCell ref="P61:Q61"/>
    <mergeCell ref="D42:D43"/>
    <mergeCell ref="C40:F40"/>
    <mergeCell ref="G17:H17"/>
    <mergeCell ref="J32:K32"/>
    <mergeCell ref="J82:K82"/>
    <mergeCell ref="J81:K81"/>
    <mergeCell ref="J73:K73"/>
    <mergeCell ref="J79:K79"/>
    <mergeCell ref="J27:K27"/>
    <mergeCell ref="M68:N68"/>
    <mergeCell ref="J30:K30"/>
    <mergeCell ref="J55:K55"/>
    <mergeCell ref="M37:N37"/>
    <mergeCell ref="J65:K65"/>
    <mergeCell ref="J37:K37"/>
    <mergeCell ref="J35:K35"/>
    <mergeCell ref="J57:K57"/>
    <mergeCell ref="J68:K68"/>
    <mergeCell ref="M69:N69"/>
    <mergeCell ref="M59:N59"/>
    <mergeCell ref="J34:K34"/>
    <mergeCell ref="M34:N34"/>
    <mergeCell ref="J67:K67"/>
    <mergeCell ref="J46:K46"/>
    <mergeCell ref="M63:N63"/>
    <mergeCell ref="J62:K62"/>
    <mergeCell ref="J58:K58"/>
    <mergeCell ref="P58:Q58"/>
    <mergeCell ref="J56:K56"/>
    <mergeCell ref="M57:N57"/>
    <mergeCell ref="J70:K70"/>
    <mergeCell ref="M70:N70"/>
    <mergeCell ref="J60:K60"/>
    <mergeCell ref="J66:K66"/>
    <mergeCell ref="M71:N71"/>
    <mergeCell ref="P67:Q67"/>
    <mergeCell ref="P68:Q68"/>
    <mergeCell ref="M60:N60"/>
    <mergeCell ref="M65:N65"/>
    <mergeCell ref="M62:N62"/>
    <mergeCell ref="P66:Q66"/>
    <mergeCell ref="P56:Q56"/>
    <mergeCell ref="P69:Q69"/>
    <mergeCell ref="J63:K63"/>
    <mergeCell ref="P59:Q59"/>
    <mergeCell ref="P73:Q73"/>
    <mergeCell ref="S32:T32"/>
    <mergeCell ref="S63:T63"/>
    <mergeCell ref="P31:Q31"/>
    <mergeCell ref="M31:N31"/>
    <mergeCell ref="P37:Q37"/>
    <mergeCell ref="M58:N58"/>
    <mergeCell ref="M32:N32"/>
    <mergeCell ref="P32:Q32"/>
    <mergeCell ref="S54:T54"/>
    <mergeCell ref="S57:T57"/>
    <mergeCell ref="S62:T62"/>
    <mergeCell ref="S56:T56"/>
    <mergeCell ref="M55:N55"/>
    <mergeCell ref="P55:Q55"/>
    <mergeCell ref="M56:N56"/>
    <mergeCell ref="S35:T35"/>
    <mergeCell ref="S55:T55"/>
    <mergeCell ref="S40:T40"/>
    <mergeCell ref="M54:N54"/>
    <mergeCell ref="S49:T50"/>
    <mergeCell ref="P35:Q35"/>
    <mergeCell ref="M35:N35"/>
    <mergeCell ref="P52:Q52"/>
    <mergeCell ref="C14:F14"/>
    <mergeCell ref="G14:H14"/>
    <mergeCell ref="P81:Q81"/>
    <mergeCell ref="P121:Q121"/>
    <mergeCell ref="G54:H54"/>
    <mergeCell ref="G53:H53"/>
    <mergeCell ref="M52:N52"/>
    <mergeCell ref="M53:N53"/>
    <mergeCell ref="J53:K53"/>
    <mergeCell ref="G52:H52"/>
    <mergeCell ref="M49:N50"/>
    <mergeCell ref="J80:K80"/>
    <mergeCell ref="M110:N110"/>
    <mergeCell ref="J86:K86"/>
    <mergeCell ref="J88:K88"/>
    <mergeCell ref="J59:K59"/>
    <mergeCell ref="P60:Q60"/>
    <mergeCell ref="P82:Q82"/>
    <mergeCell ref="J75:K75"/>
    <mergeCell ref="G113:H113"/>
    <mergeCell ref="G35:H35"/>
    <mergeCell ref="G59:H59"/>
    <mergeCell ref="G68:H68"/>
    <mergeCell ref="P30:Q30"/>
    <mergeCell ref="P5:Q6"/>
    <mergeCell ref="G6:H6"/>
    <mergeCell ref="J8:K8"/>
    <mergeCell ref="P10:Q10"/>
    <mergeCell ref="P11:Q11"/>
    <mergeCell ref="M82:N82"/>
    <mergeCell ref="M22:N22"/>
    <mergeCell ref="M29:N29"/>
    <mergeCell ref="P13:Q13"/>
    <mergeCell ref="P16:Q16"/>
    <mergeCell ref="P27:Q27"/>
    <mergeCell ref="M27:N27"/>
    <mergeCell ref="P14:Q14"/>
    <mergeCell ref="M17:N17"/>
    <mergeCell ref="M16:N16"/>
    <mergeCell ref="P25:Q25"/>
    <mergeCell ref="J76:K76"/>
    <mergeCell ref="M14:N14"/>
    <mergeCell ref="P17:Q17"/>
    <mergeCell ref="P29:Q29"/>
    <mergeCell ref="J69:K69"/>
    <mergeCell ref="P62:Q62"/>
    <mergeCell ref="P57:Q57"/>
    <mergeCell ref="P63:Q63"/>
    <mergeCell ref="P53:Q53"/>
    <mergeCell ref="C62:F62"/>
    <mergeCell ref="C75:F75"/>
    <mergeCell ref="G73:H73"/>
    <mergeCell ref="G78:H78"/>
    <mergeCell ref="G75:H75"/>
    <mergeCell ref="G69:H69"/>
    <mergeCell ref="G37:H37"/>
    <mergeCell ref="G57:H57"/>
    <mergeCell ref="G72:H72"/>
    <mergeCell ref="G70:H70"/>
    <mergeCell ref="G40:H40"/>
    <mergeCell ref="P71:Q71"/>
    <mergeCell ref="P72:Q72"/>
    <mergeCell ref="P65:Q65"/>
    <mergeCell ref="P70:Q70"/>
    <mergeCell ref="P54:Q54"/>
    <mergeCell ref="P46:Q46"/>
    <mergeCell ref="G71:H71"/>
    <mergeCell ref="G42:H42"/>
    <mergeCell ref="G56:H56"/>
    <mergeCell ref="G66:H66"/>
    <mergeCell ref="G58:H58"/>
    <mergeCell ref="G62:H62"/>
    <mergeCell ref="M5:N6"/>
    <mergeCell ref="J5:K6"/>
    <mergeCell ref="M8:N8"/>
    <mergeCell ref="M9:N9"/>
    <mergeCell ref="M46:N46"/>
    <mergeCell ref="M67:N67"/>
    <mergeCell ref="M73:N73"/>
    <mergeCell ref="J52:K52"/>
    <mergeCell ref="J49:K50"/>
    <mergeCell ref="J71:K71"/>
    <mergeCell ref="J54:K54"/>
    <mergeCell ref="M66:N66"/>
    <mergeCell ref="M72:N72"/>
    <mergeCell ref="J72:K72"/>
    <mergeCell ref="J40:K40"/>
    <mergeCell ref="M40:N40"/>
    <mergeCell ref="J36:K36"/>
    <mergeCell ref="M36:N36"/>
    <mergeCell ref="M10:N10"/>
    <mergeCell ref="M11:N11"/>
    <mergeCell ref="J9:K9"/>
    <mergeCell ref="J10:K10"/>
    <mergeCell ref="J11:K11"/>
    <mergeCell ref="J14:K14"/>
    <mergeCell ref="G63:H63"/>
    <mergeCell ref="C89:F89"/>
    <mergeCell ref="G99:H99"/>
    <mergeCell ref="G93:H93"/>
    <mergeCell ref="G97:H97"/>
    <mergeCell ref="B43:C43"/>
    <mergeCell ref="G80:H80"/>
    <mergeCell ref="G90:H90"/>
    <mergeCell ref="G89:H89"/>
    <mergeCell ref="G46:H46"/>
    <mergeCell ref="G60:H60"/>
    <mergeCell ref="G74:H74"/>
    <mergeCell ref="G82:H82"/>
    <mergeCell ref="G88:H88"/>
    <mergeCell ref="G95:H95"/>
    <mergeCell ref="G98:H98"/>
    <mergeCell ref="G96:H96"/>
    <mergeCell ref="E99:F99"/>
    <mergeCell ref="E98:F98"/>
    <mergeCell ref="G85:H85"/>
    <mergeCell ref="G87:H87"/>
    <mergeCell ref="G81:H81"/>
    <mergeCell ref="G84:H84"/>
    <mergeCell ref="G86:H86"/>
    <mergeCell ref="G106:H106"/>
    <mergeCell ref="G107:H107"/>
    <mergeCell ref="G103:H103"/>
    <mergeCell ref="G104:H104"/>
    <mergeCell ref="C122:F122"/>
    <mergeCell ref="G122:H122"/>
    <mergeCell ref="G101:H101"/>
    <mergeCell ref="G100:H100"/>
    <mergeCell ref="J106:K106"/>
    <mergeCell ref="G112:H112"/>
    <mergeCell ref="C103:F103"/>
    <mergeCell ref="C102:F102"/>
    <mergeCell ref="G102:H102"/>
    <mergeCell ref="G127:H127"/>
    <mergeCell ref="S114:T114"/>
    <mergeCell ref="G126:H126"/>
    <mergeCell ref="G121:H121"/>
    <mergeCell ref="S129:T129"/>
    <mergeCell ref="P152:Q152"/>
    <mergeCell ref="M151:N151"/>
    <mergeCell ref="M148:N148"/>
    <mergeCell ref="M150:N150"/>
    <mergeCell ref="P151:Q151"/>
    <mergeCell ref="M147:N147"/>
    <mergeCell ref="J150:K150"/>
    <mergeCell ref="J149:K149"/>
    <mergeCell ref="J148:K148"/>
    <mergeCell ref="P150:Q150"/>
    <mergeCell ref="P149:Q149"/>
    <mergeCell ref="P147:Q147"/>
    <mergeCell ref="P134:Q135"/>
    <mergeCell ref="P129:Q129"/>
    <mergeCell ref="G131:H131"/>
    <mergeCell ref="M129:N129"/>
    <mergeCell ref="P141:Q141"/>
    <mergeCell ref="M152:N152"/>
    <mergeCell ref="J134:K135"/>
    <mergeCell ref="C126:F126"/>
    <mergeCell ref="S127:T127"/>
    <mergeCell ref="J115:K115"/>
    <mergeCell ref="G117:H117"/>
    <mergeCell ref="S118:T118"/>
    <mergeCell ref="M118:N118"/>
    <mergeCell ref="S125:T125"/>
    <mergeCell ref="S126:T126"/>
    <mergeCell ref="M107:N107"/>
    <mergeCell ref="P125:Q125"/>
    <mergeCell ref="P126:Q126"/>
    <mergeCell ref="M125:N125"/>
    <mergeCell ref="C109:F109"/>
    <mergeCell ref="G109:H109"/>
    <mergeCell ref="J108:K108"/>
    <mergeCell ref="G114:H114"/>
    <mergeCell ref="G108:H108"/>
    <mergeCell ref="G110:H110"/>
    <mergeCell ref="J109:K109"/>
    <mergeCell ref="J107:K107"/>
    <mergeCell ref="J114:K114"/>
    <mergeCell ref="S113:T113"/>
    <mergeCell ref="S122:T122"/>
    <mergeCell ref="M122:N122"/>
    <mergeCell ref="M86:N86"/>
    <mergeCell ref="M85:N85"/>
    <mergeCell ref="S110:T110"/>
    <mergeCell ref="S115:T115"/>
    <mergeCell ref="M114:N114"/>
    <mergeCell ref="S97:T97"/>
    <mergeCell ref="S103:T103"/>
    <mergeCell ref="P87:Q87"/>
    <mergeCell ref="P85:Q85"/>
    <mergeCell ref="S104:T104"/>
    <mergeCell ref="P113:Q113"/>
    <mergeCell ref="S107:T107"/>
    <mergeCell ref="S109:T109"/>
    <mergeCell ref="S90:T90"/>
    <mergeCell ref="S99:T99"/>
    <mergeCell ref="S85:T85"/>
    <mergeCell ref="M113:N113"/>
    <mergeCell ref="S112:T112"/>
    <mergeCell ref="S95:T95"/>
    <mergeCell ref="P106:Q106"/>
    <mergeCell ref="P107:Q107"/>
    <mergeCell ref="P112:Q112"/>
    <mergeCell ref="M112:N112"/>
    <mergeCell ref="G76:H76"/>
    <mergeCell ref="G79:H79"/>
    <mergeCell ref="J84:K84"/>
    <mergeCell ref="M87:N87"/>
    <mergeCell ref="S102:T102"/>
    <mergeCell ref="P84:Q84"/>
    <mergeCell ref="P109:Q109"/>
    <mergeCell ref="P90:Q90"/>
    <mergeCell ref="P86:Q86"/>
    <mergeCell ref="P108:Q108"/>
    <mergeCell ref="S92:T93"/>
    <mergeCell ref="S88:T88"/>
    <mergeCell ref="S106:T106"/>
    <mergeCell ref="S87:T87"/>
    <mergeCell ref="S86:T86"/>
    <mergeCell ref="S89:T89"/>
    <mergeCell ref="S108:T108"/>
    <mergeCell ref="S98:T98"/>
    <mergeCell ref="S100:T100"/>
    <mergeCell ref="S101:T101"/>
    <mergeCell ref="S84:T84"/>
    <mergeCell ref="S96:T96"/>
    <mergeCell ref="S81:T81"/>
    <mergeCell ref="P88:Q88"/>
    <mergeCell ref="V78:W82"/>
    <mergeCell ref="V65:W76"/>
    <mergeCell ref="V52:W63"/>
    <mergeCell ref="V34:W37"/>
    <mergeCell ref="S58:T58"/>
    <mergeCell ref="S60:T60"/>
    <mergeCell ref="S59:T59"/>
    <mergeCell ref="S70:T70"/>
    <mergeCell ref="S82:T82"/>
    <mergeCell ref="S69:T69"/>
    <mergeCell ref="S79:T79"/>
    <mergeCell ref="S71:T71"/>
    <mergeCell ref="S65:T65"/>
    <mergeCell ref="S72:T72"/>
    <mergeCell ref="S76:T76"/>
    <mergeCell ref="S67:T67"/>
    <mergeCell ref="S53:T53"/>
    <mergeCell ref="S66:T66"/>
    <mergeCell ref="S37:T37"/>
    <mergeCell ref="V40:W43"/>
    <mergeCell ref="S75:T75"/>
    <mergeCell ref="S52:T52"/>
    <mergeCell ref="S36:T36"/>
    <mergeCell ref="S61:T61"/>
    <mergeCell ref="V146:W155"/>
    <mergeCell ref="V137:W143"/>
    <mergeCell ref="V125:W129"/>
    <mergeCell ref="V117:W123"/>
    <mergeCell ref="V112:W115"/>
    <mergeCell ref="V106:W110"/>
    <mergeCell ref="V95:W104"/>
    <mergeCell ref="V84:W90"/>
    <mergeCell ref="V93:W93"/>
    <mergeCell ref="V6:W6"/>
    <mergeCell ref="V50:W50"/>
    <mergeCell ref="V46:W46"/>
    <mergeCell ref="V25:W27"/>
    <mergeCell ref="V19:W23"/>
    <mergeCell ref="V8:W17"/>
    <mergeCell ref="S8:T8"/>
    <mergeCell ref="S9:T9"/>
    <mergeCell ref="S11:T11"/>
    <mergeCell ref="S10:T10"/>
    <mergeCell ref="V29:W32"/>
    <mergeCell ref="S12:T12"/>
    <mergeCell ref="S26:T26"/>
    <mergeCell ref="S27:T27"/>
    <mergeCell ref="S15:T15"/>
    <mergeCell ref="S17:T17"/>
    <mergeCell ref="S25:T25"/>
    <mergeCell ref="S20:T20"/>
    <mergeCell ref="S23:T23"/>
    <mergeCell ref="S21:T21"/>
    <mergeCell ref="S22:T22"/>
    <mergeCell ref="S14:T14"/>
    <mergeCell ref="S19:T19"/>
    <mergeCell ref="S30:T30"/>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 ref="M12:N12"/>
    <mergeCell ref="M15:N15"/>
    <mergeCell ref="M13:N13"/>
  </mergeCells>
  <phoneticPr fontId="7" type="noConversion"/>
  <conditionalFormatting sqref="G34">
    <cfRule type="cellIs" dxfId="14" priority="7" stopIfTrue="1" operator="greaterThan">
      <formula>$F34</formula>
    </cfRule>
  </conditionalFormatting>
  <conditionalFormatting sqref="J172:L172">
    <cfRule type="cellIs" dxfId="13" priority="9" stopIfTrue="1" operator="greaterThan">
      <formula>$J$168</formula>
    </cfRule>
  </conditionalFormatting>
  <conditionalFormatting sqref="G35">
    <cfRule type="cellIs" dxfId="12" priority="10" stopIfTrue="1" operator="greaterThan">
      <formula>$F$35</formula>
    </cfRule>
  </conditionalFormatting>
  <conditionalFormatting sqref="G33">
    <cfRule type="cellIs" priority="11" stopIfTrue="1" operator="equal">
      <formula>"""Exceeds the limit! Re-check amounts."""</formula>
    </cfRule>
  </conditionalFormatting>
  <conditionalFormatting sqref="M34:N34 P34:Q34">
    <cfRule type="cellIs" dxfId="11" priority="6" operator="greaterThan">
      <formula>$G$34</formula>
    </cfRule>
  </conditionalFormatting>
  <conditionalFormatting sqref="M35:N36 P35:Q36">
    <cfRule type="cellIs" dxfId="10" priority="5" operator="greaterThan">
      <formula>$G$36</formula>
    </cfRule>
  </conditionalFormatting>
  <conditionalFormatting sqref="G36">
    <cfRule type="cellIs" dxfId="9" priority="4" operator="greaterThan">
      <formula>$F$36</formula>
    </cfRule>
  </conditionalFormatting>
  <conditionalFormatting sqref="J34">
    <cfRule type="cellIs" dxfId="8" priority="2" stopIfTrue="1" operator="greaterThan">
      <formula>$F34</formula>
    </cfRule>
  </conditionalFormatting>
  <conditionalFormatting sqref="J35">
    <cfRule type="cellIs" dxfId="7" priority="3" stopIfTrue="1" operator="greaterThan">
      <formula>$F$35</formula>
    </cfRule>
  </conditionalFormatting>
  <conditionalFormatting sqref="J36">
    <cfRule type="cellIs" dxfId="6" priority="1" operator="greaterThan">
      <formula>$F$36</formula>
    </cfRule>
  </conditionalFormatting>
  <dataValidations xWindow="265" yWindow="773" count="3">
    <dataValidation type="list" operator="greaterThanOrEqual" allowBlank="1" showInputMessage="1" showErrorMessage="1" sqref="T162">
      <formula1>"Yes, No"</formula1>
    </dataValidation>
    <dataValidation type="list" allowBlank="1" showInputMessage="1" showErrorMessage="1" sqref="H149">
      <formula1>"&lt;&lt;Select&gt;&gt;,DDA/QCT, State Boost"</formula1>
    </dataValidation>
    <dataValidation type="list" allowBlank="1" showInputMessage="1" showErrorMessage="1" sqref="E80:E81">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4" manualBreakCount="4">
    <brk id="47" max="16383" man="1"/>
    <brk id="90" max="16383" man="1"/>
    <brk id="132" max="16383" man="1"/>
    <brk id="173"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activeCell="A10"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007" t="str">
        <f>CONCATENATE("PART FIVE - UTILITY ALLOWANCES","  -  ",'Part I-Project Information'!$O$4," ",'Part I-Project Information'!$F$23,", ",'Part I-Project Information'!F26,", ",'Part I-Project Information'!J27," County")</f>
        <v>PART FIVE - UTILITY ALLOWANCES  -  2013-011 Mountain View Senior Residences, Stone Mountain, DeKalb County</v>
      </c>
      <c r="B1" s="1008"/>
      <c r="C1" s="1008"/>
      <c r="D1" s="1008"/>
      <c r="E1" s="1008"/>
      <c r="F1" s="1008"/>
      <c r="G1" s="1008"/>
      <c r="H1" s="1008"/>
      <c r="I1" s="1008"/>
      <c r="J1" s="1008"/>
      <c r="K1" s="1008"/>
      <c r="L1" s="1008"/>
      <c r="M1" s="1008"/>
      <c r="N1" s="11"/>
      <c r="O1" s="11"/>
      <c r="P1" s="11"/>
      <c r="Q1" s="11"/>
      <c r="R1" s="19"/>
      <c r="S1" s="19"/>
      <c r="T1" s="19"/>
    </row>
    <row r="2" spans="1:20" s="9" customFormat="1"/>
    <row r="3" spans="1:20" s="9" customFormat="1">
      <c r="F3" s="5" t="s">
        <v>682</v>
      </c>
      <c r="I3" s="811" t="str">
        <f>VLOOKUP('Part I-Project Information'!$J$27,'Part I-Project Information'!$C$177:$D$336,2)</f>
        <v>Middle</v>
      </c>
    </row>
    <row r="4" spans="1:20" s="9" customFormat="1"/>
    <row r="5" spans="1:20" s="9" customFormat="1">
      <c r="A5" s="16" t="s">
        <v>796</v>
      </c>
      <c r="B5" s="16" t="s">
        <v>2951</v>
      </c>
      <c r="F5" s="9" t="s">
        <v>3305</v>
      </c>
      <c r="I5" s="1520" t="s">
        <v>4069</v>
      </c>
      <c r="J5" s="1521"/>
      <c r="K5" s="1521"/>
      <c r="L5" s="1521"/>
      <c r="M5" s="1522"/>
    </row>
    <row r="6" spans="1:20" s="9" customFormat="1" ht="13.15" customHeight="1">
      <c r="A6" s="16"/>
      <c r="F6" s="9" t="s">
        <v>816</v>
      </c>
      <c r="H6" s="31"/>
      <c r="I6" s="1523">
        <v>41244</v>
      </c>
      <c r="J6" s="1524"/>
      <c r="K6" s="73" t="s">
        <v>707</v>
      </c>
      <c r="L6" s="1525" t="s">
        <v>4075</v>
      </c>
      <c r="M6" s="1522"/>
    </row>
    <row r="7" spans="1:20" s="9" customFormat="1" ht="6" customHeight="1">
      <c r="A7" s="16"/>
    </row>
    <row r="8" spans="1:20" s="16" customFormat="1">
      <c r="B8" s="307"/>
      <c r="C8" s="307"/>
      <c r="D8" s="307"/>
      <c r="E8" s="307"/>
      <c r="F8" s="1010" t="s">
        <v>789</v>
      </c>
      <c r="G8" s="1010"/>
      <c r="I8" s="1009" t="s">
        <v>218</v>
      </c>
      <c r="J8" s="1009"/>
      <c r="K8" s="1009"/>
      <c r="L8" s="1009"/>
      <c r="M8" s="1009"/>
    </row>
    <row r="9" spans="1:20" s="16" customFormat="1">
      <c r="B9" s="307" t="s">
        <v>1191</v>
      </c>
      <c r="D9" s="307" t="s">
        <v>2064</v>
      </c>
      <c r="F9" s="801" t="s">
        <v>822</v>
      </c>
      <c r="G9" s="801" t="s">
        <v>2554</v>
      </c>
      <c r="I9" s="308" t="s">
        <v>736</v>
      </c>
      <c r="J9" s="309">
        <v>1</v>
      </c>
      <c r="K9" s="309">
        <v>2</v>
      </c>
      <c r="L9" s="309">
        <v>3</v>
      </c>
      <c r="M9" s="309">
        <v>4</v>
      </c>
    </row>
    <row r="10" spans="1:20" s="9" customFormat="1">
      <c r="B10" s="310" t="s">
        <v>2556</v>
      </c>
      <c r="C10" s="311"/>
      <c r="D10" s="1526" t="s">
        <v>4168</v>
      </c>
      <c r="E10" s="1527"/>
      <c r="F10" s="1528" t="s">
        <v>566</v>
      </c>
      <c r="G10" s="1528"/>
      <c r="H10" s="312"/>
      <c r="I10" s="1529"/>
      <c r="J10" s="1529">
        <v>16</v>
      </c>
      <c r="K10" s="1529">
        <v>19</v>
      </c>
      <c r="L10" s="1529"/>
      <c r="M10" s="1529"/>
    </row>
    <row r="11" spans="1:20" s="9" customFormat="1">
      <c r="B11" s="313" t="s">
        <v>596</v>
      </c>
      <c r="C11" s="314"/>
      <c r="D11" s="313" t="s">
        <v>2060</v>
      </c>
      <c r="E11" s="314"/>
      <c r="F11" s="1530" t="s">
        <v>566</v>
      </c>
      <c r="G11" s="1530"/>
      <c r="H11" s="315"/>
      <c r="I11" s="1531"/>
      <c r="J11" s="1531">
        <v>19</v>
      </c>
      <c r="K11" s="1531">
        <v>24</v>
      </c>
      <c r="L11" s="1532"/>
      <c r="M11" s="1532"/>
    </row>
    <row r="12" spans="1:20" s="9" customFormat="1">
      <c r="B12" s="313" t="s">
        <v>2061</v>
      </c>
      <c r="C12" s="314"/>
      <c r="D12" s="1533" t="s">
        <v>2060</v>
      </c>
      <c r="E12" s="1534"/>
      <c r="F12" s="1530" t="s">
        <v>566</v>
      </c>
      <c r="G12" s="1530"/>
      <c r="H12" s="315"/>
      <c r="I12" s="1531"/>
      <c r="J12" s="1531">
        <v>11</v>
      </c>
      <c r="K12" s="1531">
        <v>13</v>
      </c>
      <c r="L12" s="1532"/>
      <c r="M12" s="1532"/>
    </row>
    <row r="13" spans="1:20" s="9" customFormat="1">
      <c r="B13" s="313" t="s">
        <v>2062</v>
      </c>
      <c r="C13" s="314"/>
      <c r="D13" s="1533" t="s">
        <v>2060</v>
      </c>
      <c r="E13" s="1534"/>
      <c r="F13" s="1530" t="s">
        <v>566</v>
      </c>
      <c r="G13" s="1530"/>
      <c r="H13" s="315"/>
      <c r="I13" s="1531"/>
      <c r="J13" s="1531">
        <v>17</v>
      </c>
      <c r="K13" s="1531">
        <v>24</v>
      </c>
      <c r="L13" s="1532"/>
      <c r="M13" s="1532"/>
    </row>
    <row r="14" spans="1:20" s="9" customFormat="1">
      <c r="B14" s="313" t="s">
        <v>2063</v>
      </c>
      <c r="C14" s="314"/>
      <c r="D14" s="313" t="s">
        <v>2060</v>
      </c>
      <c r="E14" s="316"/>
      <c r="F14" s="1530" t="s">
        <v>566</v>
      </c>
      <c r="G14" s="1530"/>
      <c r="H14" s="315"/>
      <c r="I14" s="1531"/>
      <c r="J14" s="1531">
        <v>31</v>
      </c>
      <c r="K14" s="1531">
        <v>35</v>
      </c>
      <c r="L14" s="1532"/>
      <c r="M14" s="1532"/>
    </row>
    <row r="15" spans="1:20" s="9" customFormat="1">
      <c r="B15" s="313" t="s">
        <v>1805</v>
      </c>
      <c r="C15" s="314"/>
      <c r="D15" s="313" t="s">
        <v>2950</v>
      </c>
      <c r="E15" s="1535" t="s">
        <v>4073</v>
      </c>
      <c r="F15" s="1530" t="s">
        <v>566</v>
      </c>
      <c r="G15" s="1530"/>
      <c r="H15" s="315"/>
      <c r="I15" s="1531"/>
      <c r="J15" s="1531">
        <f>7+28</f>
        <v>35</v>
      </c>
      <c r="K15" s="1531">
        <f>10+40</f>
        <v>50</v>
      </c>
      <c r="L15" s="1532"/>
      <c r="M15" s="1532"/>
    </row>
    <row r="16" spans="1:20" s="9" customFormat="1">
      <c r="B16" s="317" t="s">
        <v>2555</v>
      </c>
      <c r="C16" s="318"/>
      <c r="D16" s="317"/>
      <c r="E16" s="284"/>
      <c r="F16" s="1536"/>
      <c r="G16" s="1536" t="s">
        <v>566</v>
      </c>
      <c r="H16" s="319"/>
      <c r="I16" s="1537"/>
      <c r="J16" s="1537"/>
      <c r="K16" s="1537"/>
      <c r="L16" s="1538"/>
      <c r="M16" s="1538"/>
    </row>
    <row r="17" spans="1:19" s="9" customFormat="1">
      <c r="B17" s="307" t="s">
        <v>1423</v>
      </c>
      <c r="D17" s="31"/>
      <c r="E17" s="31"/>
      <c r="F17" s="97"/>
      <c r="G17" s="97"/>
      <c r="I17" s="801">
        <f>SUM(I10:I16)</f>
        <v>0</v>
      </c>
      <c r="J17" s="801">
        <f>SUM(J10:J16)</f>
        <v>129</v>
      </c>
      <c r="K17" s="801">
        <f>SUM(K10:K16)</f>
        <v>165</v>
      </c>
      <c r="L17" s="801">
        <f>SUM(L10:L16)</f>
        <v>0</v>
      </c>
      <c r="M17" s="801">
        <f>SUM(M10:M16)</f>
        <v>0</v>
      </c>
    </row>
    <row r="18" spans="1:19" s="9" customFormat="1" ht="11.25" customHeight="1">
      <c r="M18" s="31"/>
      <c r="N18" s="31"/>
      <c r="O18" s="31"/>
      <c r="P18" s="31"/>
      <c r="Q18" s="31"/>
      <c r="R18" s="31"/>
      <c r="S18" s="31"/>
    </row>
    <row r="19" spans="1:19" s="9" customFormat="1">
      <c r="A19" s="16" t="s">
        <v>1045</v>
      </c>
      <c r="B19" s="16" t="s">
        <v>2952</v>
      </c>
      <c r="F19" s="9" t="s">
        <v>3305</v>
      </c>
      <c r="I19" s="1525"/>
      <c r="J19" s="1521"/>
      <c r="K19" s="1521"/>
      <c r="L19" s="1521"/>
      <c r="M19" s="1522"/>
    </row>
    <row r="20" spans="1:19" s="9" customFormat="1" ht="13.15" customHeight="1">
      <c r="A20" s="16"/>
      <c r="B20" s="16"/>
      <c r="F20" s="9" t="s">
        <v>816</v>
      </c>
      <c r="H20" s="31"/>
      <c r="I20" s="1523"/>
      <c r="J20" s="1524"/>
      <c r="K20" s="73" t="s">
        <v>707</v>
      </c>
      <c r="L20" s="1525"/>
      <c r="M20" s="1522"/>
    </row>
    <row r="21" spans="1:19" s="9" customFormat="1" ht="6" customHeight="1">
      <c r="A21" s="16"/>
    </row>
    <row r="22" spans="1:19" s="16" customFormat="1">
      <c r="B22" s="307"/>
      <c r="C22" s="307"/>
      <c r="D22" s="307"/>
      <c r="E22" s="307"/>
      <c r="F22" s="1010" t="s">
        <v>789</v>
      </c>
      <c r="G22" s="1010"/>
      <c r="I22" s="1009" t="s">
        <v>218</v>
      </c>
      <c r="J22" s="1009"/>
      <c r="K22" s="1009"/>
      <c r="L22" s="1009"/>
      <c r="M22" s="1009"/>
    </row>
    <row r="23" spans="1:19" s="16" customFormat="1">
      <c r="B23" s="307" t="s">
        <v>1191</v>
      </c>
      <c r="D23" s="307" t="s">
        <v>2064</v>
      </c>
      <c r="F23" s="801" t="s">
        <v>822</v>
      </c>
      <c r="G23" s="801" t="s">
        <v>2554</v>
      </c>
      <c r="I23" s="308" t="s">
        <v>736</v>
      </c>
      <c r="J23" s="309">
        <v>1</v>
      </c>
      <c r="K23" s="309">
        <v>2</v>
      </c>
      <c r="L23" s="309">
        <v>3</v>
      </c>
      <c r="M23" s="309">
        <v>4</v>
      </c>
    </row>
    <row r="24" spans="1:19" s="9" customFormat="1">
      <c r="B24" s="310" t="s">
        <v>2556</v>
      </c>
      <c r="C24" s="311"/>
      <c r="D24" s="1526" t="s">
        <v>2060</v>
      </c>
      <c r="E24" s="1527"/>
      <c r="F24" s="1528"/>
      <c r="G24" s="1528"/>
      <c r="H24" s="312"/>
      <c r="I24" s="1529"/>
      <c r="J24" s="1529"/>
      <c r="K24" s="1529"/>
      <c r="L24" s="1529"/>
      <c r="M24" s="1529"/>
    </row>
    <row r="25" spans="1:19" s="9" customFormat="1">
      <c r="B25" s="313" t="s">
        <v>596</v>
      </c>
      <c r="C25" s="314"/>
      <c r="D25" s="313" t="s">
        <v>2060</v>
      </c>
      <c r="E25" s="314"/>
      <c r="F25" s="1530"/>
      <c r="G25" s="1530"/>
      <c r="H25" s="315"/>
      <c r="I25" s="1531"/>
      <c r="J25" s="1531"/>
      <c r="K25" s="1531"/>
      <c r="L25" s="1532"/>
      <c r="M25" s="1532"/>
    </row>
    <row r="26" spans="1:19" s="9" customFormat="1">
      <c r="B26" s="313" t="s">
        <v>2061</v>
      </c>
      <c r="C26" s="314"/>
      <c r="D26" s="1533" t="s">
        <v>2060</v>
      </c>
      <c r="E26" s="1534"/>
      <c r="F26" s="1530"/>
      <c r="G26" s="1530"/>
      <c r="H26" s="315"/>
      <c r="I26" s="1531"/>
      <c r="J26" s="1531"/>
      <c r="K26" s="1531"/>
      <c r="L26" s="1532"/>
      <c r="M26" s="1532"/>
    </row>
    <row r="27" spans="1:19" s="9" customFormat="1">
      <c r="B27" s="313" t="s">
        <v>2062</v>
      </c>
      <c r="C27" s="314"/>
      <c r="D27" s="1533" t="s">
        <v>2519</v>
      </c>
      <c r="E27" s="1534"/>
      <c r="F27" s="1530"/>
      <c r="G27" s="1530"/>
      <c r="H27" s="315"/>
      <c r="I27" s="1531"/>
      <c r="J27" s="1531"/>
      <c r="K27" s="1531"/>
      <c r="L27" s="1532"/>
      <c r="M27" s="1532"/>
    </row>
    <row r="28" spans="1:19" s="9" customFormat="1">
      <c r="B28" s="313" t="s">
        <v>2063</v>
      </c>
      <c r="C28" s="314"/>
      <c r="D28" s="313" t="s">
        <v>2060</v>
      </c>
      <c r="E28" s="316"/>
      <c r="F28" s="1530"/>
      <c r="G28" s="1530"/>
      <c r="H28" s="315"/>
      <c r="I28" s="1531"/>
      <c r="J28" s="1531"/>
      <c r="K28" s="1531"/>
      <c r="L28" s="1532"/>
      <c r="M28" s="1532"/>
    </row>
    <row r="29" spans="1:19" s="9" customFormat="1">
      <c r="B29" s="313" t="s">
        <v>1805</v>
      </c>
      <c r="C29" s="314"/>
      <c r="D29" s="313" t="s">
        <v>2950</v>
      </c>
      <c r="E29" s="1535" t="s">
        <v>219</v>
      </c>
      <c r="F29" s="1530"/>
      <c r="G29" s="1530"/>
      <c r="H29" s="315"/>
      <c r="I29" s="1531"/>
      <c r="J29" s="1531"/>
      <c r="K29" s="1531"/>
      <c r="L29" s="1532"/>
      <c r="M29" s="1532"/>
    </row>
    <row r="30" spans="1:19" s="9" customFormat="1">
      <c r="B30" s="317" t="s">
        <v>2555</v>
      </c>
      <c r="C30" s="318"/>
      <c r="D30" s="317"/>
      <c r="E30" s="284"/>
      <c r="F30" s="1536"/>
      <c r="G30" s="1536"/>
      <c r="H30" s="319"/>
      <c r="I30" s="1537"/>
      <c r="J30" s="1537"/>
      <c r="K30" s="1537"/>
      <c r="L30" s="1538"/>
      <c r="M30" s="1538"/>
    </row>
    <row r="31" spans="1:19" s="9" customFormat="1">
      <c r="B31" s="307" t="s">
        <v>1423</v>
      </c>
      <c r="D31" s="31"/>
      <c r="E31" s="31"/>
      <c r="F31" s="97"/>
      <c r="G31" s="97"/>
      <c r="I31" s="801">
        <f>SUM(I24:I30)</f>
        <v>0</v>
      </c>
      <c r="J31" s="801">
        <f>SUM(J24:J30)</f>
        <v>0</v>
      </c>
      <c r="K31" s="801">
        <f>SUM(K24:K30)</f>
        <v>0</v>
      </c>
      <c r="L31" s="801">
        <f>SUM(L24:L30)</f>
        <v>0</v>
      </c>
      <c r="M31" s="801">
        <f>SUM(M24:M30)</f>
        <v>0</v>
      </c>
    </row>
    <row r="32" spans="1:19">
      <c r="A32" s="9"/>
    </row>
    <row r="33" spans="1:19">
      <c r="B33" s="320" t="s">
        <v>2504</v>
      </c>
    </row>
    <row r="34" spans="1:19" s="9" customFormat="1" ht="6" customHeight="1">
      <c r="M34" s="31"/>
      <c r="N34" s="31"/>
      <c r="O34" s="31"/>
      <c r="P34" s="31"/>
      <c r="Q34" s="31"/>
      <c r="R34" s="31"/>
      <c r="S34" s="31"/>
    </row>
    <row r="35" spans="1:19" s="9" customFormat="1" ht="12" customHeight="1">
      <c r="A35" s="16"/>
      <c r="B35" s="16" t="s">
        <v>744</v>
      </c>
      <c r="M35" s="31"/>
      <c r="N35" s="31"/>
      <c r="O35" s="31"/>
      <c r="P35" s="31"/>
      <c r="Q35" s="31"/>
      <c r="R35" s="31"/>
      <c r="S35" s="31"/>
    </row>
    <row r="36" spans="1:19" s="9" customFormat="1" ht="24.75" customHeight="1">
      <c r="B36" s="1539" t="s">
        <v>4179</v>
      </c>
      <c r="C36" s="1540"/>
      <c r="D36" s="1540"/>
      <c r="E36" s="1540"/>
      <c r="F36" s="1540"/>
      <c r="G36" s="1540"/>
      <c r="H36" s="1540"/>
      <c r="I36" s="1540"/>
      <c r="J36" s="1540"/>
      <c r="K36" s="1540"/>
      <c r="L36" s="1540"/>
      <c r="M36" s="1541"/>
      <c r="N36" s="31"/>
      <c r="O36" s="817" t="s">
        <v>3595</v>
      </c>
      <c r="P36" s="817"/>
      <c r="Q36" s="817"/>
      <c r="R36" s="817"/>
      <c r="S36" s="817"/>
    </row>
    <row r="37" spans="1:19" s="9" customFormat="1" ht="3" customHeight="1">
      <c r="M37" s="31"/>
      <c r="N37" s="31"/>
      <c r="O37" s="817"/>
      <c r="P37" s="817"/>
      <c r="Q37" s="817"/>
      <c r="R37" s="817"/>
      <c r="S37" s="817"/>
    </row>
    <row r="38" spans="1:19" s="9" customFormat="1" ht="12" customHeight="1">
      <c r="A38" s="16"/>
      <c r="B38" s="16" t="s">
        <v>2549</v>
      </c>
      <c r="M38" s="31"/>
      <c r="N38" s="31"/>
      <c r="O38" s="817"/>
      <c r="P38" s="817"/>
      <c r="Q38" s="817"/>
      <c r="R38" s="817"/>
      <c r="S38" s="817"/>
    </row>
    <row r="39" spans="1:19" s="9" customFormat="1" ht="24.75" customHeight="1">
      <c r="B39" s="1542"/>
      <c r="C39" s="1543"/>
      <c r="D39" s="1543"/>
      <c r="E39" s="1543"/>
      <c r="F39" s="1543"/>
      <c r="G39" s="1543"/>
      <c r="H39" s="1543"/>
      <c r="I39" s="1543"/>
      <c r="J39" s="1543"/>
      <c r="K39" s="1543"/>
      <c r="L39" s="1543"/>
      <c r="M39" s="1544"/>
      <c r="N39" s="31"/>
      <c r="O39" s="817"/>
      <c r="P39" s="817"/>
      <c r="Q39" s="817"/>
      <c r="R39" s="817"/>
      <c r="S39" s="817"/>
    </row>
  </sheetData>
  <sheetProtection password="BD88" sheet="1" objects="1" scenarios="1"/>
  <mergeCells count="20">
    <mergeCell ref="O36:S39"/>
    <mergeCell ref="B39:M39"/>
    <mergeCell ref="D24:E24"/>
    <mergeCell ref="D26:E26"/>
    <mergeCell ref="D27:E27"/>
    <mergeCell ref="B36:M36"/>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7"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Affairs&amp;C2013 Funding Application&amp;RHousing Finance and Development Division</oddHeader>
    <oddFooter>&amp;L&amp;"Arial Narrow,Regular"&amp;G &amp;F - Mar 2013&amp;C&amp;"Arial Narrow,Regular"&amp;A&amp;R&amp;"Arial Narrow,Regular"page &amp;P of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29</vt:i4>
      </vt:variant>
    </vt:vector>
  </HeadingPairs>
  <TitlesOfParts>
    <vt:vector size="45"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B-Innov Proj Concept Narr</vt:lpstr>
      <vt:lpstr>Part X - Applicant Cert Ltr</vt:lpstr>
      <vt:lpstr>DCA Underwriting Assumptions</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B-Innov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B-Innov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2013-06-13T13:32:35Z</cp:lastPrinted>
  <dcterms:created xsi:type="dcterms:W3CDTF">2005-09-15T20:51:37Z</dcterms:created>
  <dcterms:modified xsi:type="dcterms:W3CDTF">2013-10-09T19:16:12Z</dcterms:modified>
</cp:coreProperties>
</file>